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charts/chart27.xml" ContentType="application/vnd.openxmlformats-officedocument.drawingml.chart+xml"/>
  <Override PartName="/xl/drawings/drawing7.xml" ContentType="application/vnd.openxmlformats-officedocument.drawingml.chartshapes+xml"/>
  <Override PartName="/xl/charts/chart28.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29.xml" ContentType="application/vnd.openxmlformats-officedocument.drawingml.chart+xml"/>
  <Override PartName="/xl/drawings/drawing10.xml" ContentType="application/vnd.openxmlformats-officedocument.drawingml.chartshapes+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4.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5.xml" ContentType="application/vnd.openxmlformats-officedocument.drawing+xml"/>
  <Override PartName="/xl/charts/chart41.xml" ContentType="application/vnd.openxmlformats-officedocument.drawingml.chart+xml"/>
  <Override PartName="/xl/drawings/drawing16.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7.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18.xml" ContentType="application/vnd.openxmlformats-officedocument.drawing+xml"/>
  <Override PartName="/xl/charts/chart47.xml" ContentType="application/vnd.openxmlformats-officedocument.drawingml.chart+xml"/>
  <Override PartName="/xl/drawings/drawing19.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20.xml" ContentType="application/vnd.openxmlformats-officedocument.drawing+xml"/>
  <Override PartName="/xl/charts/chart50.xml" ContentType="application/vnd.openxmlformats-officedocument.drawingml.chart+xml"/>
  <Override PartName="/xl/drawings/drawing21.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2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2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2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7.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8.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9.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30.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31.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2.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33.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34.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3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36.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37.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8.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drawings/drawing39.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40.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1.xml" ContentType="application/vnd.openxmlformats-officedocument.drawing+xml"/>
  <Override PartName="/xl/charts/chart133.xml" ContentType="application/vnd.openxmlformats-officedocument.drawingml.chart+xml"/>
  <Override PartName="/xl/drawings/drawing42.xml" ContentType="application/vnd.openxmlformats-officedocument.drawing+xml"/>
  <Override PartName="/xl/charts/chart134.xml" ContentType="application/vnd.openxmlformats-officedocument.drawingml.chart+xml"/>
  <Override PartName="/xl/charts/chart135.xml" ContentType="application/vnd.openxmlformats-officedocument.drawingml.chart+xml"/>
  <Override PartName="/xl/drawings/drawing4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drawings/drawing44.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431"/>
  <workbookPr codeName="ThisWorkbook" defaultThemeVersion="124226"/>
  <mc:AlternateContent xmlns:mc="http://schemas.openxmlformats.org/markup-compatibility/2006">
    <mc:Choice Requires="x15">
      <x15ac:absPath xmlns:x15ac="http://schemas.microsoft.com/office/spreadsheetml/2010/11/ac" url="C:\Users\RNC Consulting LLC\Documents\BCWA Working\BCWA Watershed Plan Working\MSD-Year P1 P4 Master Spreadsheets\"/>
    </mc:Choice>
  </mc:AlternateContent>
  <bookViews>
    <workbookView xWindow="-10" yWindow="2520" windowWidth="17740" windowHeight="2530" tabRatio="930" firstSheet="7" activeTab="17" xr2:uid="{00000000-000D-0000-FFFF-FFFF00000000}"/>
  </bookViews>
  <sheets>
    <sheet name="Reservoir Sample Sites" sheetId="30" r:id="rId1"/>
    <sheet name="2011 Reservoir Summary Stats" sheetId="19" r:id="rId2"/>
    <sheet name="Annual Reservoir Trends" sheetId="24" r:id="rId3"/>
    <sheet name="Nitrate Trends" sheetId="23" r:id="rId4"/>
    <sheet name="Phosphorus Trends" sheetId="22" r:id="rId5"/>
    <sheet name="Loading" sheetId="21" r:id="rId6"/>
    <sheet name="Carlson" sheetId="20" r:id="rId7"/>
    <sheet name="Walker" sheetId="25" r:id="rId8"/>
    <sheet name="Monthly Discharge" sheetId="26" r:id="rId9"/>
    <sheet name="Temperature" sheetId="13" r:id="rId10"/>
    <sheet name="Conductance" sheetId="1" r:id="rId11"/>
    <sheet name="pH" sheetId="7" r:id="rId12"/>
    <sheet name="Oxygen" sheetId="8" r:id="rId13"/>
    <sheet name="T &amp; Diss Phosphorus" sheetId="3" r:id="rId14"/>
    <sheet name="Nitrate &amp; T Nitrogen" sheetId="15" r:id="rId15"/>
    <sheet name="TSS" sheetId="12" r:id="rId16"/>
    <sheet name="Chlsecchi" sheetId="14" r:id="rId17"/>
    <sheet name="Phytoplankton" sheetId="18" r:id="rId18"/>
    <sheet name="Monthly Chemistry" sheetId="34" r:id="rId19"/>
    <sheet name="WS 2011 Data" sheetId="56" r:id="rId20"/>
    <sheet name="2011 WS Flow" sheetId="66" r:id="rId21"/>
    <sheet name="Genesee Reservoir" sheetId="65" r:id="rId22"/>
    <sheet name="Evergreen Lake" sheetId="64" r:id="rId23"/>
    <sheet name="Temp DO Comp" sheetId="49" r:id="rId24"/>
    <sheet name="Kerr Swede" sheetId="54" r:id="rId25"/>
    <sheet name="1-23-11" sheetId="29" r:id="rId26"/>
    <sheet name="2-21-11" sheetId="32" r:id="rId27"/>
    <sheet name="3-28-11" sheetId="35" r:id="rId28"/>
    <sheet name="4-25-11" sheetId="36" r:id="rId29"/>
    <sheet name="5-23-11" sheetId="37" r:id="rId30"/>
    <sheet name="6-27-11" sheetId="38" r:id="rId31"/>
    <sheet name="7-19-11" sheetId="39" r:id="rId32"/>
    <sheet name="7-25-11" sheetId="40" r:id="rId33"/>
    <sheet name="8-8-11" sheetId="41" r:id="rId34"/>
    <sheet name="8-22-11" sheetId="42" r:id="rId35"/>
    <sheet name="9-12-11" sheetId="43" r:id="rId36"/>
    <sheet name="9-26-11" sheetId="44" r:id="rId37"/>
    <sheet name="10-17-11" sheetId="46" r:id="rId38"/>
    <sheet name="10-24-11" sheetId="45" r:id="rId39"/>
    <sheet name="11-28-2011" sheetId="47" r:id="rId40"/>
    <sheet name="12-15-2011" sheetId="69" r:id="rId41"/>
    <sheet name="Sediment" sheetId="57" r:id="rId42"/>
    <sheet name="Grain Size" sheetId="58" r:id="rId43"/>
    <sheet name="T Standards" sheetId="59" r:id="rId44"/>
    <sheet name="Rec Use" sheetId="60" r:id="rId45"/>
    <sheet name="Transition" sheetId="62" r:id="rId46"/>
    <sheet name="303d List " sheetId="63" r:id="rId47"/>
    <sheet name="Field Sheet" sheetId="31" r:id="rId48"/>
    <sheet name="Temp 2010" sheetId="67" r:id="rId49"/>
    <sheet name="Air T Evergreen" sheetId="68" r:id="rId50"/>
    <sheet name="Horse Manure" sheetId="70" r:id="rId51"/>
  </sheets>
  <externalReferences>
    <externalReference r:id="rId52"/>
  </externalReferences>
  <definedNames>
    <definedName name="_xlnm.Print_Area" localSheetId="6">Carlson!$M$52:$Y$93</definedName>
    <definedName name="_xlnm.Print_Area" localSheetId="16">Chlsecchi!$A$1:$P$58</definedName>
    <definedName name="_xlnm.Print_Area" localSheetId="10">Conductance!$A$1:$P$22</definedName>
    <definedName name="_xlnm.Print_Area" localSheetId="47">'Field Sheet'!$A$56:$I$108</definedName>
    <definedName name="_xlnm.Print_Area" localSheetId="24">'Kerr Swede'!$A$1:$L$13</definedName>
    <definedName name="_xlnm.Print_Area" localSheetId="5">Loading!$A$63:$N$92</definedName>
    <definedName name="_xlnm.Print_Area" localSheetId="18">'Monthly Chemistry'!$A$1:$M$28</definedName>
    <definedName name="_xlnm.Print_Area" localSheetId="14">'Nitrate &amp; T Nitrogen'!#REF!</definedName>
    <definedName name="_xlnm.Print_Area" localSheetId="12">Oxygen!$A$1:$Q$24</definedName>
    <definedName name="_xlnm.Print_Area" localSheetId="11">pH!$A$1:$Q$10</definedName>
    <definedName name="_xlnm.Print_Area" localSheetId="44">'Rec Use'!$S$1:$AF$40</definedName>
    <definedName name="_xlnm.Print_Area" localSheetId="13">'T &amp; Diss Phosphorus'!#REF!</definedName>
    <definedName name="_xlnm.Print_Area" localSheetId="23">'Temp DO Comp'!$R$1:$AH$8</definedName>
    <definedName name="_xlnm.Print_Area" localSheetId="9">Temperature!$A$1:$P$18</definedName>
    <definedName name="_xlnm.Print_Area" localSheetId="15">TSS!$A$1:$T$21</definedName>
    <definedName name="_xlnm.Print_Area" localSheetId="7">Walker!$M$50:$AK$86</definedName>
    <definedName name="_xlnm.Print_Area" localSheetId="19">'WS 2011 Data'!$Y$1:$AC$26</definedName>
    <definedName name="_xlnm.Print_Titles" localSheetId="17">Phytoplankton!#REF!</definedName>
  </definedNames>
  <calcPr calcId="171027"/>
</workbook>
</file>

<file path=xl/calcChain.xml><?xml version="1.0" encoding="utf-8"?>
<calcChain xmlns="http://schemas.openxmlformats.org/spreadsheetml/2006/main">
  <c r="F202" i="18" l="1"/>
  <c r="L13" i="18" l="1"/>
  <c r="C36" i="21"/>
  <c r="D36" i="21"/>
  <c r="E36" i="21"/>
  <c r="F36" i="21"/>
  <c r="G36" i="21"/>
  <c r="H36" i="21"/>
  <c r="I36" i="21"/>
  <c r="J36" i="21"/>
  <c r="K36" i="21"/>
  <c r="L36" i="21"/>
  <c r="M36" i="21"/>
  <c r="B36" i="21"/>
  <c r="N36" i="21" s="1"/>
  <c r="N7" i="21"/>
  <c r="N30" i="21"/>
  <c r="E14" i="70"/>
  <c r="L14" i="70"/>
  <c r="M14" i="70"/>
  <c r="E13" i="70"/>
  <c r="L13" i="70"/>
  <c r="M13" i="70"/>
  <c r="E12" i="70"/>
  <c r="L12" i="70"/>
  <c r="M12" i="70"/>
  <c r="E11" i="70"/>
  <c r="L11" i="70"/>
  <c r="M11" i="70"/>
  <c r="L10" i="70"/>
  <c r="M10" i="70"/>
  <c r="K10" i="70"/>
  <c r="K14" i="70" s="1"/>
  <c r="F10" i="70"/>
  <c r="F14" i="70" s="1"/>
  <c r="G10" i="70"/>
  <c r="G14" i="70" s="1"/>
  <c r="H10" i="70"/>
  <c r="H14" i="70" s="1"/>
  <c r="I10" i="70"/>
  <c r="I14" i="70" s="1"/>
  <c r="J10" i="70"/>
  <c r="J14" i="70" s="1"/>
  <c r="E10" i="70"/>
  <c r="C10" i="70"/>
  <c r="C14" i="70" s="1"/>
  <c r="D10" i="70"/>
  <c r="D14" i="70" s="1"/>
  <c r="B10" i="70"/>
  <c r="B14" i="70" s="1"/>
  <c r="C5" i="70"/>
  <c r="D5" i="70"/>
  <c r="E5" i="70"/>
  <c r="E20" i="70" s="1"/>
  <c r="F5" i="70"/>
  <c r="F20" i="70" s="1"/>
  <c r="G5" i="70"/>
  <c r="H5" i="70"/>
  <c r="I5" i="70"/>
  <c r="J5" i="70"/>
  <c r="K5" i="70"/>
  <c r="L5" i="70"/>
  <c r="M5" i="70"/>
  <c r="B5" i="70"/>
  <c r="G20" i="70"/>
  <c r="H20" i="70"/>
  <c r="I20" i="70"/>
  <c r="J20" i="70"/>
  <c r="F19" i="70"/>
  <c r="G19" i="70"/>
  <c r="H19" i="70"/>
  <c r="I19" i="70"/>
  <c r="J19" i="70"/>
  <c r="E19" i="70"/>
  <c r="N14" i="70" l="1"/>
  <c r="B11" i="70"/>
  <c r="J11" i="70"/>
  <c r="F11" i="70"/>
  <c r="B12" i="70"/>
  <c r="J12" i="70"/>
  <c r="F12" i="70"/>
  <c r="B13" i="70"/>
  <c r="J13" i="70"/>
  <c r="F13" i="70"/>
  <c r="N10" i="70"/>
  <c r="I11" i="70"/>
  <c r="I12" i="70"/>
  <c r="I13" i="70"/>
  <c r="H11" i="70"/>
  <c r="D11" i="70"/>
  <c r="H12" i="70"/>
  <c r="D12" i="70"/>
  <c r="H13" i="70"/>
  <c r="D13" i="70"/>
  <c r="K11" i="70"/>
  <c r="G11" i="70"/>
  <c r="C11" i="70"/>
  <c r="K12" i="70"/>
  <c r="G12" i="70"/>
  <c r="C12" i="70"/>
  <c r="K13" i="70"/>
  <c r="G13" i="70"/>
  <c r="C13" i="70"/>
  <c r="N4" i="70"/>
  <c r="N5" i="70"/>
  <c r="N3" i="70"/>
  <c r="C20" i="70"/>
  <c r="D20" i="70"/>
  <c r="K20" i="70"/>
  <c r="L20" i="70"/>
  <c r="M20" i="70"/>
  <c r="B20" i="70"/>
  <c r="C19" i="70"/>
  <c r="D19" i="70"/>
  <c r="K19" i="70"/>
  <c r="L19" i="70"/>
  <c r="M19" i="70"/>
  <c r="B19" i="70"/>
  <c r="N19" i="70" s="1"/>
  <c r="C18" i="70"/>
  <c r="D18" i="70"/>
  <c r="E18" i="70"/>
  <c r="F18" i="70"/>
  <c r="G18" i="70"/>
  <c r="H18" i="70"/>
  <c r="I18" i="70"/>
  <c r="J18" i="70"/>
  <c r="K18" i="70"/>
  <c r="L18" i="70"/>
  <c r="M18" i="70"/>
  <c r="B18" i="70"/>
  <c r="AC16" i="24"/>
  <c r="AC14" i="24"/>
  <c r="AC13" i="24"/>
  <c r="AC11" i="24"/>
  <c r="AC8" i="24"/>
  <c r="AC7" i="24"/>
  <c r="AC5" i="24"/>
  <c r="W18" i="24"/>
  <c r="AC15" i="24" s="1"/>
  <c r="W14" i="24"/>
  <c r="W10" i="24"/>
  <c r="AC9" i="24" s="1"/>
  <c r="W6" i="24"/>
  <c r="AC6" i="24" s="1"/>
  <c r="G10" i="18"/>
  <c r="H10" i="18"/>
  <c r="I10" i="18"/>
  <c r="J10" i="18"/>
  <c r="K10" i="18"/>
  <c r="G9" i="18"/>
  <c r="H9" i="18"/>
  <c r="I9" i="18"/>
  <c r="J9" i="18"/>
  <c r="K9" i="18"/>
  <c r="G8" i="18"/>
  <c r="H8" i="18"/>
  <c r="I8" i="18"/>
  <c r="J8" i="18"/>
  <c r="K8" i="18"/>
  <c r="F9" i="18"/>
  <c r="F10" i="18"/>
  <c r="F8" i="18"/>
  <c r="C116" i="23"/>
  <c r="G115" i="23" s="1"/>
  <c r="Q6" i="15"/>
  <c r="G91" i="22"/>
  <c r="G114" i="22" s="1"/>
  <c r="AU26" i="25"/>
  <c r="AU27" i="25" s="1"/>
  <c r="AU23" i="25"/>
  <c r="AU24" i="25" s="1"/>
  <c r="AU20" i="25"/>
  <c r="AU21" i="25" s="1"/>
  <c r="AU17" i="25"/>
  <c r="AU18" i="25" s="1"/>
  <c r="AU9" i="25"/>
  <c r="AU10" i="25" s="1"/>
  <c r="AU6" i="25"/>
  <c r="AU7" i="25" s="1"/>
  <c r="AU3" i="25"/>
  <c r="AU4" i="25" s="1"/>
  <c r="AU12" i="25" s="1"/>
  <c r="W36" i="20"/>
  <c r="W37" i="20" s="1"/>
  <c r="W34" i="20"/>
  <c r="W33" i="20"/>
  <c r="W30" i="20"/>
  <c r="W31" i="20" s="1"/>
  <c r="W26" i="20"/>
  <c r="W25" i="20"/>
  <c r="W22" i="20"/>
  <c r="W23" i="20" s="1"/>
  <c r="W20" i="20"/>
  <c r="W19" i="20"/>
  <c r="S5" i="14"/>
  <c r="C23" i="21"/>
  <c r="C25" i="21" s="1"/>
  <c r="D23" i="21"/>
  <c r="E23" i="21"/>
  <c r="F23" i="21"/>
  <c r="G23" i="21"/>
  <c r="G25" i="21" s="1"/>
  <c r="H23" i="21"/>
  <c r="I23" i="21"/>
  <c r="J23" i="21"/>
  <c r="K23" i="21"/>
  <c r="K25" i="21" s="1"/>
  <c r="L23" i="21"/>
  <c r="M23" i="21"/>
  <c r="C24" i="21"/>
  <c r="D24" i="21"/>
  <c r="E24" i="21"/>
  <c r="F24" i="21"/>
  <c r="G24" i="21"/>
  <c r="H24" i="21"/>
  <c r="I24" i="21"/>
  <c r="I25" i="21" s="1"/>
  <c r="J24" i="21"/>
  <c r="K24" i="21"/>
  <c r="L24" i="21"/>
  <c r="M24" i="21"/>
  <c r="B24" i="21"/>
  <c r="B23" i="21"/>
  <c r="C15" i="21"/>
  <c r="D15" i="21"/>
  <c r="E15" i="21"/>
  <c r="F15" i="21"/>
  <c r="G15" i="21"/>
  <c r="H15" i="21"/>
  <c r="I15" i="21"/>
  <c r="J15" i="21"/>
  <c r="K15" i="21"/>
  <c r="L15" i="21"/>
  <c r="M15" i="21"/>
  <c r="C16" i="21"/>
  <c r="D16" i="21"/>
  <c r="E16" i="21"/>
  <c r="F16" i="21"/>
  <c r="G16" i="21"/>
  <c r="H16" i="21"/>
  <c r="I16" i="21"/>
  <c r="J16" i="21"/>
  <c r="K16" i="21"/>
  <c r="L16" i="21"/>
  <c r="M16" i="21"/>
  <c r="B16" i="21"/>
  <c r="B15" i="21"/>
  <c r="M25" i="21"/>
  <c r="E25" i="21"/>
  <c r="N21" i="21"/>
  <c r="N20" i="21"/>
  <c r="K21" i="15"/>
  <c r="L21" i="15"/>
  <c r="M21" i="15"/>
  <c r="K22" i="15"/>
  <c r="L22" i="15"/>
  <c r="M22" i="15"/>
  <c r="K23" i="15"/>
  <c r="L23" i="15"/>
  <c r="M23" i="15"/>
  <c r="K24" i="15"/>
  <c r="L24" i="15"/>
  <c r="M24" i="15"/>
  <c r="L20" i="15"/>
  <c r="M20" i="15"/>
  <c r="K20" i="15"/>
  <c r="J21" i="15"/>
  <c r="J22" i="15"/>
  <c r="J23" i="15"/>
  <c r="J24" i="15"/>
  <c r="J20" i="15"/>
  <c r="I21" i="15"/>
  <c r="I22" i="15"/>
  <c r="I23" i="15"/>
  <c r="I24" i="15"/>
  <c r="I20" i="15"/>
  <c r="H21" i="15"/>
  <c r="H22" i="15"/>
  <c r="H23" i="15"/>
  <c r="H24" i="15"/>
  <c r="H20" i="15"/>
  <c r="B21" i="15"/>
  <c r="C21" i="15"/>
  <c r="D21" i="15"/>
  <c r="E21" i="15"/>
  <c r="F21" i="15"/>
  <c r="G21" i="15"/>
  <c r="B22" i="15"/>
  <c r="C22" i="15"/>
  <c r="D22" i="15"/>
  <c r="E22" i="15"/>
  <c r="F22" i="15"/>
  <c r="G22" i="15"/>
  <c r="B23" i="15"/>
  <c r="C23" i="15"/>
  <c r="D23" i="15"/>
  <c r="E23" i="15"/>
  <c r="F23" i="15"/>
  <c r="G23" i="15"/>
  <c r="B24" i="15"/>
  <c r="C24" i="15"/>
  <c r="D24" i="15"/>
  <c r="E24" i="15"/>
  <c r="F24" i="15"/>
  <c r="G24" i="15"/>
  <c r="C20" i="15"/>
  <c r="D20" i="15"/>
  <c r="E20" i="15"/>
  <c r="F20" i="15"/>
  <c r="G20" i="15"/>
  <c r="B20" i="15"/>
  <c r="Q30" i="15"/>
  <c r="R30" i="15"/>
  <c r="S30" i="15"/>
  <c r="Q31" i="15"/>
  <c r="R31" i="15"/>
  <c r="S31" i="15"/>
  <c r="Q32" i="15"/>
  <c r="R32" i="15"/>
  <c r="S32" i="15"/>
  <c r="S34" i="15" s="1"/>
  <c r="Q33" i="15"/>
  <c r="R33" i="15"/>
  <c r="S33" i="15"/>
  <c r="U29" i="15"/>
  <c r="S29" i="15"/>
  <c r="R29" i="15"/>
  <c r="Q29" i="15"/>
  <c r="Q47" i="3"/>
  <c r="Q5" i="3"/>
  <c r="R21" i="8"/>
  <c r="S21" i="8"/>
  <c r="R22" i="8"/>
  <c r="S22" i="8"/>
  <c r="R23" i="8"/>
  <c r="S23" i="8"/>
  <c r="R24" i="8"/>
  <c r="S24" i="8"/>
  <c r="R34" i="15" l="1"/>
  <c r="N24" i="21"/>
  <c r="J25" i="21"/>
  <c r="F25" i="21"/>
  <c r="N13" i="70"/>
  <c r="Q34" i="15"/>
  <c r="N11" i="70"/>
  <c r="L25" i="21"/>
  <c r="H25" i="21"/>
  <c r="D25" i="21"/>
  <c r="N12" i="70"/>
  <c r="N18" i="70"/>
  <c r="N20" i="70"/>
  <c r="N23" i="21"/>
  <c r="N25" i="21" s="1"/>
  <c r="B25" i="21"/>
  <c r="R20" i="7"/>
  <c r="S20" i="7"/>
  <c r="T20" i="7"/>
  <c r="R21" i="7"/>
  <c r="S21" i="7"/>
  <c r="T21" i="7"/>
  <c r="R22" i="7"/>
  <c r="S22" i="7"/>
  <c r="T22" i="7"/>
  <c r="R23" i="7"/>
  <c r="S23" i="7"/>
  <c r="T23" i="7"/>
  <c r="S19" i="1"/>
  <c r="S20" i="1"/>
  <c r="S21" i="1"/>
  <c r="S22" i="1"/>
  <c r="S23" i="1"/>
  <c r="Q20" i="1"/>
  <c r="R20" i="1"/>
  <c r="Q21" i="1"/>
  <c r="R21" i="1"/>
  <c r="Q22" i="1"/>
  <c r="R22" i="1"/>
  <c r="Q23" i="1"/>
  <c r="R23" i="1"/>
  <c r="Q18" i="13"/>
  <c r="R18" i="13" s="1"/>
  <c r="S18" i="13"/>
  <c r="Q19" i="13"/>
  <c r="R19" i="13" s="1"/>
  <c r="S19" i="13"/>
  <c r="Q20" i="13"/>
  <c r="R20" i="13" s="1"/>
  <c r="S20" i="13"/>
  <c r="Q21" i="13"/>
  <c r="R21" i="13" s="1"/>
  <c r="S21" i="13"/>
  <c r="Y5" i="24"/>
  <c r="Y7" i="24"/>
  <c r="Y8" i="24"/>
  <c r="Y9" i="24"/>
  <c r="Y19" i="24"/>
  <c r="Y4" i="24"/>
  <c r="X5" i="24"/>
  <c r="X7" i="24"/>
  <c r="X8" i="24"/>
  <c r="X9" i="24"/>
  <c r="X19" i="24"/>
  <c r="X4" i="24"/>
  <c r="S16" i="34"/>
  <c r="S17" i="34"/>
  <c r="S18" i="34"/>
  <c r="S19" i="34"/>
  <c r="S20" i="34"/>
  <c r="S21" i="34"/>
  <c r="S22" i="34"/>
  <c r="S23" i="34"/>
  <c r="S24" i="34"/>
  <c r="S25" i="34"/>
  <c r="S26" i="34"/>
  <c r="S27" i="34"/>
  <c r="S28" i="34"/>
  <c r="S3" i="34"/>
  <c r="S4" i="34"/>
  <c r="S5" i="34"/>
  <c r="S6" i="34"/>
  <c r="S7" i="34"/>
  <c r="S8" i="34"/>
  <c r="S9" i="34"/>
  <c r="S10" i="34"/>
  <c r="S11" i="34"/>
  <c r="S12" i="34"/>
  <c r="S13" i="34"/>
  <c r="S14" i="34"/>
  <c r="Q5" i="14"/>
  <c r="D111" i="66"/>
  <c r="D108" i="66"/>
  <c r="D109" i="66"/>
  <c r="D117" i="66"/>
  <c r="D110" i="66"/>
  <c r="D116" i="66"/>
  <c r="E108" i="66" l="1"/>
  <c r="Q6" i="70" l="1"/>
  <c r="T6" i="70" s="1"/>
  <c r="Q5" i="70"/>
  <c r="U5" i="70" s="1"/>
  <c r="Q4" i="70"/>
  <c r="T4" i="70" s="1"/>
  <c r="Q10" i="60"/>
  <c r="C10" i="60"/>
  <c r="D10" i="60"/>
  <c r="E10" i="60"/>
  <c r="F10" i="60"/>
  <c r="G10" i="60"/>
  <c r="H10" i="60"/>
  <c r="I10" i="60"/>
  <c r="J10" i="60"/>
  <c r="K10" i="60"/>
  <c r="L10" i="60"/>
  <c r="M10" i="60"/>
  <c r="N10" i="60"/>
  <c r="O10" i="60"/>
  <c r="P10" i="60"/>
  <c r="B10" i="60"/>
  <c r="U6" i="60"/>
  <c r="V6" i="60"/>
  <c r="W6" i="60"/>
  <c r="X6" i="60"/>
  <c r="Y6" i="60"/>
  <c r="Z6" i="60"/>
  <c r="AA6" i="60"/>
  <c r="AB6" i="60"/>
  <c r="AC6" i="60"/>
  <c r="AD6" i="60"/>
  <c r="AE6" i="60"/>
  <c r="T6" i="60"/>
  <c r="Z4" i="60"/>
  <c r="AB4" i="60"/>
  <c r="AB11" i="60"/>
  <c r="AA11" i="60"/>
  <c r="Z11" i="60"/>
  <c r="AB8" i="60"/>
  <c r="AB10" i="60" s="1"/>
  <c r="AB7" i="60"/>
  <c r="Z7" i="60"/>
  <c r="AB14" i="60"/>
  <c r="AA14" i="60"/>
  <c r="M29" i="69"/>
  <c r="M31" i="69"/>
  <c r="AC12" i="60"/>
  <c r="AA8" i="60"/>
  <c r="AA10" i="60" s="1"/>
  <c r="Z8" i="60"/>
  <c r="Y8" i="60"/>
  <c r="I86" i="45"/>
  <c r="I90" i="69"/>
  <c r="I89" i="69"/>
  <c r="I87" i="69"/>
  <c r="I86" i="69"/>
  <c r="I79" i="69"/>
  <c r="I78" i="69"/>
  <c r="I76" i="69"/>
  <c r="I75" i="69"/>
  <c r="I65" i="69"/>
  <c r="I64" i="69"/>
  <c r="I62" i="69"/>
  <c r="I61" i="69"/>
  <c r="I51" i="69"/>
  <c r="I50" i="69"/>
  <c r="I48" i="69"/>
  <c r="I47" i="69"/>
  <c r="M38" i="69"/>
  <c r="N38" i="69" s="1"/>
  <c r="M37" i="69"/>
  <c r="N37" i="69" s="1"/>
  <c r="M36" i="69"/>
  <c r="N36" i="69" s="1"/>
  <c r="M35" i="69"/>
  <c r="N35" i="69" s="1"/>
  <c r="M34" i="69"/>
  <c r="N34" i="69" s="1"/>
  <c r="M33" i="69"/>
  <c r="N33" i="69" s="1"/>
  <c r="M32" i="69"/>
  <c r="N32" i="69" s="1"/>
  <c r="N31" i="69"/>
  <c r="M30" i="69"/>
  <c r="N30" i="69" s="1"/>
  <c r="N29" i="69"/>
  <c r="I17" i="69"/>
  <c r="I16" i="69"/>
  <c r="I14" i="69"/>
  <c r="I13" i="69"/>
  <c r="I11" i="69"/>
  <c r="I10" i="69"/>
  <c r="R30" i="54"/>
  <c r="AM111" i="54"/>
  <c r="AM112" i="54"/>
  <c r="AM113" i="54"/>
  <c r="AM110" i="54"/>
  <c r="AM109" i="54"/>
  <c r="AL109" i="54"/>
  <c r="AK109" i="54"/>
  <c r="AJ109" i="54"/>
  <c r="AI109" i="54"/>
  <c r="AH109" i="54"/>
  <c r="AG109" i="54"/>
  <c r="AF113" i="54"/>
  <c r="AF112" i="54"/>
  <c r="AF111" i="54"/>
  <c r="AF110" i="54"/>
  <c r="AF6" i="60" l="1"/>
  <c r="T5" i="70"/>
  <c r="R5" i="70"/>
  <c r="S4" i="70"/>
  <c r="S6" i="70"/>
  <c r="U4" i="70"/>
  <c r="U6" i="70"/>
  <c r="R4" i="70"/>
  <c r="R6" i="70"/>
  <c r="S5" i="70"/>
  <c r="N39" i="69"/>
  <c r="AA50" i="54"/>
  <c r="AA49" i="54"/>
  <c r="AA48" i="54"/>
  <c r="AA47" i="54"/>
  <c r="S15" i="34"/>
  <c r="R20" i="34"/>
  <c r="M29" i="47"/>
  <c r="Z50" i="54"/>
  <c r="Z49" i="54"/>
  <c r="Z48" i="54"/>
  <c r="Z47" i="54"/>
  <c r="AV31" i="54" s="1"/>
  <c r="AV38" i="54" l="1"/>
  <c r="AV45" i="54"/>
  <c r="AV41" i="54"/>
  <c r="AV37" i="54"/>
  <c r="AV33" i="54"/>
  <c r="AV29" i="54"/>
  <c r="AV42" i="54"/>
  <c r="AV34" i="54"/>
  <c r="AV44" i="54"/>
  <c r="AV40" i="54"/>
  <c r="AV36" i="54"/>
  <c r="AV32" i="54"/>
  <c r="AV28" i="54"/>
  <c r="AV46" i="54"/>
  <c r="AV30" i="54"/>
  <c r="AV27" i="54"/>
  <c r="AV43" i="54"/>
  <c r="AV39" i="54"/>
  <c r="AV35" i="54"/>
  <c r="AI58" i="68"/>
  <c r="I58" i="68"/>
  <c r="I57" i="68"/>
  <c r="V58" i="68"/>
  <c r="AI59" i="68"/>
  <c r="V59" i="68"/>
  <c r="H57" i="68"/>
  <c r="AK58" i="68"/>
  <c r="U58" i="68"/>
  <c r="AH58" i="68"/>
  <c r="X58" i="68"/>
  <c r="K42" i="67" l="1"/>
  <c r="L42" i="67" s="1"/>
  <c r="J42" i="67"/>
  <c r="I42" i="67"/>
  <c r="L41" i="67"/>
  <c r="L40" i="67"/>
  <c r="C37" i="67"/>
  <c r="C44" i="67" s="1"/>
  <c r="E35" i="67" s="1"/>
  <c r="G57" i="68"/>
  <c r="AG58" i="68"/>
  <c r="T58" i="68"/>
  <c r="D44" i="67" l="1"/>
  <c r="B37" i="67"/>
  <c r="B36" i="67"/>
  <c r="B44" i="67" s="1"/>
  <c r="E44" i="67" l="1"/>
  <c r="AF114" i="67" l="1"/>
  <c r="AD114" i="67"/>
  <c r="T156" i="67"/>
  <c r="T140" i="67"/>
  <c r="S140" i="67"/>
  <c r="R140" i="67"/>
  <c r="R156" i="67"/>
  <c r="S156" i="67"/>
  <c r="AF53" i="67"/>
  <c r="AD53" i="67"/>
  <c r="O9" i="67"/>
  <c r="N9" i="67"/>
  <c r="M9" i="67"/>
  <c r="M29" i="45" l="1"/>
  <c r="M30" i="45"/>
  <c r="AL18" i="54" l="1"/>
  <c r="AL17" i="54"/>
  <c r="AL16" i="54"/>
  <c r="AL15" i="54"/>
  <c r="AL12" i="54"/>
  <c r="AE113" i="54"/>
  <c r="AE112" i="54"/>
  <c r="AE110" i="54"/>
  <c r="AE111" i="54"/>
  <c r="Y50" i="54"/>
  <c r="Y49" i="54"/>
  <c r="Y48" i="54"/>
  <c r="Y47" i="54"/>
  <c r="D14" i="58" l="1"/>
  <c r="E14" i="58"/>
  <c r="F14" i="58"/>
  <c r="G14" i="58"/>
  <c r="C14" i="58"/>
  <c r="J43" i="58"/>
  <c r="D13" i="58"/>
  <c r="E13" i="58"/>
  <c r="F13" i="58"/>
  <c r="G13" i="58"/>
  <c r="C13" i="58"/>
  <c r="J42" i="58"/>
  <c r="D12" i="58"/>
  <c r="E12" i="58"/>
  <c r="F12" i="58"/>
  <c r="G12" i="58"/>
  <c r="C12" i="58"/>
  <c r="J41" i="58"/>
  <c r="D11" i="58"/>
  <c r="E11" i="58"/>
  <c r="F11" i="58"/>
  <c r="G11" i="58"/>
  <c r="C11" i="58"/>
  <c r="J40" i="58"/>
  <c r="H39" i="58"/>
  <c r="H40" i="58"/>
  <c r="H41" i="58"/>
  <c r="H42" i="58"/>
  <c r="H43" i="58"/>
  <c r="J39" i="58"/>
  <c r="D20" i="58"/>
  <c r="E20" i="58"/>
  <c r="F20" i="58"/>
  <c r="G20" i="58"/>
  <c r="C20" i="58"/>
  <c r="J49" i="58"/>
  <c r="D19" i="58"/>
  <c r="E19" i="58"/>
  <c r="F19" i="58"/>
  <c r="G19" i="58"/>
  <c r="C19" i="58"/>
  <c r="D18" i="58"/>
  <c r="E18" i="58"/>
  <c r="F18" i="58"/>
  <c r="G18" i="58"/>
  <c r="C18" i="58"/>
  <c r="D17" i="58"/>
  <c r="E17" i="58"/>
  <c r="F17" i="58"/>
  <c r="G17" i="58"/>
  <c r="C17" i="58"/>
  <c r="D16" i="58"/>
  <c r="E16" i="58"/>
  <c r="F16" i="58"/>
  <c r="G16" i="58"/>
  <c r="C16" i="58"/>
  <c r="D15" i="58"/>
  <c r="E15" i="58"/>
  <c r="F15" i="58"/>
  <c r="G15" i="58"/>
  <c r="D10" i="58"/>
  <c r="E10" i="58"/>
  <c r="F10" i="58"/>
  <c r="G10" i="58"/>
  <c r="C10" i="58"/>
  <c r="C15" i="58"/>
  <c r="J48" i="58"/>
  <c r="J47" i="58"/>
  <c r="J46" i="58"/>
  <c r="J45" i="58"/>
  <c r="J44" i="58"/>
  <c r="D9" i="58"/>
  <c r="E9" i="58"/>
  <c r="F9" i="58"/>
  <c r="G9" i="58"/>
  <c r="J38" i="58"/>
  <c r="D8" i="58"/>
  <c r="E8" i="58"/>
  <c r="F8" i="58"/>
  <c r="G8" i="58"/>
  <c r="C8" i="58"/>
  <c r="J37" i="58"/>
  <c r="H36" i="58"/>
  <c r="J34" i="58"/>
  <c r="J35" i="58"/>
  <c r="J36" i="58"/>
  <c r="E7" i="58" s="1"/>
  <c r="J33" i="58"/>
  <c r="D6" i="58"/>
  <c r="E6" i="58"/>
  <c r="F6" i="58"/>
  <c r="G6" i="58"/>
  <c r="C6" i="58"/>
  <c r="D5" i="58"/>
  <c r="E5" i="58"/>
  <c r="F5" i="58"/>
  <c r="G5" i="58"/>
  <c r="C9" i="58"/>
  <c r="C5" i="58"/>
  <c r="G50" i="58"/>
  <c r="F50" i="58"/>
  <c r="E50" i="58"/>
  <c r="D50" i="58"/>
  <c r="C50" i="58"/>
  <c r="H49" i="58"/>
  <c r="H48" i="58"/>
  <c r="H47" i="58"/>
  <c r="H46" i="58"/>
  <c r="H45" i="58"/>
  <c r="H44" i="58"/>
  <c r="H38" i="58"/>
  <c r="H37" i="58"/>
  <c r="H35" i="58"/>
  <c r="H34" i="58"/>
  <c r="H33" i="58"/>
  <c r="J28" i="57"/>
  <c r="J27" i="57"/>
  <c r="J26" i="57"/>
  <c r="C7" i="58" l="1"/>
  <c r="F7" i="58"/>
  <c r="D7" i="58"/>
  <c r="G7" i="58"/>
  <c r="Q23" i="57"/>
  <c r="N15" i="57"/>
  <c r="N16" i="57"/>
  <c r="N17" i="57"/>
  <c r="N18" i="57"/>
  <c r="N19" i="57"/>
  <c r="N20" i="57"/>
  <c r="N21" i="57"/>
  <c r="N14" i="57"/>
  <c r="N6" i="57"/>
  <c r="N7" i="57"/>
  <c r="N8" i="57"/>
  <c r="N9" i="57"/>
  <c r="N10" i="57"/>
  <c r="N11" i="57"/>
  <c r="N12" i="57"/>
  <c r="N5" i="57"/>
  <c r="M1" i="57"/>
  <c r="N13" i="57"/>
  <c r="O13" i="57" s="1"/>
  <c r="V22" i="57" l="1"/>
  <c r="W22" i="57"/>
  <c r="X22" i="57"/>
  <c r="U22" i="57"/>
  <c r="O6" i="57" l="1"/>
  <c r="O7" i="57"/>
  <c r="O8" i="57"/>
  <c r="O9" i="57"/>
  <c r="O10" i="57"/>
  <c r="O11" i="57"/>
  <c r="O12" i="57"/>
  <c r="O14" i="57"/>
  <c r="O15" i="57"/>
  <c r="O16" i="57"/>
  <c r="O17" i="57"/>
  <c r="O18" i="57"/>
  <c r="O19" i="57"/>
  <c r="O20" i="57"/>
  <c r="O21" i="57"/>
  <c r="O5" i="57"/>
  <c r="Q22" i="57"/>
  <c r="I31" i="65" l="1"/>
  <c r="I30" i="65"/>
  <c r="I20" i="65"/>
  <c r="I19" i="65"/>
  <c r="I29" i="65"/>
  <c r="I28" i="65"/>
  <c r="I18" i="65"/>
  <c r="I17" i="65"/>
  <c r="I14" i="65"/>
  <c r="I13" i="65"/>
  <c r="I12" i="65"/>
  <c r="I11" i="65"/>
  <c r="E109" i="66"/>
  <c r="E110" i="66"/>
  <c r="E111" i="66"/>
  <c r="D112" i="66"/>
  <c r="E112" i="66" s="1"/>
  <c r="D113" i="66"/>
  <c r="E113" i="66" s="1"/>
  <c r="D114" i="66"/>
  <c r="E114" i="66" s="1"/>
  <c r="D115" i="66"/>
  <c r="E115" i="66" s="1"/>
  <c r="E116" i="66"/>
  <c r="E117" i="66"/>
  <c r="D118" i="66"/>
  <c r="E118" i="66" s="1"/>
  <c r="D119" i="66"/>
  <c r="E119" i="66" s="1"/>
  <c r="D120" i="66"/>
  <c r="E120" i="66" s="1"/>
  <c r="D121" i="66"/>
  <c r="E121" i="66" s="1"/>
  <c r="D122" i="66"/>
  <c r="E122" i="66" s="1"/>
  <c r="E123" i="66" l="1"/>
  <c r="O31" i="64"/>
  <c r="O30" i="64"/>
  <c r="O29" i="64"/>
  <c r="O28" i="64"/>
  <c r="O19" i="64"/>
  <c r="O18" i="64"/>
  <c r="O17" i="64"/>
  <c r="O16" i="64"/>
  <c r="O4" i="64"/>
  <c r="O5" i="64"/>
  <c r="O6" i="64"/>
  <c r="O7" i="64"/>
  <c r="M30" i="44"/>
  <c r="M29" i="44"/>
  <c r="M30" i="43"/>
  <c r="M29" i="43"/>
  <c r="M29" i="42"/>
  <c r="M32" i="40"/>
  <c r="M37" i="40"/>
  <c r="M29" i="40"/>
  <c r="M29" i="39" l="1"/>
  <c r="M37" i="39"/>
  <c r="M29" i="41"/>
  <c r="M37" i="41"/>
  <c r="M32" i="41"/>
  <c r="I16" i="41"/>
  <c r="I13" i="41"/>
  <c r="I11" i="41"/>
  <c r="I90" i="47"/>
  <c r="I89" i="47"/>
  <c r="I87" i="47"/>
  <c r="I86" i="47"/>
  <c r="I79" i="47"/>
  <c r="I78" i="47"/>
  <c r="I76" i="47"/>
  <c r="I75" i="47"/>
  <c r="I65" i="47"/>
  <c r="I64" i="47"/>
  <c r="I62" i="47"/>
  <c r="I61" i="47"/>
  <c r="I51" i="47"/>
  <c r="I50" i="47"/>
  <c r="I48" i="47"/>
  <c r="I47" i="47"/>
  <c r="M38" i="47"/>
  <c r="N38" i="47" s="1"/>
  <c r="M37" i="47"/>
  <c r="N37" i="47" s="1"/>
  <c r="M36" i="47"/>
  <c r="N36" i="47" s="1"/>
  <c r="M35" i="47"/>
  <c r="N35" i="47" s="1"/>
  <c r="M34" i="47"/>
  <c r="N34" i="47" s="1"/>
  <c r="M33" i="47"/>
  <c r="N33" i="47" s="1"/>
  <c r="M32" i="47"/>
  <c r="N32" i="47" s="1"/>
  <c r="M31" i="47"/>
  <c r="N31" i="47" s="1"/>
  <c r="M30" i="47"/>
  <c r="N30" i="47" s="1"/>
  <c r="N29" i="47"/>
  <c r="I17" i="47"/>
  <c r="I16" i="47"/>
  <c r="I14" i="47"/>
  <c r="I13" i="47"/>
  <c r="I11" i="47"/>
  <c r="I10" i="47"/>
  <c r="I72" i="46"/>
  <c r="I71" i="46"/>
  <c r="I69" i="46"/>
  <c r="I68" i="46"/>
  <c r="I61" i="46"/>
  <c r="I60" i="46"/>
  <c r="I58" i="46"/>
  <c r="I57" i="46"/>
  <c r="I47" i="46"/>
  <c r="I46" i="46"/>
  <c r="I44" i="46"/>
  <c r="I43" i="46"/>
  <c r="I33" i="46"/>
  <c r="I32" i="46"/>
  <c r="I30" i="46"/>
  <c r="I29" i="46"/>
  <c r="I14" i="46"/>
  <c r="I13" i="46"/>
  <c r="I11" i="46"/>
  <c r="I10" i="46"/>
  <c r="I8" i="46"/>
  <c r="I7" i="46"/>
  <c r="I90" i="45"/>
  <c r="I89" i="45"/>
  <c r="I87" i="45"/>
  <c r="I79" i="45"/>
  <c r="I78" i="45"/>
  <c r="I76" i="45"/>
  <c r="I75" i="45"/>
  <c r="I65" i="45"/>
  <c r="I64" i="45"/>
  <c r="I62" i="45"/>
  <c r="I61" i="45"/>
  <c r="I51" i="45"/>
  <c r="I50" i="45"/>
  <c r="I48" i="45"/>
  <c r="I47" i="45"/>
  <c r="M38" i="45"/>
  <c r="N38" i="45" s="1"/>
  <c r="M37" i="45"/>
  <c r="N37" i="45" s="1"/>
  <c r="M36" i="45"/>
  <c r="N36" i="45" s="1"/>
  <c r="M35" i="45"/>
  <c r="N35" i="45" s="1"/>
  <c r="M34" i="45"/>
  <c r="N34" i="45" s="1"/>
  <c r="M33" i="45"/>
  <c r="N33" i="45" s="1"/>
  <c r="M32" i="45"/>
  <c r="N32" i="45" s="1"/>
  <c r="M31" i="45"/>
  <c r="N31" i="45" s="1"/>
  <c r="N30" i="45"/>
  <c r="N29" i="45"/>
  <c r="I17" i="45"/>
  <c r="I16" i="45"/>
  <c r="I14" i="45"/>
  <c r="I13" i="45"/>
  <c r="I11" i="45"/>
  <c r="I10" i="45"/>
  <c r="I90" i="44"/>
  <c r="I89" i="44"/>
  <c r="I87" i="44"/>
  <c r="I86" i="44"/>
  <c r="I79" i="44"/>
  <c r="I78" i="44"/>
  <c r="I76" i="44"/>
  <c r="I75" i="44"/>
  <c r="I65" i="44"/>
  <c r="I64" i="44"/>
  <c r="I62" i="44"/>
  <c r="I61" i="44"/>
  <c r="I51" i="44"/>
  <c r="I50" i="44"/>
  <c r="I48" i="44"/>
  <c r="I47" i="44"/>
  <c r="M38" i="44"/>
  <c r="N38" i="44" s="1"/>
  <c r="M37" i="44"/>
  <c r="N37" i="44" s="1"/>
  <c r="M36" i="44"/>
  <c r="N36" i="44" s="1"/>
  <c r="M35" i="44"/>
  <c r="N35" i="44" s="1"/>
  <c r="M34" i="44"/>
  <c r="N34" i="44" s="1"/>
  <c r="M33" i="44"/>
  <c r="N33" i="44" s="1"/>
  <c r="M32" i="44"/>
  <c r="N32" i="44" s="1"/>
  <c r="M31" i="44"/>
  <c r="N31" i="44" s="1"/>
  <c r="N30" i="44"/>
  <c r="N29" i="44"/>
  <c r="I17" i="44"/>
  <c r="I16" i="44"/>
  <c r="I14" i="44"/>
  <c r="I13" i="44"/>
  <c r="I11" i="44"/>
  <c r="I10" i="44"/>
  <c r="I90" i="43"/>
  <c r="I89" i="43"/>
  <c r="I87" i="43"/>
  <c r="I86" i="43"/>
  <c r="I79" i="43"/>
  <c r="I78" i="43"/>
  <c r="I76" i="43"/>
  <c r="I75" i="43"/>
  <c r="I65" i="43"/>
  <c r="I64" i="43"/>
  <c r="I62" i="43"/>
  <c r="I61" i="43"/>
  <c r="I51" i="43"/>
  <c r="I50" i="43"/>
  <c r="I48" i="43"/>
  <c r="I47" i="43"/>
  <c r="M38" i="43"/>
  <c r="N38" i="43" s="1"/>
  <c r="M37" i="43"/>
  <c r="N37" i="43" s="1"/>
  <c r="M36" i="43"/>
  <c r="N36" i="43" s="1"/>
  <c r="M35" i="43"/>
  <c r="N35" i="43" s="1"/>
  <c r="M34" i="43"/>
  <c r="N34" i="43" s="1"/>
  <c r="M33" i="43"/>
  <c r="N33" i="43" s="1"/>
  <c r="M32" i="43"/>
  <c r="N32" i="43" s="1"/>
  <c r="M31" i="43"/>
  <c r="N31" i="43" s="1"/>
  <c r="N30" i="43"/>
  <c r="N29" i="43"/>
  <c r="I17" i="43"/>
  <c r="I16" i="43"/>
  <c r="I14" i="43"/>
  <c r="I13" i="43"/>
  <c r="I11" i="43"/>
  <c r="I10" i="43"/>
  <c r="I90" i="42"/>
  <c r="I89" i="42"/>
  <c r="I87" i="42"/>
  <c r="I86" i="42"/>
  <c r="I79" i="42"/>
  <c r="I78" i="42"/>
  <c r="I76" i="42"/>
  <c r="I75" i="42"/>
  <c r="I65" i="42"/>
  <c r="I64" i="42"/>
  <c r="I62" i="42"/>
  <c r="I61" i="42"/>
  <c r="I51" i="42"/>
  <c r="I50" i="42"/>
  <c r="I48" i="42"/>
  <c r="I47" i="42"/>
  <c r="M38" i="42"/>
  <c r="N38" i="42" s="1"/>
  <c r="M37" i="42"/>
  <c r="N37" i="42" s="1"/>
  <c r="M36" i="42"/>
  <c r="N36" i="42" s="1"/>
  <c r="M35" i="42"/>
  <c r="N35" i="42" s="1"/>
  <c r="M34" i="42"/>
  <c r="N34" i="42" s="1"/>
  <c r="M33" i="42"/>
  <c r="N33" i="42" s="1"/>
  <c r="M32" i="42"/>
  <c r="N32" i="42" s="1"/>
  <c r="M31" i="42"/>
  <c r="N31" i="42" s="1"/>
  <c r="M30" i="42"/>
  <c r="N30" i="42" s="1"/>
  <c r="N29" i="42"/>
  <c r="N39" i="42" s="1"/>
  <c r="I17" i="42"/>
  <c r="I16" i="42"/>
  <c r="I14" i="42"/>
  <c r="I13" i="42"/>
  <c r="I11" i="42"/>
  <c r="I10" i="42"/>
  <c r="I90" i="41"/>
  <c r="I89" i="41"/>
  <c r="I87" i="41"/>
  <c r="I86" i="41"/>
  <c r="I79" i="41"/>
  <c r="I78" i="41"/>
  <c r="I76" i="41"/>
  <c r="I75" i="41"/>
  <c r="I65" i="41"/>
  <c r="I64" i="41"/>
  <c r="I62" i="41"/>
  <c r="I61" i="41"/>
  <c r="I51" i="41"/>
  <c r="I50" i="41"/>
  <c r="I48" i="41"/>
  <c r="I47" i="41"/>
  <c r="M38" i="41"/>
  <c r="N38" i="41" s="1"/>
  <c r="N37" i="41"/>
  <c r="M36" i="41"/>
  <c r="N36" i="41" s="1"/>
  <c r="M35" i="41"/>
  <c r="N35" i="41" s="1"/>
  <c r="M34" i="41"/>
  <c r="N34" i="41" s="1"/>
  <c r="M33" i="41"/>
  <c r="N33" i="41" s="1"/>
  <c r="N32" i="41"/>
  <c r="M31" i="41"/>
  <c r="N31" i="41" s="1"/>
  <c r="M30" i="41"/>
  <c r="N30" i="41" s="1"/>
  <c r="N29" i="41"/>
  <c r="I17" i="41"/>
  <c r="I14" i="41"/>
  <c r="I10" i="41"/>
  <c r="I90" i="40"/>
  <c r="I89" i="40"/>
  <c r="I87" i="40"/>
  <c r="I86" i="40"/>
  <c r="I79" i="40"/>
  <c r="I78" i="40"/>
  <c r="I76" i="40"/>
  <c r="I75" i="40"/>
  <c r="I65" i="40"/>
  <c r="I64" i="40"/>
  <c r="I62" i="40"/>
  <c r="I61" i="40"/>
  <c r="I51" i="40"/>
  <c r="I50" i="40"/>
  <c r="I48" i="40"/>
  <c r="I47" i="40"/>
  <c r="M38" i="40"/>
  <c r="N38" i="40" s="1"/>
  <c r="N37" i="40"/>
  <c r="M36" i="40"/>
  <c r="N36" i="40" s="1"/>
  <c r="M35" i="40"/>
  <c r="N35" i="40" s="1"/>
  <c r="M34" i="40"/>
  <c r="N34" i="40" s="1"/>
  <c r="M33" i="40"/>
  <c r="N33" i="40" s="1"/>
  <c r="N32" i="40"/>
  <c r="M31" i="40"/>
  <c r="N31" i="40" s="1"/>
  <c r="M30" i="40"/>
  <c r="N30" i="40" s="1"/>
  <c r="N29" i="40"/>
  <c r="I17" i="40"/>
  <c r="I16" i="40"/>
  <c r="I14" i="40"/>
  <c r="I13" i="40"/>
  <c r="I11" i="40"/>
  <c r="I10" i="40"/>
  <c r="I90" i="39"/>
  <c r="I89" i="39"/>
  <c r="I87" i="39"/>
  <c r="I86" i="39"/>
  <c r="I79" i="39"/>
  <c r="I78" i="39"/>
  <c r="I76" i="39"/>
  <c r="I75" i="39"/>
  <c r="I65" i="39"/>
  <c r="I64" i="39"/>
  <c r="I62" i="39"/>
  <c r="I61" i="39"/>
  <c r="I51" i="39"/>
  <c r="I50" i="39"/>
  <c r="I48" i="39"/>
  <c r="I47" i="39"/>
  <c r="M38" i="39"/>
  <c r="N38" i="39" s="1"/>
  <c r="N37" i="39"/>
  <c r="M36" i="39"/>
  <c r="N36" i="39" s="1"/>
  <c r="M35" i="39"/>
  <c r="N35" i="39" s="1"/>
  <c r="M34" i="39"/>
  <c r="N34" i="39" s="1"/>
  <c r="M33" i="39"/>
  <c r="N33" i="39" s="1"/>
  <c r="M32" i="39"/>
  <c r="N32" i="39" s="1"/>
  <c r="M31" i="39"/>
  <c r="N31" i="39" s="1"/>
  <c r="M30" i="39"/>
  <c r="N30" i="39" s="1"/>
  <c r="N29" i="39"/>
  <c r="I17" i="39"/>
  <c r="I16" i="39"/>
  <c r="I14" i="39"/>
  <c r="I13" i="39"/>
  <c r="I11" i="39"/>
  <c r="I10" i="39"/>
  <c r="X50" i="54"/>
  <c r="X49" i="54"/>
  <c r="X48" i="54"/>
  <c r="X47" i="54"/>
  <c r="R31" i="54"/>
  <c r="AU44" i="54" l="1"/>
  <c r="AU46" i="54"/>
  <c r="AU42" i="54"/>
  <c r="AU43" i="54"/>
  <c r="AU45" i="54"/>
  <c r="AU28" i="54"/>
  <c r="AU27" i="54"/>
  <c r="AU29" i="54"/>
  <c r="AU30" i="54"/>
  <c r="AU31" i="54"/>
  <c r="N39" i="47"/>
  <c r="AU35" i="54"/>
  <c r="AU34" i="54"/>
  <c r="AU36" i="54"/>
  <c r="AU33" i="54"/>
  <c r="AU32" i="54"/>
  <c r="AU37" i="54"/>
  <c r="AU38" i="54"/>
  <c r="AU40" i="54"/>
  <c r="AU39" i="54"/>
  <c r="AU41" i="54"/>
  <c r="N39" i="45"/>
  <c r="N39" i="44"/>
  <c r="N39" i="40"/>
  <c r="N39" i="43"/>
  <c r="N39" i="41"/>
  <c r="N39" i="39"/>
  <c r="M29" i="29"/>
  <c r="M29" i="35"/>
  <c r="M29" i="38"/>
  <c r="M29" i="37"/>
  <c r="M31" i="38" l="1"/>
  <c r="N29" i="38"/>
  <c r="I90" i="38"/>
  <c r="I89" i="38"/>
  <c r="I87" i="38"/>
  <c r="I86" i="38"/>
  <c r="I79" i="38"/>
  <c r="I78" i="38"/>
  <c r="I76" i="38"/>
  <c r="I75" i="38"/>
  <c r="I65" i="38"/>
  <c r="I64" i="38"/>
  <c r="I62" i="38"/>
  <c r="I61" i="38"/>
  <c r="I51" i="38"/>
  <c r="I50" i="38"/>
  <c r="I48" i="38"/>
  <c r="I47" i="38"/>
  <c r="M38" i="38"/>
  <c r="N38" i="38" s="1"/>
  <c r="M37" i="38"/>
  <c r="N37" i="38" s="1"/>
  <c r="M36" i="38"/>
  <c r="N36" i="38" s="1"/>
  <c r="M35" i="38"/>
  <c r="N35" i="38" s="1"/>
  <c r="M34" i="38"/>
  <c r="N34" i="38" s="1"/>
  <c r="M33" i="38"/>
  <c r="N33" i="38" s="1"/>
  <c r="M32" i="38"/>
  <c r="N32" i="38" s="1"/>
  <c r="N31" i="38"/>
  <c r="M30" i="38"/>
  <c r="N30" i="38" s="1"/>
  <c r="I17" i="38"/>
  <c r="I16" i="38"/>
  <c r="I14" i="38"/>
  <c r="I13" i="38"/>
  <c r="I11" i="38"/>
  <c r="I10" i="38"/>
  <c r="N29" i="37"/>
  <c r="M36" i="37"/>
  <c r="N36" i="37" s="1"/>
  <c r="M32" i="37"/>
  <c r="I90" i="37"/>
  <c r="I89" i="37"/>
  <c r="I87" i="37"/>
  <c r="I86" i="37"/>
  <c r="I79" i="37"/>
  <c r="I78" i="37"/>
  <c r="I76" i="37"/>
  <c r="I75" i="37"/>
  <c r="I65" i="37"/>
  <c r="I64" i="37"/>
  <c r="I62" i="37"/>
  <c r="I61" i="37"/>
  <c r="I51" i="37"/>
  <c r="I50" i="37"/>
  <c r="I48" i="37"/>
  <c r="I47" i="37"/>
  <c r="M38" i="37"/>
  <c r="N38" i="37" s="1"/>
  <c r="M37" i="37"/>
  <c r="N37" i="37" s="1"/>
  <c r="M35" i="37"/>
  <c r="N35" i="37" s="1"/>
  <c r="M34" i="37"/>
  <c r="N34" i="37" s="1"/>
  <c r="M33" i="37"/>
  <c r="N33" i="37" s="1"/>
  <c r="N32" i="37"/>
  <c r="M31" i="37"/>
  <c r="N31" i="37" s="1"/>
  <c r="M30" i="37"/>
  <c r="N30" i="37" s="1"/>
  <c r="I17" i="37"/>
  <c r="I16" i="37"/>
  <c r="I14" i="37"/>
  <c r="I13" i="37"/>
  <c r="I11" i="37"/>
  <c r="I10" i="37"/>
  <c r="Q6" i="60"/>
  <c r="U8" i="60"/>
  <c r="U10" i="60" s="1"/>
  <c r="V8" i="60"/>
  <c r="V10" i="60" s="1"/>
  <c r="W8" i="60"/>
  <c r="U7" i="60"/>
  <c r="V7" i="60"/>
  <c r="W7" i="60"/>
  <c r="T8" i="60"/>
  <c r="T10" i="60" s="1"/>
  <c r="M29" i="36"/>
  <c r="M36" i="36"/>
  <c r="M32" i="36"/>
  <c r="N39" i="38" l="1"/>
  <c r="N39" i="37"/>
  <c r="I90" i="36"/>
  <c r="I89" i="36"/>
  <c r="I87" i="36"/>
  <c r="I86" i="36"/>
  <c r="I79" i="36"/>
  <c r="I78" i="36"/>
  <c r="I76" i="36"/>
  <c r="I75" i="36"/>
  <c r="I65" i="36"/>
  <c r="I64" i="36"/>
  <c r="I62" i="36"/>
  <c r="I61" i="36"/>
  <c r="I51" i="36"/>
  <c r="I50" i="36"/>
  <c r="I48" i="36"/>
  <c r="I47" i="36"/>
  <c r="M38" i="36"/>
  <c r="N38" i="36" s="1"/>
  <c r="M37" i="36"/>
  <c r="N37" i="36" s="1"/>
  <c r="N36" i="36"/>
  <c r="M35" i="36"/>
  <c r="N35" i="36" s="1"/>
  <c r="M34" i="36"/>
  <c r="N34" i="36" s="1"/>
  <c r="M33" i="36"/>
  <c r="N33" i="36" s="1"/>
  <c r="N32" i="36"/>
  <c r="M31" i="36"/>
  <c r="N31" i="36" s="1"/>
  <c r="M30" i="36"/>
  <c r="N30" i="36" s="1"/>
  <c r="N29" i="36"/>
  <c r="I17" i="36"/>
  <c r="I16" i="36"/>
  <c r="I14" i="36"/>
  <c r="I13" i="36"/>
  <c r="I11" i="36"/>
  <c r="I10" i="36"/>
  <c r="I90" i="35"/>
  <c r="I89" i="35"/>
  <c r="I87" i="35"/>
  <c r="I86" i="35"/>
  <c r="I79" i="35"/>
  <c r="I78" i="35"/>
  <c r="I76" i="35"/>
  <c r="I75" i="35"/>
  <c r="I65" i="35"/>
  <c r="I64" i="35"/>
  <c r="I62" i="35"/>
  <c r="I61" i="35"/>
  <c r="I51" i="35"/>
  <c r="I50" i="35"/>
  <c r="I48" i="35"/>
  <c r="I47" i="35"/>
  <c r="M38" i="35"/>
  <c r="N38" i="35" s="1"/>
  <c r="M37" i="35"/>
  <c r="N37" i="35" s="1"/>
  <c r="M36" i="35"/>
  <c r="N36" i="35" s="1"/>
  <c r="M35" i="35"/>
  <c r="N35" i="35" s="1"/>
  <c r="M34" i="35"/>
  <c r="N34" i="35" s="1"/>
  <c r="M33" i="35"/>
  <c r="N33" i="35" s="1"/>
  <c r="M32" i="35"/>
  <c r="N32" i="35" s="1"/>
  <c r="M31" i="35"/>
  <c r="N31" i="35" s="1"/>
  <c r="M30" i="35"/>
  <c r="N30" i="35" s="1"/>
  <c r="N29" i="35"/>
  <c r="I17" i="35"/>
  <c r="I16" i="35"/>
  <c r="I14" i="35"/>
  <c r="I13" i="35"/>
  <c r="I11" i="35"/>
  <c r="I10" i="35"/>
  <c r="R47" i="54"/>
  <c r="B10" i="26"/>
  <c r="L9" i="26"/>
  <c r="M9" i="26"/>
  <c r="L10" i="26"/>
  <c r="M10" i="26"/>
  <c r="L11" i="26"/>
  <c r="M11" i="26"/>
  <c r="K10" i="26"/>
  <c r="K11" i="26"/>
  <c r="K9" i="26"/>
  <c r="C10" i="26"/>
  <c r="D10" i="26"/>
  <c r="E10" i="26"/>
  <c r="F10" i="26"/>
  <c r="G10" i="26"/>
  <c r="C11" i="26"/>
  <c r="D11" i="26"/>
  <c r="E11" i="26"/>
  <c r="F11" i="26"/>
  <c r="G11" i="26"/>
  <c r="D9" i="26"/>
  <c r="E9" i="26"/>
  <c r="F9" i="26"/>
  <c r="G9" i="26"/>
  <c r="R10" i="34"/>
  <c r="M29" i="32"/>
  <c r="I90" i="32"/>
  <c r="I89" i="32"/>
  <c r="I87" i="32"/>
  <c r="I86" i="32"/>
  <c r="I79" i="32"/>
  <c r="I78" i="32"/>
  <c r="I76" i="32"/>
  <c r="I75" i="32"/>
  <c r="I65" i="32"/>
  <c r="I64" i="32"/>
  <c r="I62" i="32"/>
  <c r="I61" i="32"/>
  <c r="I51" i="32"/>
  <c r="I50" i="32"/>
  <c r="I48" i="32"/>
  <c r="I47" i="32"/>
  <c r="M38" i="32"/>
  <c r="N38" i="32" s="1"/>
  <c r="M37" i="32"/>
  <c r="N37" i="32" s="1"/>
  <c r="M36" i="32"/>
  <c r="N36" i="32" s="1"/>
  <c r="M35" i="32"/>
  <c r="N35" i="32" s="1"/>
  <c r="M34" i="32"/>
  <c r="N34" i="32" s="1"/>
  <c r="M33" i="32"/>
  <c r="N33" i="32" s="1"/>
  <c r="M32" i="32"/>
  <c r="N32" i="32" s="1"/>
  <c r="M31" i="32"/>
  <c r="N31" i="32" s="1"/>
  <c r="M30" i="32"/>
  <c r="N30" i="32" s="1"/>
  <c r="N29" i="32"/>
  <c r="I17" i="32"/>
  <c r="I16" i="32"/>
  <c r="I14" i="32"/>
  <c r="I13" i="32"/>
  <c r="I11" i="32"/>
  <c r="I10" i="32"/>
  <c r="AP31" i="54" l="1"/>
  <c r="AP28" i="54"/>
  <c r="AP27" i="54"/>
  <c r="AP30" i="54"/>
  <c r="AP29" i="54"/>
  <c r="N39" i="36"/>
  <c r="N39" i="35"/>
  <c r="N39" i="32"/>
  <c r="J81" i="29"/>
  <c r="J80" i="29"/>
  <c r="J78" i="29"/>
  <c r="J77" i="29"/>
  <c r="J59" i="29"/>
  <c r="J58" i="29"/>
  <c r="J56" i="29"/>
  <c r="J55" i="29"/>
  <c r="J48" i="29"/>
  <c r="J49" i="29"/>
  <c r="J46" i="29"/>
  <c r="J45" i="29"/>
  <c r="J72" i="29"/>
  <c r="J71" i="29"/>
  <c r="J69" i="29"/>
  <c r="J68" i="29"/>
  <c r="M36" i="29"/>
  <c r="M32" i="29"/>
  <c r="J13" i="29"/>
  <c r="J16" i="29"/>
  <c r="J15" i="29"/>
  <c r="J12" i="29"/>
  <c r="J10" i="29"/>
  <c r="J9" i="29"/>
  <c r="T29" i="15"/>
  <c r="AT26" i="25"/>
  <c r="AT27" i="25" s="1"/>
  <c r="AT23" i="25"/>
  <c r="AT24" i="25" s="1"/>
  <c r="AT20" i="25"/>
  <c r="AT21" i="25" s="1"/>
  <c r="AT17" i="25"/>
  <c r="AT18" i="25" s="1"/>
  <c r="AT9" i="25"/>
  <c r="AT10" i="25" s="1"/>
  <c r="AT6" i="25"/>
  <c r="AT7" i="25" s="1"/>
  <c r="AT3" i="25"/>
  <c r="AT4" i="25" s="1"/>
  <c r="AT12" i="25" s="1"/>
  <c r="V19" i="20"/>
  <c r="V20" i="20" s="1"/>
  <c r="V22" i="20"/>
  <c r="V23" i="20" s="1"/>
  <c r="V25" i="20"/>
  <c r="V26" i="20" s="1"/>
  <c r="V30" i="20"/>
  <c r="V31" i="20" s="1"/>
  <c r="V36" i="20"/>
  <c r="V37" i="20" s="1"/>
  <c r="V33" i="20"/>
  <c r="V34" i="20" s="1"/>
  <c r="C115" i="23"/>
  <c r="G114" i="23" s="1"/>
  <c r="G90" i="22"/>
  <c r="G113" i="22" s="1"/>
  <c r="AC10" i="24"/>
  <c r="AD7" i="24"/>
  <c r="AD8" i="24"/>
  <c r="AD16" i="24"/>
  <c r="AD5" i="24"/>
  <c r="S4" i="13"/>
  <c r="S5" i="13"/>
  <c r="S7" i="13"/>
  <c r="S8" i="13"/>
  <c r="S9" i="13"/>
  <c r="S10" i="13"/>
  <c r="S11" i="13"/>
  <c r="S12" i="13"/>
  <c r="S13" i="13"/>
  <c r="S14" i="13"/>
  <c r="S15" i="13"/>
  <c r="S16" i="13"/>
  <c r="S17" i="13"/>
  <c r="S3" i="13"/>
  <c r="L16" i="12"/>
  <c r="M16" i="12"/>
  <c r="L17" i="12"/>
  <c r="M17" i="12"/>
  <c r="L18" i="12"/>
  <c r="M18" i="12"/>
  <c r="L19" i="12"/>
  <c r="M19" i="12"/>
  <c r="L20" i="12"/>
  <c r="M20" i="12"/>
  <c r="K17" i="12"/>
  <c r="K18" i="12"/>
  <c r="K19" i="12"/>
  <c r="K20" i="12"/>
  <c r="K16" i="12"/>
  <c r="C16" i="12"/>
  <c r="D16" i="12"/>
  <c r="E16" i="12"/>
  <c r="F16" i="12"/>
  <c r="G16" i="12"/>
  <c r="C17" i="12"/>
  <c r="D17" i="12"/>
  <c r="E17" i="12"/>
  <c r="F17" i="12"/>
  <c r="G17" i="12"/>
  <c r="C18" i="12"/>
  <c r="D18" i="12"/>
  <c r="E18" i="12"/>
  <c r="F18" i="12"/>
  <c r="G18" i="12"/>
  <c r="C19" i="12"/>
  <c r="D19" i="12"/>
  <c r="E19" i="12"/>
  <c r="F19" i="12"/>
  <c r="G19" i="12"/>
  <c r="C20" i="12"/>
  <c r="D20" i="12"/>
  <c r="E20" i="12"/>
  <c r="F20" i="12"/>
  <c r="G20" i="12"/>
  <c r="B17" i="12"/>
  <c r="B18" i="12"/>
  <c r="B19" i="12"/>
  <c r="B20" i="12"/>
  <c r="B16" i="12"/>
  <c r="L14" i="14"/>
  <c r="M14" i="14"/>
  <c r="K14" i="14"/>
  <c r="C14" i="14"/>
  <c r="D14" i="14"/>
  <c r="E14" i="14"/>
  <c r="F14" i="14"/>
  <c r="G14" i="14"/>
  <c r="B14" i="14"/>
  <c r="L55" i="3"/>
  <c r="M55" i="3"/>
  <c r="L56" i="3"/>
  <c r="M56" i="3"/>
  <c r="L57" i="3"/>
  <c r="M57" i="3"/>
  <c r="L58" i="3"/>
  <c r="M58" i="3"/>
  <c r="L59" i="3"/>
  <c r="M59" i="3"/>
  <c r="K56" i="3"/>
  <c r="K57" i="3"/>
  <c r="K58" i="3"/>
  <c r="K59" i="3"/>
  <c r="K55" i="3"/>
  <c r="C55" i="3"/>
  <c r="D55" i="3"/>
  <c r="E55" i="3"/>
  <c r="F55" i="3"/>
  <c r="G55" i="3"/>
  <c r="C56" i="3"/>
  <c r="D56" i="3"/>
  <c r="E56" i="3"/>
  <c r="F56" i="3"/>
  <c r="G56" i="3"/>
  <c r="C57" i="3"/>
  <c r="D57" i="3"/>
  <c r="E57" i="3"/>
  <c r="F57" i="3"/>
  <c r="G57" i="3"/>
  <c r="C58" i="3"/>
  <c r="D58" i="3"/>
  <c r="E58" i="3"/>
  <c r="F58" i="3"/>
  <c r="G58" i="3"/>
  <c r="C59" i="3"/>
  <c r="D59" i="3"/>
  <c r="E59" i="3"/>
  <c r="F59" i="3"/>
  <c r="G59" i="3"/>
  <c r="B56" i="3"/>
  <c r="B57" i="3"/>
  <c r="B58" i="3"/>
  <c r="B59" i="3"/>
  <c r="B55" i="3"/>
  <c r="L15" i="3"/>
  <c r="M15" i="3"/>
  <c r="L16" i="3"/>
  <c r="M16" i="3"/>
  <c r="L17" i="3"/>
  <c r="M17" i="3"/>
  <c r="L18" i="3"/>
  <c r="M18" i="3"/>
  <c r="L19" i="3"/>
  <c r="M19" i="3"/>
  <c r="K16" i="3"/>
  <c r="K17" i="3"/>
  <c r="K18" i="3"/>
  <c r="K19" i="3"/>
  <c r="K15" i="3"/>
  <c r="C15" i="3"/>
  <c r="D15" i="3"/>
  <c r="E15" i="3"/>
  <c r="F15" i="3"/>
  <c r="G15" i="3"/>
  <c r="C16" i="3"/>
  <c r="D16" i="3"/>
  <c r="E16" i="3"/>
  <c r="F16" i="3"/>
  <c r="G16" i="3"/>
  <c r="C17" i="3"/>
  <c r="D17" i="3"/>
  <c r="E17" i="3"/>
  <c r="F17" i="3"/>
  <c r="G17" i="3"/>
  <c r="C18" i="3"/>
  <c r="D18" i="3"/>
  <c r="E18" i="3"/>
  <c r="F18" i="3"/>
  <c r="G18" i="3"/>
  <c r="C19" i="3"/>
  <c r="D19" i="3"/>
  <c r="E19" i="3"/>
  <c r="F19" i="3"/>
  <c r="G19" i="3"/>
  <c r="B16" i="3"/>
  <c r="B17" i="3"/>
  <c r="B18" i="3"/>
  <c r="B19" i="3"/>
  <c r="B15" i="3"/>
  <c r="L14" i="15"/>
  <c r="M14" i="15"/>
  <c r="L15" i="15"/>
  <c r="M15" i="15"/>
  <c r="L16" i="15"/>
  <c r="M16" i="15"/>
  <c r="L17" i="15"/>
  <c r="M17" i="15"/>
  <c r="L18" i="15"/>
  <c r="M18" i="15"/>
  <c r="K15" i="15"/>
  <c r="K16" i="15"/>
  <c r="K17" i="15"/>
  <c r="K18" i="15"/>
  <c r="K14" i="15"/>
  <c r="C14" i="15"/>
  <c r="D14" i="15"/>
  <c r="E14" i="15"/>
  <c r="F14" i="15"/>
  <c r="G14" i="15"/>
  <c r="C15" i="15"/>
  <c r="D15" i="15"/>
  <c r="E15" i="15"/>
  <c r="F15" i="15"/>
  <c r="G15" i="15"/>
  <c r="C16" i="15"/>
  <c r="D16" i="15"/>
  <c r="E16" i="15"/>
  <c r="F16" i="15"/>
  <c r="G16" i="15"/>
  <c r="C17" i="15"/>
  <c r="D17" i="15"/>
  <c r="E17" i="15"/>
  <c r="F17" i="15"/>
  <c r="G17" i="15"/>
  <c r="C18" i="15"/>
  <c r="D18" i="15"/>
  <c r="E18" i="15"/>
  <c r="F18" i="15"/>
  <c r="G18" i="15"/>
  <c r="B15" i="15"/>
  <c r="B16" i="15"/>
  <c r="B17" i="15"/>
  <c r="B18" i="15"/>
  <c r="B14" i="15"/>
  <c r="O20" i="15"/>
  <c r="O21" i="15"/>
  <c r="V18" i="24"/>
  <c r="V14" i="24"/>
  <c r="AC12" i="24" s="1"/>
  <c r="V10" i="24"/>
  <c r="V6" i="24"/>
  <c r="M15" i="26"/>
  <c r="M23" i="26" s="1"/>
  <c r="L15" i="26"/>
  <c r="L23" i="26" s="1"/>
  <c r="K15" i="26"/>
  <c r="K23" i="26" s="1"/>
  <c r="J11" i="26"/>
  <c r="J15" i="26" s="1"/>
  <c r="J23" i="26" s="1"/>
  <c r="I11" i="26"/>
  <c r="I15" i="26" s="1"/>
  <c r="I23" i="26" s="1"/>
  <c r="H11" i="26"/>
  <c r="H15" i="26" s="1"/>
  <c r="H23" i="26" s="1"/>
  <c r="G15" i="26"/>
  <c r="G23" i="26" s="1"/>
  <c r="F15" i="26"/>
  <c r="F23" i="26" s="1"/>
  <c r="E15" i="26"/>
  <c r="E23" i="26" s="1"/>
  <c r="D15" i="26"/>
  <c r="D23" i="26" s="1"/>
  <c r="C15" i="26"/>
  <c r="C23" i="26" s="1"/>
  <c r="B11" i="26"/>
  <c r="B15" i="26" s="1"/>
  <c r="B23" i="26" s="1"/>
  <c r="M14" i="26"/>
  <c r="M21" i="26" s="1"/>
  <c r="L14" i="26"/>
  <c r="L21" i="26" s="1"/>
  <c r="K14" i="26"/>
  <c r="K21" i="26" s="1"/>
  <c r="J10" i="26"/>
  <c r="J14" i="26" s="1"/>
  <c r="J21" i="26" s="1"/>
  <c r="I10" i="26"/>
  <c r="I14" i="26" s="1"/>
  <c r="I21" i="26" s="1"/>
  <c r="H10" i="26"/>
  <c r="H14" i="26" s="1"/>
  <c r="H21" i="26" s="1"/>
  <c r="G14" i="26"/>
  <c r="G21" i="26" s="1"/>
  <c r="F14" i="26"/>
  <c r="F21" i="26" s="1"/>
  <c r="E14" i="26"/>
  <c r="E21" i="26" s="1"/>
  <c r="D14" i="26"/>
  <c r="D21" i="26" s="1"/>
  <c r="C14" i="26"/>
  <c r="C21" i="26" s="1"/>
  <c r="B14" i="26"/>
  <c r="B21" i="26" s="1"/>
  <c r="M13" i="26"/>
  <c r="M20" i="26" s="1"/>
  <c r="M22" i="26" s="1"/>
  <c r="L13" i="26"/>
  <c r="L20" i="26" s="1"/>
  <c r="L22" i="26" s="1"/>
  <c r="K13" i="26"/>
  <c r="K20" i="26" s="1"/>
  <c r="K22" i="26" s="1"/>
  <c r="J9" i="26"/>
  <c r="J13" i="26" s="1"/>
  <c r="J20" i="26" s="1"/>
  <c r="J22" i="26" s="1"/>
  <c r="I9" i="26"/>
  <c r="I13" i="26" s="1"/>
  <c r="I20" i="26" s="1"/>
  <c r="I22" i="26" s="1"/>
  <c r="H9" i="26"/>
  <c r="H13" i="26" s="1"/>
  <c r="H20" i="26" s="1"/>
  <c r="H22" i="26" s="1"/>
  <c r="G13" i="26"/>
  <c r="G20" i="26" s="1"/>
  <c r="G22" i="26" s="1"/>
  <c r="F13" i="26"/>
  <c r="F20" i="26" s="1"/>
  <c r="F22" i="26" s="1"/>
  <c r="E13" i="26"/>
  <c r="E20" i="26" s="1"/>
  <c r="E22" i="26" s="1"/>
  <c r="D13" i="26"/>
  <c r="D20" i="26" s="1"/>
  <c r="D22" i="26" s="1"/>
  <c r="C9" i="26"/>
  <c r="C13" i="26" s="1"/>
  <c r="C20" i="26" s="1"/>
  <c r="C22" i="26" s="1"/>
  <c r="B9" i="26"/>
  <c r="B13" i="26" s="1"/>
  <c r="B20" i="26" s="1"/>
  <c r="AS26" i="25"/>
  <c r="AS27" i="25" s="1"/>
  <c r="AR26" i="25"/>
  <c r="AR27" i="25" s="1"/>
  <c r="AQ26" i="25"/>
  <c r="AQ27" i="25" s="1"/>
  <c r="AP26" i="25"/>
  <c r="AP27" i="25" s="1"/>
  <c r="AO26" i="25"/>
  <c r="AO27" i="25" s="1"/>
  <c r="AN26" i="25"/>
  <c r="AN27" i="25" s="1"/>
  <c r="AM26" i="25"/>
  <c r="AM27" i="25" s="1"/>
  <c r="AL26" i="25"/>
  <c r="AL27" i="25" s="1"/>
  <c r="AK26" i="25"/>
  <c r="AK27" i="25" s="1"/>
  <c r="AJ26" i="25"/>
  <c r="AJ27" i="25" s="1"/>
  <c r="AI26" i="25"/>
  <c r="AI27" i="25" s="1"/>
  <c r="AH26" i="25"/>
  <c r="AH27" i="25" s="1"/>
  <c r="AG26" i="25"/>
  <c r="AG27" i="25" s="1"/>
  <c r="AF26" i="25"/>
  <c r="AF27" i="25" s="1"/>
  <c r="AE26" i="25"/>
  <c r="AE27" i="25" s="1"/>
  <c r="AD26" i="25"/>
  <c r="AD27" i="25" s="1"/>
  <c r="AC26" i="25"/>
  <c r="AC27" i="25" s="1"/>
  <c r="AB26" i="25"/>
  <c r="AB27" i="25" s="1"/>
  <c r="AA26" i="25"/>
  <c r="AA27" i="25" s="1"/>
  <c r="AS23" i="25"/>
  <c r="AS24" i="25" s="1"/>
  <c r="AR23" i="25"/>
  <c r="AR24" i="25" s="1"/>
  <c r="AQ23" i="25"/>
  <c r="AQ24" i="25" s="1"/>
  <c r="AP23" i="25"/>
  <c r="AP24" i="25" s="1"/>
  <c r="AO23" i="25"/>
  <c r="AO24" i="25" s="1"/>
  <c r="AN23" i="25"/>
  <c r="AN24" i="25" s="1"/>
  <c r="AM23" i="25"/>
  <c r="AM24" i="25" s="1"/>
  <c r="AL23" i="25"/>
  <c r="AL24" i="25" s="1"/>
  <c r="AK23" i="25"/>
  <c r="AK24" i="25" s="1"/>
  <c r="AJ23" i="25"/>
  <c r="AJ24" i="25" s="1"/>
  <c r="AI23" i="25"/>
  <c r="AI24" i="25" s="1"/>
  <c r="AH23" i="25"/>
  <c r="AH24" i="25" s="1"/>
  <c r="AG23" i="25"/>
  <c r="AG24" i="25" s="1"/>
  <c r="AF23" i="25"/>
  <c r="AF24" i="25" s="1"/>
  <c r="AE23" i="25"/>
  <c r="AE24" i="25" s="1"/>
  <c r="AD23" i="25"/>
  <c r="AD24" i="25" s="1"/>
  <c r="AC23" i="25"/>
  <c r="AC24" i="25" s="1"/>
  <c r="AB23" i="25"/>
  <c r="AB24" i="25" s="1"/>
  <c r="AA23" i="25"/>
  <c r="AA24" i="25" s="1"/>
  <c r="AS20" i="25"/>
  <c r="AS21" i="25" s="1"/>
  <c r="AR20" i="25"/>
  <c r="AR21" i="25" s="1"/>
  <c r="AQ20" i="25"/>
  <c r="AQ21" i="25" s="1"/>
  <c r="AP20" i="25"/>
  <c r="AP21" i="25" s="1"/>
  <c r="AO20" i="25"/>
  <c r="AO21" i="25" s="1"/>
  <c r="AN20" i="25"/>
  <c r="AN21" i="25" s="1"/>
  <c r="AM20" i="25"/>
  <c r="AM21" i="25" s="1"/>
  <c r="AL20" i="25"/>
  <c r="AL21" i="25" s="1"/>
  <c r="AK20" i="25"/>
  <c r="AK21" i="25" s="1"/>
  <c r="AJ20" i="25"/>
  <c r="AJ21" i="25" s="1"/>
  <c r="AI20" i="25"/>
  <c r="AI21" i="25" s="1"/>
  <c r="AH20" i="25"/>
  <c r="AH21" i="25" s="1"/>
  <c r="AG20" i="25"/>
  <c r="AG21" i="25" s="1"/>
  <c r="AF20" i="25"/>
  <c r="AF21" i="25" s="1"/>
  <c r="AE20" i="25"/>
  <c r="AE21" i="25" s="1"/>
  <c r="AD20" i="25"/>
  <c r="AD21" i="25" s="1"/>
  <c r="AC20" i="25"/>
  <c r="AC21" i="25" s="1"/>
  <c r="AB20" i="25"/>
  <c r="AB21" i="25" s="1"/>
  <c r="AA20" i="25"/>
  <c r="AA21" i="25" s="1"/>
  <c r="AS17" i="25"/>
  <c r="AS18" i="25" s="1"/>
  <c r="AR17" i="25"/>
  <c r="AR18" i="25" s="1"/>
  <c r="AQ17" i="25"/>
  <c r="AQ18" i="25" s="1"/>
  <c r="AQ29" i="25" s="1"/>
  <c r="AP17" i="25"/>
  <c r="AP18" i="25" s="1"/>
  <c r="AP29" i="25" s="1"/>
  <c r="AO17" i="25"/>
  <c r="AO18" i="25" s="1"/>
  <c r="AO29" i="25" s="1"/>
  <c r="AN17" i="25"/>
  <c r="AN18" i="25" s="1"/>
  <c r="AN29" i="25" s="1"/>
  <c r="AM17" i="25"/>
  <c r="AM18" i="25" s="1"/>
  <c r="AM29" i="25" s="1"/>
  <c r="AL17" i="25"/>
  <c r="AL18" i="25" s="1"/>
  <c r="AL29" i="25" s="1"/>
  <c r="AK17" i="25"/>
  <c r="AK18" i="25" s="1"/>
  <c r="AK29" i="25" s="1"/>
  <c r="AJ17" i="25"/>
  <c r="AJ18" i="25" s="1"/>
  <c r="AJ29" i="25" s="1"/>
  <c r="AI17" i="25"/>
  <c r="AI18" i="25" s="1"/>
  <c r="AI29" i="25" s="1"/>
  <c r="AH17" i="25"/>
  <c r="AH18" i="25" s="1"/>
  <c r="AH29" i="25" s="1"/>
  <c r="AG17" i="25"/>
  <c r="AG18" i="25" s="1"/>
  <c r="AG29" i="25" s="1"/>
  <c r="AF17" i="25"/>
  <c r="AF18" i="25" s="1"/>
  <c r="AF29" i="25" s="1"/>
  <c r="AE17" i="25"/>
  <c r="AE18" i="25" s="1"/>
  <c r="AE29" i="25" s="1"/>
  <c r="AD17" i="25"/>
  <c r="AD18" i="25" s="1"/>
  <c r="AD29" i="25" s="1"/>
  <c r="AC17" i="25"/>
  <c r="AC18" i="25" s="1"/>
  <c r="AC29" i="25" s="1"/>
  <c r="AT29" i="25" s="1"/>
  <c r="AB17" i="25"/>
  <c r="AB18" i="25" s="1"/>
  <c r="AB29" i="25" s="1"/>
  <c r="AA17" i="25"/>
  <c r="AA18" i="25" s="1"/>
  <c r="AA29" i="25" s="1"/>
  <c r="AR29" i="25" s="1"/>
  <c r="AS9" i="25"/>
  <c r="AS10" i="25" s="1"/>
  <c r="AR9" i="25"/>
  <c r="AR10" i="25" s="1"/>
  <c r="AQ9" i="25"/>
  <c r="AQ10" i="25" s="1"/>
  <c r="AP9" i="25"/>
  <c r="AP10" i="25" s="1"/>
  <c r="AO9" i="25"/>
  <c r="AO10" i="25" s="1"/>
  <c r="AN9" i="25"/>
  <c r="AN10" i="25" s="1"/>
  <c r="AM9" i="25"/>
  <c r="AM10" i="25" s="1"/>
  <c r="AL9" i="25"/>
  <c r="AL10" i="25" s="1"/>
  <c r="AK9" i="25"/>
  <c r="AK10" i="25" s="1"/>
  <c r="AJ9" i="25"/>
  <c r="AJ10" i="25" s="1"/>
  <c r="AI9" i="25"/>
  <c r="AI10" i="25" s="1"/>
  <c r="AH9" i="25"/>
  <c r="AH10" i="25" s="1"/>
  <c r="AG9" i="25"/>
  <c r="AG10" i="25" s="1"/>
  <c r="AF9" i="25"/>
  <c r="AF10" i="25" s="1"/>
  <c r="AE9" i="25"/>
  <c r="AE10" i="25" s="1"/>
  <c r="AD9" i="25"/>
  <c r="AD10" i="25" s="1"/>
  <c r="AC9" i="25"/>
  <c r="AC10" i="25" s="1"/>
  <c r="AB9" i="25"/>
  <c r="AB10" i="25" s="1"/>
  <c r="AA9" i="25"/>
  <c r="AA10" i="25" s="1"/>
  <c r="Z9" i="25"/>
  <c r="Z10" i="25" s="1"/>
  <c r="AS6" i="25"/>
  <c r="AS7" i="25" s="1"/>
  <c r="AR6" i="25"/>
  <c r="AR7" i="25" s="1"/>
  <c r="AQ6" i="25"/>
  <c r="AQ7" i="25" s="1"/>
  <c r="AP6" i="25"/>
  <c r="AP7" i="25" s="1"/>
  <c r="AO6" i="25"/>
  <c r="AO7" i="25" s="1"/>
  <c r="AN6" i="25"/>
  <c r="AN7" i="25" s="1"/>
  <c r="AM6" i="25"/>
  <c r="AM7" i="25" s="1"/>
  <c r="AL6" i="25"/>
  <c r="AL7" i="25" s="1"/>
  <c r="AK6" i="25"/>
  <c r="AK7" i="25" s="1"/>
  <c r="AJ6" i="25"/>
  <c r="AJ7" i="25" s="1"/>
  <c r="AI6" i="25"/>
  <c r="AI7" i="25" s="1"/>
  <c r="AH6" i="25"/>
  <c r="AH7" i="25" s="1"/>
  <c r="AG6" i="25"/>
  <c r="AG7" i="25" s="1"/>
  <c r="AF6" i="25"/>
  <c r="AF7" i="25" s="1"/>
  <c r="AE6" i="25"/>
  <c r="AE7" i="25" s="1"/>
  <c r="AD6" i="25"/>
  <c r="AD7" i="25" s="1"/>
  <c r="AC6" i="25"/>
  <c r="AC7" i="25" s="1"/>
  <c r="AB6" i="25"/>
  <c r="AB7" i="25" s="1"/>
  <c r="AA6" i="25"/>
  <c r="AA7" i="25" s="1"/>
  <c r="Z6" i="25"/>
  <c r="Z7" i="25" s="1"/>
  <c r="AS3" i="25"/>
  <c r="AS4" i="25" s="1"/>
  <c r="AS12" i="25" s="1"/>
  <c r="AR3" i="25"/>
  <c r="AR4" i="25" s="1"/>
  <c r="AR12" i="25" s="1"/>
  <c r="AQ3" i="25"/>
  <c r="AQ4" i="25" s="1"/>
  <c r="AQ12" i="25" s="1"/>
  <c r="AP3" i="25"/>
  <c r="AP4" i="25" s="1"/>
  <c r="AP12" i="25" s="1"/>
  <c r="AO3" i="25"/>
  <c r="AO4" i="25" s="1"/>
  <c r="AO12" i="25" s="1"/>
  <c r="AN3" i="25"/>
  <c r="AN4" i="25" s="1"/>
  <c r="AN12" i="25" s="1"/>
  <c r="AM3" i="25"/>
  <c r="AM4" i="25" s="1"/>
  <c r="AM12" i="25" s="1"/>
  <c r="AL3" i="25"/>
  <c r="AL4" i="25" s="1"/>
  <c r="AL12" i="25" s="1"/>
  <c r="AK3" i="25"/>
  <c r="AK4" i="25" s="1"/>
  <c r="AK12" i="25" s="1"/>
  <c r="AJ3" i="25"/>
  <c r="AJ4" i="25" s="1"/>
  <c r="AJ12" i="25" s="1"/>
  <c r="AI3" i="25"/>
  <c r="AI4" i="25" s="1"/>
  <c r="AI12" i="25" s="1"/>
  <c r="AH3" i="25"/>
  <c r="AH4" i="25" s="1"/>
  <c r="AH12" i="25" s="1"/>
  <c r="AG3" i="25"/>
  <c r="AG4" i="25" s="1"/>
  <c r="AG12" i="25" s="1"/>
  <c r="AF3" i="25"/>
  <c r="AF4" i="25" s="1"/>
  <c r="AF12" i="25" s="1"/>
  <c r="AE3" i="25"/>
  <c r="AE4" i="25" s="1"/>
  <c r="AE12" i="25" s="1"/>
  <c r="AD3" i="25"/>
  <c r="AD4" i="25" s="1"/>
  <c r="AD12" i="25" s="1"/>
  <c r="AC3" i="25"/>
  <c r="AC4" i="25" s="1"/>
  <c r="AC12" i="25" s="1"/>
  <c r="AB3" i="25"/>
  <c r="AB4" i="25" s="1"/>
  <c r="AB12" i="25" s="1"/>
  <c r="AA3" i="25"/>
  <c r="AA4" i="25" s="1"/>
  <c r="AA12" i="25" s="1"/>
  <c r="Z3" i="25"/>
  <c r="Z4" i="25" s="1"/>
  <c r="Z12" i="25" s="1"/>
  <c r="U36" i="20"/>
  <c r="U37" i="20" s="1"/>
  <c r="T36" i="20"/>
  <c r="T37" i="20" s="1"/>
  <c r="S36" i="20"/>
  <c r="S37" i="20" s="1"/>
  <c r="R36" i="20"/>
  <c r="R37" i="20" s="1"/>
  <c r="Q36" i="20"/>
  <c r="Q37" i="20" s="1"/>
  <c r="P36" i="20"/>
  <c r="P37" i="20" s="1"/>
  <c r="O36" i="20"/>
  <c r="O37" i="20" s="1"/>
  <c r="N36" i="20"/>
  <c r="N37" i="20" s="1"/>
  <c r="M36" i="20"/>
  <c r="M37" i="20" s="1"/>
  <c r="L36" i="20"/>
  <c r="L37" i="20" s="1"/>
  <c r="K36" i="20"/>
  <c r="K37" i="20" s="1"/>
  <c r="J36" i="20"/>
  <c r="J37" i="20" s="1"/>
  <c r="I36" i="20"/>
  <c r="I37" i="20" s="1"/>
  <c r="H36" i="20"/>
  <c r="H37" i="20" s="1"/>
  <c r="G36" i="20"/>
  <c r="G37" i="20" s="1"/>
  <c r="F36" i="20"/>
  <c r="F37" i="20" s="1"/>
  <c r="E36" i="20"/>
  <c r="E37" i="20" s="1"/>
  <c r="D36" i="20"/>
  <c r="D37" i="20" s="1"/>
  <c r="C36" i="20"/>
  <c r="C37" i="20" s="1"/>
  <c r="U33" i="20"/>
  <c r="U34" i="20" s="1"/>
  <c r="T33" i="20"/>
  <c r="T34" i="20" s="1"/>
  <c r="S33" i="20"/>
  <c r="S34" i="20" s="1"/>
  <c r="R33" i="20"/>
  <c r="R34" i="20" s="1"/>
  <c r="Q33" i="20"/>
  <c r="Q34" i="20" s="1"/>
  <c r="P33" i="20"/>
  <c r="P34" i="20" s="1"/>
  <c r="O33" i="20"/>
  <c r="O34" i="20" s="1"/>
  <c r="N33" i="20"/>
  <c r="N34" i="20" s="1"/>
  <c r="M33" i="20"/>
  <c r="M34" i="20" s="1"/>
  <c r="L33" i="20"/>
  <c r="L34" i="20" s="1"/>
  <c r="K33" i="20"/>
  <c r="K34" i="20" s="1"/>
  <c r="J33" i="20"/>
  <c r="J34" i="20" s="1"/>
  <c r="I33" i="20"/>
  <c r="I34" i="20" s="1"/>
  <c r="H33" i="20"/>
  <c r="H34" i="20" s="1"/>
  <c r="G33" i="20"/>
  <c r="G34" i="20" s="1"/>
  <c r="F33" i="20"/>
  <c r="F34" i="20" s="1"/>
  <c r="E33" i="20"/>
  <c r="E34" i="20" s="1"/>
  <c r="D33" i="20"/>
  <c r="D34" i="20" s="1"/>
  <c r="C33" i="20"/>
  <c r="C34" i="20" s="1"/>
  <c r="U30" i="20"/>
  <c r="U31" i="20" s="1"/>
  <c r="T30" i="20"/>
  <c r="T31" i="20" s="1"/>
  <c r="S30" i="20"/>
  <c r="S31" i="20" s="1"/>
  <c r="R30" i="20"/>
  <c r="R31" i="20" s="1"/>
  <c r="Q30" i="20"/>
  <c r="Q31" i="20" s="1"/>
  <c r="P30" i="20"/>
  <c r="P31" i="20" s="1"/>
  <c r="O30" i="20"/>
  <c r="O31" i="20" s="1"/>
  <c r="N30" i="20"/>
  <c r="N31" i="20" s="1"/>
  <c r="M30" i="20"/>
  <c r="M31" i="20" s="1"/>
  <c r="L30" i="20"/>
  <c r="L31" i="20" s="1"/>
  <c r="K30" i="20"/>
  <c r="K31" i="20" s="1"/>
  <c r="J30" i="20"/>
  <c r="J31" i="20" s="1"/>
  <c r="I30" i="20"/>
  <c r="I31" i="20" s="1"/>
  <c r="H30" i="20"/>
  <c r="H31" i="20" s="1"/>
  <c r="G30" i="20"/>
  <c r="G31" i="20" s="1"/>
  <c r="F30" i="20"/>
  <c r="F31" i="20" s="1"/>
  <c r="E30" i="20"/>
  <c r="E31" i="20" s="1"/>
  <c r="D30" i="20"/>
  <c r="D31" i="20" s="1"/>
  <c r="C30" i="20"/>
  <c r="C31" i="20" s="1"/>
  <c r="U25" i="20"/>
  <c r="U26" i="20" s="1"/>
  <c r="T25" i="20"/>
  <c r="T26" i="20" s="1"/>
  <c r="S25" i="20"/>
  <c r="S26" i="20" s="1"/>
  <c r="R25" i="20"/>
  <c r="R26" i="20" s="1"/>
  <c r="Q25" i="20"/>
  <c r="Q26" i="20" s="1"/>
  <c r="P25" i="20"/>
  <c r="P26" i="20" s="1"/>
  <c r="O25" i="20"/>
  <c r="O26" i="20" s="1"/>
  <c r="N25" i="20"/>
  <c r="N26" i="20" s="1"/>
  <c r="M25" i="20"/>
  <c r="M26" i="20" s="1"/>
  <c r="L25" i="20"/>
  <c r="L26" i="20" s="1"/>
  <c r="K25" i="20"/>
  <c r="K26" i="20" s="1"/>
  <c r="J25" i="20"/>
  <c r="J26" i="20" s="1"/>
  <c r="I25" i="20"/>
  <c r="I26" i="20" s="1"/>
  <c r="H25" i="20"/>
  <c r="H26" i="20" s="1"/>
  <c r="G25" i="20"/>
  <c r="G26" i="20" s="1"/>
  <c r="F25" i="20"/>
  <c r="F26" i="20" s="1"/>
  <c r="E25" i="20"/>
  <c r="E26" i="20" s="1"/>
  <c r="D25" i="20"/>
  <c r="D26" i="20" s="1"/>
  <c r="C25" i="20"/>
  <c r="C26" i="20" s="1"/>
  <c r="B25" i="20"/>
  <c r="B26" i="20" s="1"/>
  <c r="U22" i="20"/>
  <c r="U23" i="20" s="1"/>
  <c r="T22" i="20"/>
  <c r="T23" i="20" s="1"/>
  <c r="S22" i="20"/>
  <c r="S23" i="20" s="1"/>
  <c r="R22" i="20"/>
  <c r="R23" i="20" s="1"/>
  <c r="Q22" i="20"/>
  <c r="Q23" i="20" s="1"/>
  <c r="P22" i="20"/>
  <c r="P23" i="20" s="1"/>
  <c r="O22" i="20"/>
  <c r="O23" i="20" s="1"/>
  <c r="N22" i="20"/>
  <c r="N23" i="20" s="1"/>
  <c r="M22" i="20"/>
  <c r="M23" i="20" s="1"/>
  <c r="L22" i="20"/>
  <c r="L23" i="20" s="1"/>
  <c r="K22" i="20"/>
  <c r="K23" i="20" s="1"/>
  <c r="J22" i="20"/>
  <c r="J23" i="20" s="1"/>
  <c r="I22" i="20"/>
  <c r="I23" i="20" s="1"/>
  <c r="H22" i="20"/>
  <c r="H23" i="20" s="1"/>
  <c r="G22" i="20"/>
  <c r="G23" i="20" s="1"/>
  <c r="F22" i="20"/>
  <c r="F23" i="20" s="1"/>
  <c r="E22" i="20"/>
  <c r="E23" i="20" s="1"/>
  <c r="D22" i="20"/>
  <c r="D23" i="20" s="1"/>
  <c r="C22" i="20"/>
  <c r="C23" i="20" s="1"/>
  <c r="B22" i="20"/>
  <c r="B23" i="20" s="1"/>
  <c r="U19" i="20"/>
  <c r="U20" i="20" s="1"/>
  <c r="T19" i="20"/>
  <c r="T20" i="20" s="1"/>
  <c r="S19" i="20"/>
  <c r="S20" i="20" s="1"/>
  <c r="R19" i="20"/>
  <c r="R20" i="20" s="1"/>
  <c r="Q19" i="20"/>
  <c r="Q20" i="20" s="1"/>
  <c r="P19" i="20"/>
  <c r="P20" i="20" s="1"/>
  <c r="O19" i="20"/>
  <c r="O20" i="20" s="1"/>
  <c r="N19" i="20"/>
  <c r="N20" i="20" s="1"/>
  <c r="M19" i="20"/>
  <c r="M20" i="20" s="1"/>
  <c r="L19" i="20"/>
  <c r="L20" i="20" s="1"/>
  <c r="K19" i="20"/>
  <c r="K20" i="20" s="1"/>
  <c r="J19" i="20"/>
  <c r="J20" i="20" s="1"/>
  <c r="I19" i="20"/>
  <c r="I20" i="20" s="1"/>
  <c r="H19" i="20"/>
  <c r="H20" i="20" s="1"/>
  <c r="G19" i="20"/>
  <c r="G20" i="20" s="1"/>
  <c r="F19" i="20"/>
  <c r="F20" i="20" s="1"/>
  <c r="E19" i="20"/>
  <c r="E20" i="20" s="1"/>
  <c r="D19" i="20"/>
  <c r="D20" i="20" s="1"/>
  <c r="C19" i="20"/>
  <c r="C20" i="20" s="1"/>
  <c r="B19" i="20"/>
  <c r="B20" i="20" s="1"/>
  <c r="M45" i="21"/>
  <c r="L45" i="21"/>
  <c r="K45" i="21"/>
  <c r="J45" i="21"/>
  <c r="I45" i="21"/>
  <c r="H45" i="21"/>
  <c r="G45" i="21"/>
  <c r="F45" i="21"/>
  <c r="E45" i="21"/>
  <c r="D45" i="21"/>
  <c r="C45" i="21"/>
  <c r="B45" i="21"/>
  <c r="M44" i="21"/>
  <c r="M46" i="21" s="1"/>
  <c r="L44" i="21"/>
  <c r="L46" i="21" s="1"/>
  <c r="K44" i="21"/>
  <c r="K46" i="21" s="1"/>
  <c r="J44" i="21"/>
  <c r="J46" i="21" s="1"/>
  <c r="I44" i="21"/>
  <c r="I46" i="21" s="1"/>
  <c r="H44" i="21"/>
  <c r="H46" i="21" s="1"/>
  <c r="G44" i="21"/>
  <c r="G46" i="21" s="1"/>
  <c r="F44" i="21"/>
  <c r="F46" i="21" s="1"/>
  <c r="E44" i="21"/>
  <c r="E46" i="21" s="1"/>
  <c r="D44" i="21"/>
  <c r="D46" i="21" s="1"/>
  <c r="C44" i="21"/>
  <c r="C46" i="21" s="1"/>
  <c r="B44" i="21"/>
  <c r="B46" i="21" s="1"/>
  <c r="N41" i="21"/>
  <c r="N40" i="21"/>
  <c r="M34" i="21"/>
  <c r="L34" i="21"/>
  <c r="K34" i="21"/>
  <c r="J34" i="21"/>
  <c r="I34" i="21"/>
  <c r="H34" i="21"/>
  <c r="G34" i="21"/>
  <c r="F34" i="21"/>
  <c r="E34" i="21"/>
  <c r="D34" i="21"/>
  <c r="C34" i="21"/>
  <c r="B34" i="21"/>
  <c r="M33" i="21"/>
  <c r="M35" i="21" s="1"/>
  <c r="M37" i="21" s="1"/>
  <c r="L33" i="21"/>
  <c r="L35" i="21" s="1"/>
  <c r="L37" i="21" s="1"/>
  <c r="K33" i="21"/>
  <c r="K35" i="21" s="1"/>
  <c r="K37" i="21" s="1"/>
  <c r="J33" i="21"/>
  <c r="J35" i="21" s="1"/>
  <c r="J37" i="21" s="1"/>
  <c r="I33" i="21"/>
  <c r="I35" i="21" s="1"/>
  <c r="I37" i="21" s="1"/>
  <c r="H33" i="21"/>
  <c r="H35" i="21" s="1"/>
  <c r="H37" i="21" s="1"/>
  <c r="G33" i="21"/>
  <c r="G35" i="21" s="1"/>
  <c r="G37" i="21" s="1"/>
  <c r="F33" i="21"/>
  <c r="F35" i="21" s="1"/>
  <c r="F37" i="21" s="1"/>
  <c r="E33" i="21"/>
  <c r="E35" i="21" s="1"/>
  <c r="E37" i="21" s="1"/>
  <c r="D33" i="21"/>
  <c r="D35" i="21" s="1"/>
  <c r="D37" i="21" s="1"/>
  <c r="C33" i="21"/>
  <c r="C35" i="21" s="1"/>
  <c r="C37" i="21" s="1"/>
  <c r="B33" i="21"/>
  <c r="B35" i="21" s="1"/>
  <c r="B37" i="21" s="1"/>
  <c r="N37" i="21" s="1"/>
  <c r="N29" i="21"/>
  <c r="N28" i="21"/>
  <c r="M17" i="21"/>
  <c r="L17" i="21"/>
  <c r="K17" i="21"/>
  <c r="J17" i="21"/>
  <c r="I17" i="21"/>
  <c r="H17" i="21"/>
  <c r="G17" i="21"/>
  <c r="F17" i="21"/>
  <c r="E17" i="21"/>
  <c r="D17" i="21"/>
  <c r="C17" i="21"/>
  <c r="B17" i="21"/>
  <c r="N11" i="21"/>
  <c r="N10" i="21"/>
  <c r="N5" i="21"/>
  <c r="N4" i="21"/>
  <c r="C107" i="22"/>
  <c r="C106" i="22"/>
  <c r="C105" i="22"/>
  <c r="C104" i="22"/>
  <c r="C103" i="22"/>
  <c r="C102" i="22"/>
  <c r="C101" i="22"/>
  <c r="C100" i="22"/>
  <c r="C99" i="22"/>
  <c r="C98" i="22"/>
  <c r="C97" i="22"/>
  <c r="C96" i="22"/>
  <c r="C95" i="22"/>
  <c r="C94" i="22"/>
  <c r="C93" i="22"/>
  <c r="G89" i="22"/>
  <c r="G112" i="22" s="1"/>
  <c r="G88" i="22"/>
  <c r="G111" i="22" s="1"/>
  <c r="G87" i="22"/>
  <c r="G110" i="22" s="1"/>
  <c r="G86" i="22"/>
  <c r="G109" i="22" s="1"/>
  <c r="G85" i="22"/>
  <c r="G108" i="22" s="1"/>
  <c r="G84" i="22"/>
  <c r="G107" i="22" s="1"/>
  <c r="G83" i="22"/>
  <c r="G106" i="22" s="1"/>
  <c r="G82" i="22"/>
  <c r="G105" i="22" s="1"/>
  <c r="G81" i="22"/>
  <c r="G104" i="22" s="1"/>
  <c r="G80" i="22"/>
  <c r="G103" i="22" s="1"/>
  <c r="G79" i="22"/>
  <c r="G102" i="22" s="1"/>
  <c r="G78" i="22"/>
  <c r="G101" i="22" s="1"/>
  <c r="G77" i="22"/>
  <c r="G100" i="22" s="1"/>
  <c r="G76" i="22"/>
  <c r="G99" i="22" s="1"/>
  <c r="G75" i="22"/>
  <c r="G98" i="22" s="1"/>
  <c r="G74" i="22"/>
  <c r="G97" i="22" s="1"/>
  <c r="G73" i="22"/>
  <c r="G96" i="22" s="1"/>
  <c r="G72" i="22"/>
  <c r="G95" i="22" s="1"/>
  <c r="G71" i="22"/>
  <c r="G94" i="22" s="1"/>
  <c r="G70" i="22"/>
  <c r="G93" i="22" s="1"/>
  <c r="C114" i="23"/>
  <c r="G113" i="23" s="1"/>
  <c r="C113" i="23"/>
  <c r="G112" i="23" s="1"/>
  <c r="C112" i="23"/>
  <c r="G111" i="23" s="1"/>
  <c r="C111" i="23"/>
  <c r="G110" i="23" s="1"/>
  <c r="C110" i="23"/>
  <c r="G109" i="23" s="1"/>
  <c r="C109" i="23"/>
  <c r="G108" i="23" s="1"/>
  <c r="C108" i="23"/>
  <c r="G107" i="23" s="1"/>
  <c r="C107" i="23"/>
  <c r="G106" i="23" s="1"/>
  <c r="C106" i="23"/>
  <c r="G105" i="23" s="1"/>
  <c r="C105" i="23"/>
  <c r="G104" i="23" s="1"/>
  <c r="C104" i="23"/>
  <c r="G103" i="23" s="1"/>
  <c r="C103" i="23"/>
  <c r="G102" i="23" s="1"/>
  <c r="C102" i="23"/>
  <c r="G101" i="23" s="1"/>
  <c r="C101" i="23"/>
  <c r="G100" i="23" s="1"/>
  <c r="C100" i="23"/>
  <c r="G99" i="23" s="1"/>
  <c r="C99" i="23"/>
  <c r="G98" i="23" s="1"/>
  <c r="C98" i="23"/>
  <c r="G97" i="23" s="1"/>
  <c r="C97" i="23"/>
  <c r="G96" i="23" s="1"/>
  <c r="C96" i="23"/>
  <c r="G95" i="23" s="1"/>
  <c r="C84" i="23"/>
  <c r="C83" i="23"/>
  <c r="C82" i="23"/>
  <c r="C81" i="23"/>
  <c r="C80" i="23"/>
  <c r="C79" i="23"/>
  <c r="C78" i="23"/>
  <c r="C77" i="23"/>
  <c r="C76" i="23"/>
  <c r="C75" i="23"/>
  <c r="C74" i="23"/>
  <c r="C73" i="23"/>
  <c r="U18" i="24"/>
  <c r="T18" i="24"/>
  <c r="S18" i="24"/>
  <c r="Q18" i="24"/>
  <c r="P18" i="24"/>
  <c r="O18" i="24"/>
  <c r="N18" i="24"/>
  <c r="K18" i="24"/>
  <c r="J18" i="24"/>
  <c r="I18" i="24"/>
  <c r="H18" i="24"/>
  <c r="G18" i="24"/>
  <c r="F18" i="24"/>
  <c r="E18" i="24"/>
  <c r="D18" i="24"/>
  <c r="C18" i="24"/>
  <c r="R17" i="24"/>
  <c r="R16" i="24"/>
  <c r="R15" i="24"/>
  <c r="U14" i="24"/>
  <c r="T14" i="24"/>
  <c r="S14" i="24"/>
  <c r="Q14" i="24"/>
  <c r="P14" i="24"/>
  <c r="O14" i="24"/>
  <c r="N14" i="24"/>
  <c r="K14" i="24"/>
  <c r="J14" i="24"/>
  <c r="I14" i="24"/>
  <c r="H14" i="24"/>
  <c r="G14" i="24"/>
  <c r="F14" i="24"/>
  <c r="E14" i="24"/>
  <c r="D14" i="24"/>
  <c r="C14" i="24"/>
  <c r="R13" i="24"/>
  <c r="R12" i="24"/>
  <c r="R11" i="24"/>
  <c r="U10" i="24"/>
  <c r="T10" i="24"/>
  <c r="S10" i="24"/>
  <c r="R10" i="24"/>
  <c r="Q10" i="24"/>
  <c r="P10" i="24"/>
  <c r="O10" i="24"/>
  <c r="N10" i="24"/>
  <c r="K10" i="24"/>
  <c r="J10" i="24"/>
  <c r="I10" i="24"/>
  <c r="H10" i="24"/>
  <c r="G10" i="24"/>
  <c r="F10" i="24"/>
  <c r="E10" i="24"/>
  <c r="D10" i="24"/>
  <c r="C10" i="24"/>
  <c r="U6" i="24"/>
  <c r="T6" i="24"/>
  <c r="S6" i="24"/>
  <c r="R6" i="24"/>
  <c r="Q6" i="24"/>
  <c r="P6" i="24"/>
  <c r="O6" i="24"/>
  <c r="N6" i="24"/>
  <c r="M6" i="24"/>
  <c r="L6" i="24"/>
  <c r="K6" i="24"/>
  <c r="J6" i="24"/>
  <c r="I6" i="24"/>
  <c r="H6" i="24"/>
  <c r="G6" i="24"/>
  <c r="F6" i="24"/>
  <c r="E6" i="24"/>
  <c r="D6" i="24"/>
  <c r="C6" i="24"/>
  <c r="Y6" i="24" l="1"/>
  <c r="X6" i="24"/>
  <c r="AD6" i="24" s="1"/>
  <c r="Y10" i="24"/>
  <c r="X10" i="24"/>
  <c r="AD9" i="24" s="1"/>
  <c r="Y12" i="24"/>
  <c r="X12" i="24"/>
  <c r="Y16" i="24"/>
  <c r="X16" i="24"/>
  <c r="Y11" i="24"/>
  <c r="X11" i="24"/>
  <c r="AD10" i="24" s="1"/>
  <c r="Y13" i="24"/>
  <c r="X13" i="24"/>
  <c r="AD11" i="24" s="1"/>
  <c r="R18" i="24"/>
  <c r="X18" i="24" s="1"/>
  <c r="AD15" i="24" s="1"/>
  <c r="X15" i="24"/>
  <c r="AD13" i="24" s="1"/>
  <c r="Y15" i="24"/>
  <c r="Y17" i="24"/>
  <c r="X17" i="24"/>
  <c r="AD14" i="24" s="1"/>
  <c r="R14" i="24"/>
  <c r="X14" i="24" s="1"/>
  <c r="AD12" i="24" s="1"/>
  <c r="N6" i="21"/>
  <c r="N16" i="21"/>
  <c r="N34" i="21"/>
  <c r="N45" i="21"/>
  <c r="B22" i="26"/>
  <c r="N22" i="26" s="1"/>
  <c r="N20" i="26"/>
  <c r="N21" i="26"/>
  <c r="N23" i="26"/>
  <c r="AS29" i="25"/>
  <c r="AU29" i="25" s="1"/>
  <c r="N15" i="21"/>
  <c r="N17" i="21" s="1"/>
  <c r="N44" i="21"/>
  <c r="N33" i="21"/>
  <c r="Y14" i="24" l="1"/>
  <c r="Y18" i="24"/>
  <c r="N46" i="21"/>
  <c r="N35" i="21"/>
  <c r="X9" i="60"/>
  <c r="X10" i="60" s="1"/>
  <c r="Y9" i="60"/>
  <c r="Y10" i="60" s="1"/>
  <c r="Z9" i="60"/>
  <c r="Z10" i="60" s="1"/>
  <c r="W9" i="60"/>
  <c r="W10" i="60" s="1"/>
  <c r="Y14" i="60"/>
  <c r="Z14" i="60"/>
  <c r="X14" i="60"/>
  <c r="Z12" i="60"/>
  <c r="AA12" i="60"/>
  <c r="AB12" i="60"/>
  <c r="Y12" i="60"/>
  <c r="X13" i="60"/>
  <c r="Y13" i="60"/>
  <c r="Z13" i="60"/>
  <c r="AA13" i="60"/>
  <c r="AB13" i="60"/>
  <c r="AC13" i="60"/>
  <c r="W13" i="60"/>
  <c r="R32" i="54"/>
  <c r="Q50" i="54"/>
  <c r="R50" i="54"/>
  <c r="S50" i="54"/>
  <c r="T50" i="54"/>
  <c r="U50" i="54"/>
  <c r="V50" i="54"/>
  <c r="W50" i="54"/>
  <c r="Q49" i="54"/>
  <c r="R49" i="54"/>
  <c r="S49" i="54"/>
  <c r="T49" i="54"/>
  <c r="U49" i="54"/>
  <c r="V49" i="54"/>
  <c r="W49" i="54"/>
  <c r="P50" i="54"/>
  <c r="P49" i="54"/>
  <c r="Q48" i="54"/>
  <c r="R48" i="54"/>
  <c r="S48" i="54"/>
  <c r="T48" i="54"/>
  <c r="U48" i="54"/>
  <c r="V48" i="54"/>
  <c r="W48" i="54"/>
  <c r="P48" i="54"/>
  <c r="Q47" i="54"/>
  <c r="S47" i="54"/>
  <c r="T47" i="54"/>
  <c r="U47" i="54"/>
  <c r="V47" i="54"/>
  <c r="W47" i="54"/>
  <c r="P47" i="54"/>
  <c r="AF8" i="60"/>
  <c r="AA4" i="60"/>
  <c r="Z5" i="60"/>
  <c r="AA5" i="60"/>
  <c r="AB5" i="60"/>
  <c r="AA7" i="60"/>
  <c r="Z15" i="60"/>
  <c r="AA15" i="60"/>
  <c r="AB15" i="60"/>
  <c r="Z16" i="60"/>
  <c r="AA16" i="60"/>
  <c r="AB16" i="60"/>
  <c r="AA3" i="60"/>
  <c r="AB3" i="60"/>
  <c r="Z3" i="60"/>
  <c r="T4" i="60"/>
  <c r="U4" i="60"/>
  <c r="V4" i="60"/>
  <c r="W4" i="60"/>
  <c r="X4" i="60"/>
  <c r="Y4" i="60"/>
  <c r="AC4" i="60"/>
  <c r="AD4" i="60"/>
  <c r="AE4" i="60"/>
  <c r="T5" i="60"/>
  <c r="U5" i="60"/>
  <c r="V5" i="60"/>
  <c r="W5" i="60"/>
  <c r="X5" i="60"/>
  <c r="Y5" i="60"/>
  <c r="AC5" i="60"/>
  <c r="AE5" i="60"/>
  <c r="T7" i="60"/>
  <c r="X7" i="60"/>
  <c r="Y7" i="60"/>
  <c r="AC7" i="60"/>
  <c r="AD7" i="60"/>
  <c r="AE7" i="60"/>
  <c r="T11" i="60"/>
  <c r="U11" i="60"/>
  <c r="V11" i="60"/>
  <c r="W11" i="60"/>
  <c r="X11" i="60"/>
  <c r="Y11" i="60"/>
  <c r="AC11" i="60"/>
  <c r="AD11" i="60"/>
  <c r="AE11" i="60"/>
  <c r="Y15" i="60"/>
  <c r="Y16" i="60"/>
  <c r="W3" i="60"/>
  <c r="X3" i="60"/>
  <c r="Y3" i="60"/>
  <c r="AC3" i="60"/>
  <c r="Q4" i="60"/>
  <c r="Q5" i="60"/>
  <c r="Q7" i="60"/>
  <c r="Q8" i="60"/>
  <c r="Q9" i="60"/>
  <c r="Q11" i="60"/>
  <c r="Q12" i="60"/>
  <c r="Q13" i="60"/>
  <c r="Q14" i="60"/>
  <c r="Q15" i="60"/>
  <c r="Q16" i="60"/>
  <c r="Q3" i="60"/>
  <c r="R4" i="34"/>
  <c r="R5" i="34"/>
  <c r="R7" i="34"/>
  <c r="R8" i="34"/>
  <c r="R9" i="34"/>
  <c r="R11" i="34"/>
  <c r="R12" i="34"/>
  <c r="R13" i="34"/>
  <c r="R14" i="34"/>
  <c r="R15" i="34"/>
  <c r="R16" i="34"/>
  <c r="R17" i="34"/>
  <c r="R18" i="34"/>
  <c r="R19" i="34"/>
  <c r="R21" i="34"/>
  <c r="R22" i="34"/>
  <c r="R23" i="34"/>
  <c r="R24" i="34"/>
  <c r="R25" i="34"/>
  <c r="R26" i="34"/>
  <c r="R27" i="34"/>
  <c r="R28" i="34"/>
  <c r="R3" i="34"/>
  <c r="AS28" i="54" l="1"/>
  <c r="AS29" i="54"/>
  <c r="AS30" i="54"/>
  <c r="AS27" i="54"/>
  <c r="AS31" i="54"/>
  <c r="AR34" i="54"/>
  <c r="AR35" i="54"/>
  <c r="AR32" i="54"/>
  <c r="AR36" i="54"/>
  <c r="AR33" i="54"/>
  <c r="AS38" i="54"/>
  <c r="AS39" i="54"/>
  <c r="AS41" i="54"/>
  <c r="AS40" i="54"/>
  <c r="AS37" i="54"/>
  <c r="AP38" i="54"/>
  <c r="AP40" i="54"/>
  <c r="AP37" i="54"/>
  <c r="AP39" i="54"/>
  <c r="AP41" i="54"/>
  <c r="AR43" i="54"/>
  <c r="AR45" i="54"/>
  <c r="AR42" i="54"/>
  <c r="AR44" i="54"/>
  <c r="AR46" i="54"/>
  <c r="AF10" i="60"/>
  <c r="AR28" i="54"/>
  <c r="AR27" i="54"/>
  <c r="AR29" i="54"/>
  <c r="AR31" i="54"/>
  <c r="AR30" i="54"/>
  <c r="AQ35" i="54"/>
  <c r="AQ34" i="54"/>
  <c r="AQ36" i="54"/>
  <c r="AQ33" i="54"/>
  <c r="AQ32" i="54"/>
  <c r="AR39" i="54"/>
  <c r="AR41" i="54"/>
  <c r="AR37" i="54"/>
  <c r="AR38" i="54"/>
  <c r="AR40" i="54"/>
  <c r="AQ45" i="54"/>
  <c r="AQ44" i="54"/>
  <c r="AQ46" i="54"/>
  <c r="AQ42" i="54"/>
  <c r="AQ43" i="54"/>
  <c r="AQ28" i="54"/>
  <c r="AQ27" i="54"/>
  <c r="AQ29" i="54"/>
  <c r="AQ30" i="54"/>
  <c r="AQ31" i="54"/>
  <c r="AT36" i="54"/>
  <c r="AT33" i="54"/>
  <c r="AT32" i="54"/>
  <c r="AT34" i="54"/>
  <c r="AT35" i="54"/>
  <c r="AQ37" i="54"/>
  <c r="AQ38" i="54"/>
  <c r="AQ40" i="54"/>
  <c r="AQ39" i="54"/>
  <c r="AQ41" i="54"/>
  <c r="AT44" i="54"/>
  <c r="AT46" i="54"/>
  <c r="AT43" i="54"/>
  <c r="AT45" i="54"/>
  <c r="AT42" i="54"/>
  <c r="AT28" i="54"/>
  <c r="AT31" i="54"/>
  <c r="AT29" i="54"/>
  <c r="AT27" i="54"/>
  <c r="AT30" i="54"/>
  <c r="AS33" i="54"/>
  <c r="AS32" i="54"/>
  <c r="AS34" i="54"/>
  <c r="AS36" i="54"/>
  <c r="AS35" i="54"/>
  <c r="AP35" i="54"/>
  <c r="AP32" i="54"/>
  <c r="AP36" i="54"/>
  <c r="AP34" i="54"/>
  <c r="AP33" i="54"/>
  <c r="AT38" i="54"/>
  <c r="AT40" i="54"/>
  <c r="AT37" i="54"/>
  <c r="AT39" i="54"/>
  <c r="AT41" i="54"/>
  <c r="AS42" i="54"/>
  <c r="AS46" i="54"/>
  <c r="AS43" i="54"/>
  <c r="AS45" i="54"/>
  <c r="AS44" i="54"/>
  <c r="AP44" i="54"/>
  <c r="AP46" i="54"/>
  <c r="AP42" i="54"/>
  <c r="AP43" i="54"/>
  <c r="AP45" i="54"/>
  <c r="AF14" i="60"/>
  <c r="AF12" i="60"/>
  <c r="AF16" i="60"/>
  <c r="AF15" i="60"/>
  <c r="AF13" i="60"/>
  <c r="AF9" i="60"/>
  <c r="AF3" i="60"/>
  <c r="AB48" i="54"/>
  <c r="AB49" i="54"/>
  <c r="AB47" i="54"/>
  <c r="AB50" i="54"/>
  <c r="AF11" i="60"/>
  <c r="AF7" i="60"/>
  <c r="AF5" i="60"/>
  <c r="AF4" i="60"/>
  <c r="D21" i="58"/>
  <c r="E21" i="58"/>
  <c r="F21" i="58"/>
  <c r="G21" i="58"/>
  <c r="C21" i="58"/>
  <c r="H5" i="58"/>
  <c r="H6" i="58"/>
  <c r="H7" i="58"/>
  <c r="H8" i="58"/>
  <c r="H9" i="58"/>
  <c r="H10" i="58"/>
  <c r="H11" i="58"/>
  <c r="H12" i="58"/>
  <c r="H13" i="58"/>
  <c r="H14" i="58"/>
  <c r="H15" i="58"/>
  <c r="H16" i="58"/>
  <c r="H17" i="58"/>
  <c r="H18" i="58"/>
  <c r="H19" i="58"/>
  <c r="H20" i="58"/>
  <c r="H4" i="58"/>
  <c r="L6" i="57" l="1"/>
  <c r="P6" i="57" s="1"/>
  <c r="L7" i="57"/>
  <c r="P7" i="57" s="1"/>
  <c r="L8" i="57"/>
  <c r="P8" i="57" s="1"/>
  <c r="L9" i="57"/>
  <c r="P9" i="57" s="1"/>
  <c r="L10" i="57"/>
  <c r="P10" i="57" s="1"/>
  <c r="L11" i="57"/>
  <c r="P11" i="57" s="1"/>
  <c r="L12" i="57"/>
  <c r="P12" i="57" s="1"/>
  <c r="L13" i="57"/>
  <c r="P13" i="57" s="1"/>
  <c r="L14" i="57"/>
  <c r="P14" i="57" s="1"/>
  <c r="L15" i="57"/>
  <c r="P15" i="57" s="1"/>
  <c r="L16" i="57"/>
  <c r="P16" i="57" s="1"/>
  <c r="L17" i="57"/>
  <c r="P17" i="57" s="1"/>
  <c r="L18" i="57"/>
  <c r="P18" i="57" s="1"/>
  <c r="L19" i="57"/>
  <c r="P19" i="57" s="1"/>
  <c r="L20" i="57"/>
  <c r="P20" i="57" s="1"/>
  <c r="L21" i="57"/>
  <c r="P21" i="57" s="1"/>
  <c r="L5" i="57"/>
  <c r="P5" i="57" s="1"/>
  <c r="K28" i="57" l="1"/>
  <c r="K27" i="57"/>
  <c r="P24" i="57"/>
  <c r="K26" i="57"/>
  <c r="P23" i="57"/>
  <c r="P22" i="57"/>
  <c r="S31" i="54"/>
  <c r="S30" i="54"/>
  <c r="R35" i="54"/>
  <c r="S35" i="54" s="1"/>
  <c r="R34" i="54"/>
  <c r="S34" i="54" s="1"/>
  <c r="R33" i="54"/>
  <c r="S33" i="54" s="1"/>
  <c r="S32" i="54"/>
  <c r="M30" i="29"/>
  <c r="N32" i="29"/>
  <c r="M33" i="29"/>
  <c r="N33" i="29" s="1"/>
  <c r="M34" i="29"/>
  <c r="N34" i="29" s="1"/>
  <c r="M35" i="29"/>
  <c r="N35" i="29" s="1"/>
  <c r="N36" i="29"/>
  <c r="M37" i="29"/>
  <c r="N37" i="29" s="1"/>
  <c r="M38" i="29"/>
  <c r="N38" i="29" s="1"/>
  <c r="S38" i="54" l="1"/>
  <c r="N30" i="29" l="1"/>
  <c r="M31" i="29"/>
  <c r="N31" i="29" s="1"/>
  <c r="N29" i="29"/>
  <c r="N39" i="29" l="1"/>
  <c r="J14" i="14" l="1"/>
  <c r="I14" i="14"/>
  <c r="H14" i="14"/>
  <c r="P10" i="14"/>
  <c r="M15" i="14" s="1"/>
  <c r="O10" i="14"/>
  <c r="L15" i="14" s="1"/>
  <c r="N10" i="14"/>
  <c r="K15" i="14" s="1"/>
  <c r="M10" i="14"/>
  <c r="L10" i="14"/>
  <c r="K10" i="14"/>
  <c r="J10" i="14"/>
  <c r="I10" i="14"/>
  <c r="H10" i="14"/>
  <c r="G10" i="14"/>
  <c r="G15" i="14" s="1"/>
  <c r="F10" i="14"/>
  <c r="F15" i="14" s="1"/>
  <c r="E10" i="14"/>
  <c r="E15" i="14" s="1"/>
  <c r="D10" i="14"/>
  <c r="D15" i="14" s="1"/>
  <c r="C10" i="14"/>
  <c r="C15" i="14" s="1"/>
  <c r="B10" i="14"/>
  <c r="B15" i="14" s="1"/>
  <c r="R9" i="14"/>
  <c r="Q9" i="14"/>
  <c r="R5" i="14"/>
  <c r="J20" i="12"/>
  <c r="I20" i="12"/>
  <c r="H20" i="12"/>
  <c r="J19" i="12"/>
  <c r="I19" i="12"/>
  <c r="H19" i="12"/>
  <c r="J18" i="12"/>
  <c r="I18" i="12"/>
  <c r="H18" i="12"/>
  <c r="J17" i="12"/>
  <c r="I17" i="12"/>
  <c r="H17" i="12"/>
  <c r="J16" i="12"/>
  <c r="I16" i="12"/>
  <c r="H16" i="12"/>
  <c r="S10" i="12"/>
  <c r="R10" i="12"/>
  <c r="Q10" i="12"/>
  <c r="S9" i="12"/>
  <c r="R9" i="12"/>
  <c r="Q9" i="12"/>
  <c r="S8" i="12"/>
  <c r="R8" i="12"/>
  <c r="Q8" i="12"/>
  <c r="S7" i="12"/>
  <c r="R7" i="12"/>
  <c r="Q7" i="12"/>
  <c r="U6" i="12"/>
  <c r="T6" i="12"/>
  <c r="S6" i="12"/>
  <c r="R6" i="12"/>
  <c r="Q6" i="12"/>
  <c r="J18" i="15"/>
  <c r="I18" i="15"/>
  <c r="H18" i="15"/>
  <c r="J17" i="15"/>
  <c r="I17" i="15"/>
  <c r="H17" i="15"/>
  <c r="J16" i="15"/>
  <c r="I16" i="15"/>
  <c r="H16" i="15"/>
  <c r="J15" i="15"/>
  <c r="I15" i="15"/>
  <c r="H15" i="15"/>
  <c r="J14" i="15"/>
  <c r="I14" i="15"/>
  <c r="H14" i="15"/>
  <c r="S8" i="15"/>
  <c r="R8" i="15"/>
  <c r="Q8" i="15"/>
  <c r="S7" i="15"/>
  <c r="R7" i="15"/>
  <c r="Q7" i="15"/>
  <c r="S6" i="15"/>
  <c r="R6" i="15"/>
  <c r="S5" i="15"/>
  <c r="R5" i="15"/>
  <c r="Q5" i="15"/>
  <c r="U4" i="15"/>
  <c r="T4" i="15"/>
  <c r="S4" i="15"/>
  <c r="R4" i="15"/>
  <c r="Q4" i="15"/>
  <c r="J59" i="3"/>
  <c r="I59" i="3"/>
  <c r="H59" i="3"/>
  <c r="J58" i="3"/>
  <c r="I58" i="3"/>
  <c r="H58" i="3"/>
  <c r="J57" i="3"/>
  <c r="I57" i="3"/>
  <c r="H57" i="3"/>
  <c r="J56" i="3"/>
  <c r="I56" i="3"/>
  <c r="H56" i="3"/>
  <c r="J55" i="3"/>
  <c r="I55" i="3"/>
  <c r="H55" i="3"/>
  <c r="S51" i="3"/>
  <c r="R51" i="3"/>
  <c r="Q51" i="3"/>
  <c r="S50" i="3"/>
  <c r="R50" i="3"/>
  <c r="Q50" i="3"/>
  <c r="S49" i="3"/>
  <c r="R49" i="3"/>
  <c r="Q49" i="3"/>
  <c r="S48" i="3"/>
  <c r="R48" i="3"/>
  <c r="Q48" i="3"/>
  <c r="U47" i="3"/>
  <c r="T47" i="3"/>
  <c r="S47" i="3"/>
  <c r="R47" i="3"/>
  <c r="J19" i="3"/>
  <c r="I19" i="3"/>
  <c r="H19" i="3"/>
  <c r="J18" i="3"/>
  <c r="I18" i="3"/>
  <c r="H18" i="3"/>
  <c r="J17" i="3"/>
  <c r="I17" i="3"/>
  <c r="H17" i="3"/>
  <c r="J16" i="3"/>
  <c r="I16" i="3"/>
  <c r="H16" i="3"/>
  <c r="J15" i="3"/>
  <c r="I15" i="3"/>
  <c r="H15" i="3"/>
  <c r="S9" i="3"/>
  <c r="R9" i="3"/>
  <c r="Q9" i="3"/>
  <c r="S8" i="3"/>
  <c r="R8" i="3"/>
  <c r="Q8" i="3"/>
  <c r="S7" i="3"/>
  <c r="R7" i="3"/>
  <c r="Q7" i="3"/>
  <c r="S6" i="3"/>
  <c r="R6" i="3"/>
  <c r="Q6" i="3"/>
  <c r="U5" i="3"/>
  <c r="T5" i="3"/>
  <c r="S5" i="3"/>
  <c r="R5" i="3"/>
  <c r="S20" i="8"/>
  <c r="R20" i="8"/>
  <c r="S19" i="8"/>
  <c r="R19" i="8"/>
  <c r="S18" i="8"/>
  <c r="R18" i="8"/>
  <c r="S17" i="8"/>
  <c r="R17" i="8"/>
  <c r="S16" i="8"/>
  <c r="R16" i="8"/>
  <c r="S15" i="8"/>
  <c r="R15" i="8"/>
  <c r="S14" i="8"/>
  <c r="R14" i="8"/>
  <c r="S13" i="8"/>
  <c r="R13" i="8"/>
  <c r="S12" i="8"/>
  <c r="R12" i="8"/>
  <c r="S11" i="8"/>
  <c r="R11" i="8"/>
  <c r="S10" i="8"/>
  <c r="R10" i="8"/>
  <c r="S8" i="8"/>
  <c r="R8" i="8"/>
  <c r="S7" i="8"/>
  <c r="R7" i="8"/>
  <c r="S6" i="8"/>
  <c r="R6" i="8"/>
  <c r="T19" i="7"/>
  <c r="S19" i="7"/>
  <c r="R19" i="7"/>
  <c r="T18" i="7"/>
  <c r="S18" i="7"/>
  <c r="R18" i="7"/>
  <c r="T17" i="7"/>
  <c r="S17" i="7"/>
  <c r="R17" i="7"/>
  <c r="T16" i="7"/>
  <c r="S16" i="7"/>
  <c r="R16" i="7"/>
  <c r="T15" i="7"/>
  <c r="S15" i="7"/>
  <c r="R15" i="7"/>
  <c r="T14" i="7"/>
  <c r="S14" i="7"/>
  <c r="R14" i="7"/>
  <c r="T13" i="7"/>
  <c r="S13" i="7"/>
  <c r="R13" i="7"/>
  <c r="T12" i="7"/>
  <c r="S12" i="7"/>
  <c r="R12" i="7"/>
  <c r="T11" i="7"/>
  <c r="S11" i="7"/>
  <c r="R11" i="7"/>
  <c r="T10" i="7"/>
  <c r="S10" i="7"/>
  <c r="R10" i="7"/>
  <c r="T9" i="7"/>
  <c r="S9" i="7"/>
  <c r="R9" i="7"/>
  <c r="T7" i="7"/>
  <c r="S7" i="7"/>
  <c r="R7" i="7"/>
  <c r="T6" i="7"/>
  <c r="S6" i="7"/>
  <c r="R6" i="7"/>
  <c r="T5" i="7"/>
  <c r="S5" i="7"/>
  <c r="R5" i="7"/>
  <c r="R19" i="1"/>
  <c r="Q19" i="1"/>
  <c r="S18" i="1"/>
  <c r="R18" i="1"/>
  <c r="Q18" i="1"/>
  <c r="S17" i="1"/>
  <c r="R17" i="1"/>
  <c r="Q17" i="1"/>
  <c r="S16" i="1"/>
  <c r="R16" i="1"/>
  <c r="Q16" i="1"/>
  <c r="S15" i="1"/>
  <c r="R15" i="1"/>
  <c r="Q15" i="1"/>
  <c r="S14" i="1"/>
  <c r="R14" i="1"/>
  <c r="Q14" i="1"/>
  <c r="S13" i="1"/>
  <c r="R13" i="1"/>
  <c r="Q13" i="1"/>
  <c r="S12" i="1"/>
  <c r="R12" i="1"/>
  <c r="Q12" i="1"/>
  <c r="S11" i="1"/>
  <c r="R11" i="1"/>
  <c r="Q11" i="1"/>
  <c r="S10" i="1"/>
  <c r="R10" i="1"/>
  <c r="Q10" i="1"/>
  <c r="S9" i="1"/>
  <c r="R9" i="1"/>
  <c r="Q9" i="1"/>
  <c r="S7" i="1"/>
  <c r="R7" i="1"/>
  <c r="Q7" i="1"/>
  <c r="S6" i="1"/>
  <c r="R6" i="1"/>
  <c r="Q6" i="1"/>
  <c r="S5" i="1"/>
  <c r="R5" i="1"/>
  <c r="Q5" i="1"/>
  <c r="Q17" i="13"/>
  <c r="Q16" i="13"/>
  <c r="Q15" i="13"/>
  <c r="Q14" i="13"/>
  <c r="Q13" i="13"/>
  <c r="Q12" i="13"/>
  <c r="Q11" i="13"/>
  <c r="Q10" i="13"/>
  <c r="Q9" i="13"/>
  <c r="Q8" i="13"/>
  <c r="Q7" i="13"/>
  <c r="Q5" i="13"/>
  <c r="Q4" i="13"/>
  <c r="Q3" i="13"/>
  <c r="H15" i="14" l="1"/>
  <c r="R14" i="13"/>
  <c r="R15" i="13"/>
  <c r="R16" i="13"/>
  <c r="R3" i="13"/>
  <c r="R4" i="13"/>
  <c r="R5" i="13"/>
  <c r="R7" i="13"/>
  <c r="R8" i="13"/>
  <c r="R9" i="13"/>
  <c r="R10" i="13"/>
  <c r="R11" i="13"/>
  <c r="R12" i="13"/>
  <c r="R13" i="13"/>
  <c r="R17" i="13"/>
  <c r="Q10" i="14"/>
  <c r="R10" i="14"/>
  <c r="J15" i="14"/>
  <c r="I15" i="14" s="1"/>
</calcChain>
</file>

<file path=xl/sharedStrings.xml><?xml version="1.0" encoding="utf-8"?>
<sst xmlns="http://schemas.openxmlformats.org/spreadsheetml/2006/main" count="7481" uniqueCount="1109">
  <si>
    <t>Chlorophyll a and Secchi</t>
  </si>
  <si>
    <t>Chlorophyll, ug/L</t>
  </si>
  <si>
    <t>SITE</t>
  </si>
  <si>
    <t>Bear Creek Reservoir Monitoring Program</t>
  </si>
  <si>
    <t>Conductance, uS/cm</t>
  </si>
  <si>
    <t>Nitrate-nitrogen, ug/L</t>
  </si>
  <si>
    <t>Dissolved Oxygen, mg/L</t>
  </si>
  <si>
    <t>Total Suspended Solids, mg/L</t>
  </si>
  <si>
    <t>Secchi Depth, m</t>
  </si>
  <si>
    <t>pH, s.u.</t>
  </si>
  <si>
    <t>Notes:</t>
  </si>
  <si>
    <t>Notes</t>
  </si>
  <si>
    <t>Asterionella formosa</t>
  </si>
  <si>
    <t>Stephanodiscus niagarae</t>
  </si>
  <si>
    <t>Synedra cyclopum</t>
  </si>
  <si>
    <t xml:space="preserve"> Reservoir</t>
  </si>
  <si>
    <t>Peak Chlorophyll-a [ug/l]</t>
  </si>
  <si>
    <t>Phytoplankton Species Co-dominant Species</t>
  </si>
  <si>
    <t>Peak Phytoplankton Density</t>
  </si>
  <si>
    <t>Parameter</t>
  </si>
  <si>
    <t>Site</t>
  </si>
  <si>
    <t>Chlorophyll-a (ug/L)</t>
  </si>
  <si>
    <t>Nitrate-Nitrogen (ug/L)</t>
  </si>
  <si>
    <t xml:space="preserve">Total Phosphorus (ug/L) </t>
  </si>
  <si>
    <t>Total Suspended Solids (mg/L)</t>
  </si>
  <si>
    <t>Secchi Depth (m)</t>
  </si>
  <si>
    <t>Average</t>
  </si>
  <si>
    <t>Reservoir Average</t>
  </si>
  <si>
    <t>Turkey Creek Inflow</t>
  </si>
  <si>
    <t>Bear Creek Inflow</t>
  </si>
  <si>
    <t>Bear Creek Outflow</t>
  </si>
  <si>
    <t>Lower Bear Creek</t>
  </si>
  <si>
    <t>Total Inflow</t>
  </si>
  <si>
    <t>Reservoir Top</t>
  </si>
  <si>
    <t>Reservoir Middle</t>
  </si>
  <si>
    <t>Reservoir Bottom</t>
  </si>
  <si>
    <t>Secchi</t>
  </si>
  <si>
    <t>Reservoir Outflow</t>
  </si>
  <si>
    <t>TP</t>
  </si>
  <si>
    <t>TN</t>
  </si>
  <si>
    <t>Chl</t>
  </si>
  <si>
    <t>Chl-peak</t>
  </si>
  <si>
    <t>Seasonal Means</t>
  </si>
  <si>
    <t>XSD</t>
  </si>
  <si>
    <t>XCA</t>
  </si>
  <si>
    <t>XTP</t>
  </si>
  <si>
    <t>Annual Means</t>
  </si>
  <si>
    <t>Carlson's Annual</t>
  </si>
  <si>
    <t xml:space="preserve">Carlson's Seasonal </t>
  </si>
  <si>
    <t>lca</t>
  </si>
  <si>
    <t>ltp</t>
  </si>
  <si>
    <t>lsd</t>
  </si>
  <si>
    <t>lw</t>
  </si>
  <si>
    <t>hyper</t>
  </si>
  <si>
    <t>eu</t>
  </si>
  <si>
    <t>Walker Model - Annual Averages</t>
  </si>
  <si>
    <t>Walker Model - Seasonal Averages</t>
  </si>
  <si>
    <t>year</t>
  </si>
  <si>
    <t>Conc</t>
  </si>
  <si>
    <t xml:space="preserve">Year </t>
  </si>
  <si>
    <t>Nitrate-nitrogen ug/l</t>
  </si>
  <si>
    <t>Retained in Reservoir</t>
  </si>
  <si>
    <t>Average Inflow</t>
  </si>
  <si>
    <t>Retained In Reservoir</t>
  </si>
  <si>
    <t>Total Phosphorus Trends</t>
  </si>
  <si>
    <t>Value</t>
  </si>
  <si>
    <t>25-30</t>
  </si>
  <si>
    <t>Oligotrophic-Mesotropic</t>
  </si>
  <si>
    <t>45-50</t>
  </si>
  <si>
    <t>Mesotrophic-Eutrophic</t>
  </si>
  <si>
    <t>65-70</t>
  </si>
  <si>
    <t>Eutrophic-Hypereutrophic</t>
  </si>
  <si>
    <t>Carlson</t>
  </si>
  <si>
    <t>40-50</t>
  </si>
  <si>
    <t>Total Suspended Sediments (mg/l)</t>
  </si>
  <si>
    <t>Nitrate (NO3-N) (ug/l)</t>
  </si>
  <si>
    <t>Total Phosphorus (ug/l)</t>
  </si>
  <si>
    <t>Total Phosphorus</t>
  </si>
  <si>
    <t>Jan</t>
  </si>
  <si>
    <t>Feb</t>
  </si>
  <si>
    <t>Mar</t>
  </si>
  <si>
    <t>Apr</t>
  </si>
  <si>
    <t>May</t>
  </si>
  <si>
    <t>Jun</t>
  </si>
  <si>
    <t>Jul</t>
  </si>
  <si>
    <t>Aug</t>
  </si>
  <si>
    <t>Sep</t>
  </si>
  <si>
    <t>Oct</t>
  </si>
  <si>
    <t>Nov</t>
  </si>
  <si>
    <t>Dec</t>
  </si>
  <si>
    <t>ug/l*.002723=pounds</t>
  </si>
  <si>
    <t>Nitrate Pounds</t>
  </si>
  <si>
    <t>Peak</t>
  </si>
  <si>
    <t>&gt;70</t>
  </si>
  <si>
    <t>Hypereutrophic</t>
  </si>
  <si>
    <t>Reservoir - Top</t>
  </si>
  <si>
    <t>Reservoir - Lower</t>
  </si>
  <si>
    <t>Reservoir Discharge</t>
  </si>
  <si>
    <t>Days</t>
  </si>
  <si>
    <t>Ac-ft/month Bear Creek Reservoir</t>
  </si>
  <si>
    <t>Annual ac-ft/yr</t>
  </si>
  <si>
    <t>Annual Mean</t>
  </si>
  <si>
    <t>Total Load</t>
  </si>
  <si>
    <t>Annual Average</t>
  </si>
  <si>
    <t>Seasonal Mean</t>
  </si>
  <si>
    <t>Annual Reservoir Average</t>
  </si>
  <si>
    <t>Seasonal Reservoir Average</t>
  </si>
  <si>
    <t>Estimated Monthly Flow (ac-ft) At Stations</t>
  </si>
  <si>
    <t>Year</t>
  </si>
  <si>
    <t>50-65</t>
  </si>
  <si>
    <t>Eutrophic</t>
  </si>
  <si>
    <t>30-45</t>
  </si>
  <si>
    <t>Mesotrophic</t>
  </si>
  <si>
    <t>Eu-hyp</t>
  </si>
  <si>
    <t>Hyp</t>
  </si>
  <si>
    <t>Eu</t>
  </si>
  <si>
    <t>Transition State</t>
  </si>
  <si>
    <t>Reservoir Annual Average Concentrations</t>
  </si>
  <si>
    <t>Water Column</t>
  </si>
  <si>
    <t>Top</t>
  </si>
  <si>
    <t>Mid</t>
  </si>
  <si>
    <t>Seasonal Average</t>
  </si>
  <si>
    <t>Sechhi</t>
  </si>
  <si>
    <t>TSI Index</t>
  </si>
  <si>
    <t>Chlorophyll-a</t>
  </si>
  <si>
    <t>TSS (Pounds)</t>
  </si>
  <si>
    <t>Total Phosphorus Pounds</t>
  </si>
  <si>
    <t>Turkey Creek</t>
  </si>
  <si>
    <t xml:space="preserve">Bear Creek </t>
  </si>
  <si>
    <t xml:space="preserve">Turkey Creek </t>
  </si>
  <si>
    <t>Bear Creek</t>
  </si>
  <si>
    <t>Minimum</t>
  </si>
  <si>
    <t>Average arce-ft/day</t>
  </si>
  <si>
    <t>Chlorophyll</t>
  </si>
  <si>
    <t>Index (m)</t>
  </si>
  <si>
    <t>Index (f)</t>
  </si>
  <si>
    <t>Secchi (ft)</t>
  </si>
  <si>
    <t>Annual Reservoir</t>
  </si>
  <si>
    <t>Seasonal Reservoir</t>
  </si>
  <si>
    <t>Annual Average Total Suspended Sediments [mg/l]</t>
  </si>
  <si>
    <t>Peak Total Suspended Sediments [mg/l]</t>
  </si>
  <si>
    <t>Phosphorus</t>
  </si>
  <si>
    <t>Nitrogen</t>
  </si>
  <si>
    <t>Clarity</t>
  </si>
  <si>
    <t>Total Suspended Sediments</t>
  </si>
  <si>
    <t xml:space="preserve">Phytoplankton Species </t>
  </si>
  <si>
    <t>Bear Creek Discharge</t>
  </si>
  <si>
    <t>Annul Average</t>
  </si>
  <si>
    <t>ltn</t>
  </si>
  <si>
    <t>Bear Creek Lair O'Bear</t>
  </si>
  <si>
    <t>Nitrate-Nitrogen (ug/l)</t>
  </si>
  <si>
    <t>Cryptomonas erosa</t>
  </si>
  <si>
    <t>Microcystis aeruginosa</t>
  </si>
  <si>
    <t>Jefferson County, Colorado</t>
  </si>
  <si>
    <t>Hydrologic Unit Code 10190002</t>
  </si>
  <si>
    <t>Latitude  39°39'08", Longitude 105°10'23" NAD27</t>
  </si>
  <si>
    <t>Drainage area 176  square miles</t>
  </si>
  <si>
    <t>Contributing drainage area 176  square miles</t>
  </si>
  <si>
    <t>Gage datum 5,645.00 feet above sea level NGVD29</t>
  </si>
  <si>
    <t>Fragilaria crotonensis</t>
  </si>
  <si>
    <t>Stephanodiscus hantzschii</t>
  </si>
  <si>
    <t>Species</t>
  </si>
  <si>
    <t>Association Annual ac-ft/yr</t>
  </si>
  <si>
    <t>0-25</t>
  </si>
  <si>
    <t>Oligotrophic</t>
  </si>
  <si>
    <t>Oligotrophic-Mesotrophic</t>
  </si>
  <si>
    <t>65+</t>
  </si>
  <si>
    <t>Walker TI</t>
  </si>
  <si>
    <t>Date</t>
  </si>
  <si>
    <t>Average Annual Sechhi Depth (meters)</t>
  </si>
  <si>
    <t>Time</t>
  </si>
  <si>
    <t>SC</t>
  </si>
  <si>
    <t>DO</t>
  </si>
  <si>
    <t>Temp</t>
  </si>
  <si>
    <t>pH</t>
  </si>
  <si>
    <t>1m</t>
  </si>
  <si>
    <t>2m</t>
  </si>
  <si>
    <t>3m</t>
  </si>
  <si>
    <t>4m</t>
  </si>
  <si>
    <t>5m</t>
  </si>
  <si>
    <t>6m</t>
  </si>
  <si>
    <t>7m</t>
  </si>
  <si>
    <t>8m</t>
  </si>
  <si>
    <t>9m</t>
  </si>
  <si>
    <t>Secchi m</t>
  </si>
  <si>
    <t>Width (feet)</t>
  </si>
  <si>
    <t>Conditions</t>
  </si>
  <si>
    <t>Distance</t>
  </si>
  <si>
    <t>Depth</t>
  </si>
  <si>
    <t>Vel Ave Ft/sec</t>
  </si>
  <si>
    <t>Area</t>
  </si>
  <si>
    <t>Discharge V avg A</t>
  </si>
  <si>
    <t>Gage</t>
  </si>
  <si>
    <t>Discharge,cfs</t>
  </si>
  <si>
    <t>cfs</t>
  </si>
  <si>
    <t>T Depth m</t>
  </si>
  <si>
    <t>Coyote Gulch Upper</t>
  </si>
  <si>
    <t>Coyote Gulch Lower</t>
  </si>
  <si>
    <t>Phosphorus, total</t>
  </si>
  <si>
    <t>Total Dissolved Phosphorus</t>
  </si>
  <si>
    <t>Chlorophyll a</t>
  </si>
  <si>
    <t>Parameter (ug/l)</t>
  </si>
  <si>
    <t>Bear Creek Laboratory Monitoring Data</t>
  </si>
  <si>
    <t xml:space="preserve">Residue, Non-Filterable (TSS) </t>
  </si>
  <si>
    <t>Nitrate/Nitrite as N, dissolved</t>
  </si>
  <si>
    <t>Site 5</t>
  </si>
  <si>
    <t>10m</t>
  </si>
  <si>
    <t>11m</t>
  </si>
  <si>
    <t>BCReservoir</t>
  </si>
  <si>
    <t>Upper Coyote</t>
  </si>
  <si>
    <t>Lower Coyote</t>
  </si>
  <si>
    <t>Reservoir Profiles</t>
  </si>
  <si>
    <t>date:</t>
  </si>
  <si>
    <t>TCIn; 16a</t>
  </si>
  <si>
    <t>BCIn; 15a</t>
  </si>
  <si>
    <t>LBCout; 45</t>
  </si>
  <si>
    <t>40a/40c</t>
  </si>
  <si>
    <t>gage</t>
  </si>
  <si>
    <t>Site 41 (1)</t>
  </si>
  <si>
    <t>Site 42 (3)</t>
  </si>
  <si>
    <t>Site 43 (4)</t>
  </si>
  <si>
    <t>Site 44 (5)</t>
  </si>
  <si>
    <t xml:space="preserve">Total Nitrogen </t>
  </si>
  <si>
    <t>Aphanizomenon flos-aquae</t>
  </si>
  <si>
    <t>Ceratium hirundinella</t>
  </si>
  <si>
    <t>Ankistrodesmus falcatus</t>
  </si>
  <si>
    <t>Chlamydomonas sp.</t>
  </si>
  <si>
    <t>Closterium sp.</t>
  </si>
  <si>
    <t>Total Nitrogen</t>
  </si>
  <si>
    <t xml:space="preserve">Total Dissolved Phosphorus, ug/l </t>
  </si>
  <si>
    <t>Total Dissolved Phosphorus, ug/l</t>
  </si>
  <si>
    <t>Total Phosphorus, ug/l</t>
  </si>
  <si>
    <t>Total Nitrogen ug/l</t>
  </si>
  <si>
    <t>Reservoir - Top (TN)</t>
  </si>
  <si>
    <t>Reservoir - Lower (TN)</t>
  </si>
  <si>
    <t>Reservoir - Top (NO3)</t>
  </si>
  <si>
    <t>Reservoir - Lower (NO3)</t>
  </si>
  <si>
    <t>Water Year</t>
  </si>
  <si>
    <t>Total Turkey Creek Inflow (Acre-Ft/Year)</t>
  </si>
  <si>
    <t>00060, Discharge, cubic feet per second</t>
  </si>
  <si>
    <t>Total Reservoir Inflow (Acre-Ft/Year)</t>
  </si>
  <si>
    <t>Bear Creek Inflow, Site 15a</t>
  </si>
  <si>
    <t>Turkey Creek Inflow, Site 16a</t>
  </si>
  <si>
    <t>Bear Creek Reservoir Top, Site 40a</t>
  </si>
  <si>
    <t>Bear Creek Reservoir Bottom, Site 40c</t>
  </si>
  <si>
    <t>Lower Bear Creek Outflow, Site 45</t>
  </si>
  <si>
    <t>Rec Uses</t>
  </si>
  <si>
    <t xml:space="preserve">Walking/ Running </t>
  </si>
  <si>
    <t>Number Observed</t>
  </si>
  <si>
    <t>Bicycle</t>
  </si>
  <si>
    <t>Horseback Riding</t>
  </si>
  <si>
    <t>Fishing</t>
  </si>
  <si>
    <t>Reservoir Sites</t>
  </si>
  <si>
    <t>Camping</t>
  </si>
  <si>
    <t>Reservoir Site 40</t>
  </si>
  <si>
    <t>camping</t>
  </si>
  <si>
    <t>Archery</t>
  </si>
  <si>
    <t>Beach</t>
  </si>
  <si>
    <t>9.0 (13.0)</t>
  </si>
  <si>
    <t>23.3 (23.8)</t>
  </si>
  <si>
    <t>Standard</t>
  </si>
  <si>
    <t>Ski School training</t>
  </si>
  <si>
    <t>site 40</t>
  </si>
  <si>
    <t>Site 41</t>
  </si>
  <si>
    <t>Site 42</t>
  </si>
  <si>
    <t>Site 43</t>
  </si>
  <si>
    <t>Site 44</t>
  </si>
  <si>
    <t>S(Apr-Dec)</t>
  </si>
  <si>
    <t>S(Jan-Mar)</t>
  </si>
  <si>
    <t>Profile Average (mg/l)</t>
  </si>
  <si>
    <t>Total Depth Profile (m)</t>
  </si>
  <si>
    <t>16 stable</t>
  </si>
  <si>
    <t>Site 52 Confluence</t>
  </si>
  <si>
    <t>Site 53 Riefenberg</t>
  </si>
  <si>
    <t>Site 54 Kerr</t>
  </si>
  <si>
    <t>Site 55 Swede</t>
  </si>
  <si>
    <t>Kerr/Swede Gulch Flow Estimates</t>
  </si>
  <si>
    <t>Site 52 - Confluence</t>
  </si>
  <si>
    <t>Site 53 - Riefenberg</t>
  </si>
  <si>
    <t>Site 55 - Swede</t>
  </si>
  <si>
    <t>Site 36</t>
  </si>
  <si>
    <t>Nitrogen, ammonia</t>
  </si>
  <si>
    <t>Site 37</t>
  </si>
  <si>
    <t>Site 1a</t>
  </si>
  <si>
    <t>Site 4b</t>
  </si>
  <si>
    <t>Site 4e</t>
  </si>
  <si>
    <t>Site 8a</t>
  </si>
  <si>
    <t>Site 9</t>
  </si>
  <si>
    <t>Site 12</t>
  </si>
  <si>
    <t>Site 13a</t>
  </si>
  <si>
    <t>Site 14a</t>
  </si>
  <si>
    <t>Site 18</t>
  </si>
  <si>
    <t>Site 19</t>
  </si>
  <si>
    <t>Site 25</t>
  </si>
  <si>
    <t>Site 35</t>
  </si>
  <si>
    <t>Site 50</t>
  </si>
  <si>
    <t xml:space="preserve">Site ID </t>
  </si>
  <si>
    <t>Site Location by Stream Segment</t>
  </si>
  <si>
    <t>Segment 1a</t>
  </si>
  <si>
    <t>Above Lost and Found (Singin' River Ranch) complex</t>
  </si>
  <si>
    <t>Site 3a</t>
  </si>
  <si>
    <t>Above Evergreen Lake at CDOW Site</t>
  </si>
  <si>
    <t>Segment 1d</t>
  </si>
  <si>
    <t>Segment 1e</t>
  </si>
  <si>
    <t>Above EMD WWTP, at CDOW downtown site</t>
  </si>
  <si>
    <t>Bear Creek Cabins at CDOW Site</t>
  </si>
  <si>
    <t>O'Fallon Park, west end at CDOW Site</t>
  </si>
  <si>
    <t>Lair o' the Bear Park, at CDOW site</t>
  </si>
  <si>
    <t>Below Idledale, Shady Lane at CDOW site</t>
  </si>
  <si>
    <t>Morrison Park west end of town, at CDOW Site</t>
  </si>
  <si>
    <t>Segment 3</t>
  </si>
  <si>
    <t>Vance Creek (Mt. Evans Wilderness drainage)</t>
  </si>
  <si>
    <t>Segment 5</t>
  </si>
  <si>
    <t>Cub Creek, Upstream of Cub Creek Park</t>
  </si>
  <si>
    <t>Cub Creek, Upstream @ Brookforest Inn</t>
  </si>
  <si>
    <t>Segment 6a</t>
  </si>
  <si>
    <t>South Turkey Creek Aspen Park Metropolitan District</t>
  </si>
  <si>
    <t>Segment 6b</t>
  </si>
  <si>
    <t>North Turkey Creek Flying J Ranch Bridge</t>
  </si>
  <si>
    <t>Segments 7 and 8</t>
  </si>
  <si>
    <t>Summit Lake outfall (Mount Evans Wilderness) (Segment 8)</t>
  </si>
  <si>
    <t>Site 38</t>
  </si>
  <si>
    <t>Bear Creek at Bear Tracks, Bridge  (Segment 7)</t>
  </si>
  <si>
    <t>NO3-NO2 Ug/l</t>
  </si>
  <si>
    <t>Ammonia Ug/l</t>
  </si>
  <si>
    <t>T Phos Ug/l</t>
  </si>
  <si>
    <t>Bear Creek, Mainstem from Lake 1/4 mile downstream (Segment 7)</t>
  </si>
  <si>
    <t>50 weir</t>
  </si>
  <si>
    <t>Recreational Uses</t>
  </si>
  <si>
    <t>c 30%</t>
  </si>
  <si>
    <t>sm 100%</t>
  </si>
  <si>
    <t>sm 10%</t>
  </si>
  <si>
    <t>Sediment Sample Sites</t>
  </si>
  <si>
    <t>Bear Creek Transect</t>
  </si>
  <si>
    <t>SedBC01</t>
  </si>
  <si>
    <t>SedBC02</t>
  </si>
  <si>
    <t>SedBC03</t>
  </si>
  <si>
    <t>SedBC04</t>
  </si>
  <si>
    <t>SedBC05</t>
  </si>
  <si>
    <t>SedBC06</t>
  </si>
  <si>
    <t>Pelican Point Transect</t>
  </si>
  <si>
    <t>SedPel07</t>
  </si>
  <si>
    <t>SedPel08</t>
  </si>
  <si>
    <t>SedPel09</t>
  </si>
  <si>
    <t>SedPel10</t>
  </si>
  <si>
    <t>SedPel11</t>
  </si>
  <si>
    <t>Turkey Creek Transect</t>
  </si>
  <si>
    <t>SedTC12</t>
  </si>
  <si>
    <t>SedTC13</t>
  </si>
  <si>
    <t>SedTC14</t>
  </si>
  <si>
    <t>SedTC15</t>
  </si>
  <si>
    <t>SedTC16</t>
  </si>
  <si>
    <t>SedTC17</t>
  </si>
  <si>
    <t>Code</t>
  </si>
  <si>
    <t>Transect</t>
  </si>
  <si>
    <t xml:space="preserve"> 39°39'4.86"N</t>
  </si>
  <si>
    <t>Latitude</t>
  </si>
  <si>
    <t>Longitude</t>
  </si>
  <si>
    <t>105° 8'51.74"W</t>
  </si>
  <si>
    <t xml:space="preserve"> 39°39'5.79"N</t>
  </si>
  <si>
    <t>105° 8'45.82"W</t>
  </si>
  <si>
    <t xml:space="preserve"> 39°39'6.65"N</t>
  </si>
  <si>
    <t>105° 8'40.02"W</t>
  </si>
  <si>
    <t xml:space="preserve"> 39°39'7.80"N</t>
  </si>
  <si>
    <t>105° 8'35.32"W</t>
  </si>
  <si>
    <t>Sediment</t>
  </si>
  <si>
    <t xml:space="preserve"> 39°39'9.39"N</t>
  </si>
  <si>
    <t>105° 8'30.87"W</t>
  </si>
  <si>
    <t xml:space="preserve"> 39°39'0.05"N</t>
  </si>
  <si>
    <t>105° 8'42.06"W</t>
  </si>
  <si>
    <t xml:space="preserve"> 39°39'11.84"N</t>
  </si>
  <si>
    <t>105° 8'27.13"W</t>
  </si>
  <si>
    <t xml:space="preserve"> 39°39'1.49"N</t>
  </si>
  <si>
    <t>105° 8'36.85"W</t>
  </si>
  <si>
    <t xml:space="preserve"> 39°39'3.10"N</t>
  </si>
  <si>
    <t>105° 8'32.09"W</t>
  </si>
  <si>
    <t xml:space="preserve"> 39°39'5.01"N</t>
  </si>
  <si>
    <t>105° 8'27.11"W</t>
  </si>
  <si>
    <t xml:space="preserve"> 39°39'7.20"N</t>
  </si>
  <si>
    <t>105° 8'22.92"W</t>
  </si>
  <si>
    <t xml:space="preserve"> 39°38'54.95"N</t>
  </si>
  <si>
    <t>105° 8'45.34"W</t>
  </si>
  <si>
    <t xml:space="preserve"> 39°38'56.88"N</t>
  </si>
  <si>
    <t>105° 8'39.95"W</t>
  </si>
  <si>
    <t xml:space="preserve"> 39°38'58.04"N</t>
  </si>
  <si>
    <t>105° 8'33.92"W</t>
  </si>
  <si>
    <t xml:space="preserve"> 39°38'59.46"N</t>
  </si>
  <si>
    <t>105° 8'29.52"W</t>
  </si>
  <si>
    <t xml:space="preserve"> 39°39'1.09"N</t>
  </si>
  <si>
    <t>105° 8'24.69"W</t>
  </si>
  <si>
    <t xml:space="preserve"> 39°39'2.63"N</t>
  </si>
  <si>
    <t>105° 8'18.94"W</t>
  </si>
  <si>
    <t>silty clay</t>
  </si>
  <si>
    <t>grams</t>
  </si>
  <si>
    <t>kg</t>
  </si>
  <si>
    <t>volume = 20ml</t>
  </si>
  <si>
    <t>mgP/kg Mud</t>
  </si>
  <si>
    <t>Filter</t>
  </si>
  <si>
    <t>Pan</t>
  </si>
  <si>
    <t>&lt;10-25</t>
  </si>
  <si>
    <t>Coarse Sand</t>
  </si>
  <si>
    <t>Med Sand</t>
  </si>
  <si>
    <t>Fine Sand</t>
  </si>
  <si>
    <t>Very Fine Sand</t>
  </si>
  <si>
    <t>Silt/Clay</t>
  </si>
  <si>
    <t>% TOC</t>
  </si>
  <si>
    <t>ASTM No</t>
  </si>
  <si>
    <t>Mesh Opening (in)</t>
  </si>
  <si>
    <t xml:space="preserve">Seive </t>
  </si>
  <si>
    <t>26 OPN</t>
  </si>
  <si>
    <t>9 OPN</t>
  </si>
  <si>
    <t>46 OPN</t>
  </si>
  <si>
    <t>29 OPN</t>
  </si>
  <si>
    <t>Medium Sand</t>
  </si>
  <si>
    <t>Silt and Clay</t>
  </si>
  <si>
    <t>&lt;200</t>
  </si>
  <si>
    <t>Very Coarse and Coarse Sand</t>
  </si>
  <si>
    <t>Grain-Size Term</t>
  </si>
  <si>
    <t>Site 54 - Kerr</t>
  </si>
  <si>
    <t>Above Singin' River Ranch complex</t>
  </si>
  <si>
    <t>TN Ug/l</t>
  </si>
  <si>
    <t>Above EMD WWTP, CDOW downtown site</t>
  </si>
  <si>
    <t>Morrison Park west, CDOW Site</t>
  </si>
  <si>
    <t xml:space="preserve">Evergreen Lake Profile Station, four meters </t>
  </si>
  <si>
    <t xml:space="preserve">Evergreen Lake Profile Station, one meter </t>
  </si>
  <si>
    <t>BCWA Site</t>
  </si>
  <si>
    <t>DO (mg/l)</t>
  </si>
  <si>
    <t>SC (ms/cm)</t>
  </si>
  <si>
    <t>Temp ( C)</t>
  </si>
  <si>
    <t>E. Coli (Cells/100ml)</t>
  </si>
  <si>
    <t>Rel NO3 (mg/l)</t>
  </si>
  <si>
    <t>24X.4</t>
  </si>
  <si>
    <t>TIME</t>
  </si>
  <si>
    <t>Temp °C</t>
  </si>
  <si>
    <t>DO(mg/l)</t>
  </si>
  <si>
    <t>Above Singin' River Ranch</t>
  </si>
  <si>
    <t>Location</t>
  </si>
  <si>
    <t>Flow cfs</t>
  </si>
  <si>
    <t>Segment</t>
  </si>
  <si>
    <t>1a</t>
  </si>
  <si>
    <t>1b</t>
  </si>
  <si>
    <t>1c</t>
  </si>
  <si>
    <t>1d</t>
  </si>
  <si>
    <t>1e</t>
  </si>
  <si>
    <t>4a</t>
  </si>
  <si>
    <t>6a</t>
  </si>
  <si>
    <t>6b</t>
  </si>
  <si>
    <t>Lakes and reservoirs in the Turkey Creek system from the source to the inlet of Bear Creek Reservoir</t>
  </si>
  <si>
    <t>Lakes and reservoirs in the Bear Creek system from the outlet of Evergreen Lake to the confluence with the South Platte River, except as specified in Segments 1c,  10, and 12; includes Soda Lakes.</t>
  </si>
  <si>
    <t>Lakes and reservoirs in drainages of Swede Gulch, Sawmill Gulch, Troublesome Gulch, and Cold Springs Gulch from source to confluence with Bear Creek.</t>
  </si>
  <si>
    <t>Lakes and reservoirs in the Bear Creek system from the boundary of the Mt. Evans Wilderness area to the inlet of Evergreen Lake.</t>
  </si>
  <si>
    <t>Lakes and reservoirs in the Bear Creek system from the sources to the boundary of the Mt. Evans Wilderness area.</t>
  </si>
  <si>
    <t>Mainstem and all tributaries to Bear Creek, including wetlands, within the Mt. Evans Wilderness Area.</t>
  </si>
  <si>
    <t>Mainstem of North Turkey Creek, from the source to the confluence with Turkey Creek.</t>
  </si>
  <si>
    <t>Turkey Creek system, including all tributaries and wetlands, from the source to the inlet of Bear Creek Reservoir, except for specific listings in Segment 6b.</t>
  </si>
  <si>
    <t>Swede, Kerr, Sawmill, Troublesome, and Cold Springs Gulches, and mainstem of Cub Creek from the source to the confluence with Bear Creek.</t>
  </si>
  <si>
    <t>All tributaries to Bear Creek, including all wetlands, from the outlet of Evergreen Lake to the confluence with the South Platte River, except for specific listings in Segments 5, 6a, and 6b.</t>
  </si>
  <si>
    <t>All tributaries to Bear Creek, including all wetlands, from the source to the outlet of Evergreen Lake, Except for specific listings in Segment 7.</t>
  </si>
  <si>
    <t>Mainstem of Bear Creek from the outlet of Bear Creek Reservoir to the confluence with the South Platte River.</t>
  </si>
  <si>
    <t>Mainstem of Bear Creek from the outlet of Evergreen Lake to the Harriman Ditch.</t>
  </si>
  <si>
    <t>Evergreen Lake.</t>
  </si>
  <si>
    <t>Bear Creek Reservoir.</t>
  </si>
  <si>
    <t>Mainstem of Bear Creek from Harriman Ditch to the inlet of Bear Creek Reservoir</t>
  </si>
  <si>
    <t xml:space="preserve">Mainstem of Bear Creek from the boundary of the Mt. Evans Wilderness area to the inlet of Evergreen Lake </t>
  </si>
  <si>
    <t>April-Oct</t>
  </si>
  <si>
    <r>
      <t xml:space="preserve">T=TVS(CS-I) </t>
    </r>
    <r>
      <rPr>
        <vertAlign val="superscript"/>
        <sz val="9"/>
        <color rgb="FF000000"/>
        <rFont val="Arial"/>
        <family val="2"/>
      </rPr>
      <t>o</t>
    </r>
    <r>
      <rPr>
        <sz val="9"/>
        <color rgb="FF000000"/>
        <rFont val="Arial"/>
        <family val="2"/>
      </rPr>
      <t>C</t>
    </r>
  </si>
  <si>
    <r>
      <t xml:space="preserve">T=TVS(CS-II) </t>
    </r>
    <r>
      <rPr>
        <vertAlign val="superscript"/>
        <sz val="9"/>
        <color rgb="FF000000"/>
        <rFont val="Arial"/>
        <family val="2"/>
      </rPr>
      <t>o</t>
    </r>
    <r>
      <rPr>
        <sz val="9"/>
        <color rgb="FF000000"/>
        <rFont val="Arial"/>
        <family val="2"/>
      </rPr>
      <t>C, April-Oct; T(WAT)=19.3 oC</t>
    </r>
  </si>
  <si>
    <r>
      <t xml:space="preserve">T=TVS(CLL) </t>
    </r>
    <r>
      <rPr>
        <vertAlign val="superscript"/>
        <sz val="9"/>
        <color rgb="FF000000"/>
        <rFont val="Arial"/>
        <family val="2"/>
      </rPr>
      <t>o</t>
    </r>
    <r>
      <rPr>
        <sz val="9"/>
        <color rgb="FF000000"/>
        <rFont val="Arial"/>
        <family val="2"/>
      </rPr>
      <t>C; April-Dec; T(WAT)=23.3oC</t>
    </r>
  </si>
  <si>
    <r>
      <t xml:space="preserve">T=TVS(CLL) </t>
    </r>
    <r>
      <rPr>
        <vertAlign val="superscript"/>
        <sz val="9"/>
        <color rgb="FF000000"/>
        <rFont val="Arial"/>
        <family val="2"/>
      </rPr>
      <t>o</t>
    </r>
    <r>
      <rPr>
        <sz val="9"/>
        <color rgb="FF000000"/>
        <rFont val="Arial"/>
        <family val="2"/>
      </rPr>
      <t>C</t>
    </r>
  </si>
  <si>
    <r>
      <t xml:space="preserve">T=TVS(CS-II) </t>
    </r>
    <r>
      <rPr>
        <vertAlign val="superscript"/>
        <sz val="9"/>
        <color rgb="FF000000"/>
        <rFont val="Arial"/>
        <family val="2"/>
      </rPr>
      <t>o</t>
    </r>
    <r>
      <rPr>
        <sz val="9"/>
        <color rgb="FF000000"/>
        <rFont val="Arial"/>
        <family val="2"/>
      </rPr>
      <t>C; April-Oct; T(WAT)=19.3 oC</t>
    </r>
  </si>
  <si>
    <r>
      <t xml:space="preserve">T=TVS(WS-I) </t>
    </r>
    <r>
      <rPr>
        <vertAlign val="superscript"/>
        <sz val="9"/>
        <color rgb="FF000000"/>
        <rFont val="Arial"/>
        <family val="2"/>
      </rPr>
      <t>o</t>
    </r>
    <r>
      <rPr>
        <sz val="9"/>
        <color rgb="FF000000"/>
        <rFont val="Arial"/>
        <family val="2"/>
      </rPr>
      <t>C</t>
    </r>
  </si>
  <si>
    <r>
      <t xml:space="preserve">T=TVS(CS-II) </t>
    </r>
    <r>
      <rPr>
        <vertAlign val="superscript"/>
        <sz val="9"/>
        <color rgb="FF000000"/>
        <rFont val="Arial"/>
        <family val="2"/>
      </rPr>
      <t>o</t>
    </r>
    <r>
      <rPr>
        <sz val="9"/>
        <color rgb="FF000000"/>
        <rFont val="Arial"/>
        <family val="2"/>
      </rPr>
      <t>C</t>
    </r>
  </si>
  <si>
    <r>
      <t xml:space="preserve">T=TVS(CL) </t>
    </r>
    <r>
      <rPr>
        <vertAlign val="superscript"/>
        <sz val="9"/>
        <color rgb="FF000000"/>
        <rFont val="Arial"/>
        <family val="2"/>
      </rPr>
      <t>o</t>
    </r>
    <r>
      <rPr>
        <sz val="9"/>
        <color rgb="FF000000"/>
        <rFont val="Arial"/>
        <family val="2"/>
      </rPr>
      <t>C</t>
    </r>
  </si>
  <si>
    <r>
      <t xml:space="preserve">T=TVS(WS-II) </t>
    </r>
    <r>
      <rPr>
        <vertAlign val="superscript"/>
        <sz val="9"/>
        <color rgb="FF000000"/>
        <rFont val="Arial"/>
        <family val="2"/>
      </rPr>
      <t>o</t>
    </r>
    <r>
      <rPr>
        <sz val="9"/>
        <color rgb="FF000000"/>
        <rFont val="Arial"/>
        <family val="2"/>
      </rPr>
      <t>C</t>
    </r>
  </si>
  <si>
    <t>Month</t>
  </si>
  <si>
    <t>June-Sept</t>
  </si>
  <si>
    <t>TEMPERATURE</t>
  </si>
  <si>
    <r>
      <t>STANDARD (</t>
    </r>
    <r>
      <rPr>
        <b/>
        <vertAlign val="superscript"/>
        <sz val="8"/>
        <rFont val="Arial"/>
        <family val="2"/>
      </rPr>
      <t>O</t>
    </r>
    <r>
      <rPr>
        <b/>
        <sz val="8"/>
        <rFont val="Arial"/>
        <family val="2"/>
      </rPr>
      <t>C)</t>
    </r>
  </si>
  <si>
    <t>(MWAT)</t>
  </si>
  <si>
    <t>(DM)</t>
  </si>
  <si>
    <t>Oct-May</t>
  </si>
  <si>
    <t>Nov-March</t>
  </si>
  <si>
    <t>April-Dec</t>
  </si>
  <si>
    <t>Jan-Mar</t>
  </si>
  <si>
    <t>March-Nov</t>
  </si>
  <si>
    <t>Dec-Feb</t>
  </si>
  <si>
    <t xml:space="preserve">date </t>
  </si>
  <si>
    <t>2X.4</t>
  </si>
  <si>
    <t>24X.3</t>
  </si>
  <si>
    <t>Boats BCR</t>
  </si>
  <si>
    <t>Stable Horses</t>
  </si>
  <si>
    <t>Canoe/Sailboard (Soda)</t>
  </si>
  <si>
    <t>Median</t>
  </si>
  <si>
    <t>Week-day - 1/2 Day estimates</t>
  </si>
  <si>
    <t>Week-day - Daily Use Estimates</t>
  </si>
  <si>
    <t>76/90</t>
  </si>
  <si>
    <t>80/128</t>
  </si>
  <si>
    <t>48/160</t>
  </si>
  <si>
    <t>128/280</t>
  </si>
  <si>
    <t>40/64</t>
  </si>
  <si>
    <t>Acre-Feet/ month</t>
  </si>
  <si>
    <t>Total</t>
  </si>
  <si>
    <t xml:space="preserve"> Bear Creek Reservoir Monitoring Program</t>
  </si>
  <si>
    <t>Bottom</t>
  </si>
  <si>
    <t>EU</t>
  </si>
  <si>
    <t>2011 Sampling Bear Creek Watershed Association</t>
  </si>
  <si>
    <t>1/2m</t>
  </si>
  <si>
    <t>1 1/2m</t>
  </si>
  <si>
    <t>2 1/2m</t>
  </si>
  <si>
    <t>3 1/2m</t>
  </si>
  <si>
    <t>Kerr/Swede Gulch Flow Estimates/ Field Data</t>
  </si>
  <si>
    <t xml:space="preserve"> BEAR CREEK ABOVE BEAR CREEK LAKE NEAR MORRISON, CO</t>
  </si>
  <si>
    <r>
      <t xml:space="preserve">Temperature, </t>
    </r>
    <r>
      <rPr>
        <b/>
        <vertAlign val="superscript"/>
        <sz val="12"/>
        <rFont val="Arial"/>
        <family val="2"/>
      </rPr>
      <t>o</t>
    </r>
    <r>
      <rPr>
        <b/>
        <sz val="12"/>
        <rFont val="Arial"/>
        <family val="2"/>
      </rPr>
      <t>C</t>
    </r>
  </si>
  <si>
    <t xml:space="preserve">Annual </t>
  </si>
  <si>
    <t>24"</t>
  </si>
  <si>
    <t>ice, C,0%</t>
  </si>
  <si>
    <t>ice,c, 0%</t>
  </si>
  <si>
    <t>ice,c,5%</t>
  </si>
  <si>
    <t>20"</t>
  </si>
  <si>
    <t>18"</t>
  </si>
  <si>
    <t>28"</t>
  </si>
  <si>
    <t>Temp 1/2-2m</t>
  </si>
  <si>
    <t>Temp 1/2-11m</t>
  </si>
  <si>
    <t>DO 1/2-11m</t>
  </si>
  <si>
    <t>pH 1/2-11m</t>
  </si>
  <si>
    <t>SC 1/2-11m</t>
  </si>
  <si>
    <t>DO 1/2-2m</t>
  </si>
  <si>
    <t>2011 DO Compliance Bear Creek Reservoir</t>
  </si>
  <si>
    <t>JD,MT, RNC 28 degrees, cloudy, 0-5 mph wind; 5-10"ice</t>
  </si>
  <si>
    <t>ice fishing fair to good Trout</t>
  </si>
  <si>
    <t>c, 20%</t>
  </si>
  <si>
    <t>c,30%</t>
  </si>
  <si>
    <t>c,100%</t>
  </si>
  <si>
    <t>24X.48</t>
  </si>
  <si>
    <t>22X.25</t>
  </si>
  <si>
    <t>0.29 cfs</t>
  </si>
  <si>
    <t>0.32 cfs</t>
  </si>
  <si>
    <t>dog leash</t>
  </si>
  <si>
    <t>dog no leash</t>
  </si>
  <si>
    <t>Site 40 (CP)</t>
  </si>
  <si>
    <t>c 0%</t>
  </si>
  <si>
    <t>c 5%</t>
  </si>
  <si>
    <t>JD, RNC 36 degrees, sunny, 10-25 mph wind; gust 35 mph; 4-6"ice open water edges</t>
  </si>
  <si>
    <t>c, 40%</t>
  </si>
  <si>
    <t>sm,100%</t>
  </si>
  <si>
    <t>18X.18</t>
  </si>
  <si>
    <t>SC 1/2-10m</t>
  </si>
  <si>
    <t>pH 1/2-10m</t>
  </si>
  <si>
    <t>DO 1/2-10m</t>
  </si>
  <si>
    <t>Temp 1/2-10m</t>
  </si>
  <si>
    <t>Average1/2-2m (mg/l)</t>
  </si>
  <si>
    <t>Bear Creek Reservoir 2011 - Selected Trend Indicators</t>
  </si>
  <si>
    <t>30"</t>
  </si>
  <si>
    <t>40"</t>
  </si>
  <si>
    <t>c, 0%</t>
  </si>
  <si>
    <t>c,10%</t>
  </si>
  <si>
    <t>t,30%</t>
  </si>
  <si>
    <t xml:space="preserve">MT, RNC 45 degrees, PC, 5 mph wind; gust 10 mph; open water </t>
  </si>
  <si>
    <t xml:space="preserve"> fishing fair Trout</t>
  </si>
  <si>
    <t>m, 100%</t>
  </si>
  <si>
    <t>c, 100%</t>
  </si>
  <si>
    <t>c, 80%</t>
  </si>
  <si>
    <t>sm, 90%</t>
  </si>
  <si>
    <t>20X.4</t>
  </si>
  <si>
    <t>Total Nitrogen (ug/l)</t>
  </si>
  <si>
    <t>sm, 100%</t>
  </si>
  <si>
    <t>MT, RNC 45 degrees, C, 0-2 mph wind; recent overnight rain, snow mountains</t>
  </si>
  <si>
    <t>c, 5%</t>
  </si>
  <si>
    <t>sm, 20%</t>
  </si>
  <si>
    <t>heavy white foam</t>
  </si>
  <si>
    <t>3X.75</t>
  </si>
  <si>
    <t>2.48 cfs</t>
  </si>
  <si>
    <t>2X.55</t>
  </si>
  <si>
    <t>2.53 cfs</t>
  </si>
  <si>
    <t>dogs, leash</t>
  </si>
  <si>
    <t>dogs, no leash</t>
  </si>
  <si>
    <t>boat</t>
  </si>
  <si>
    <t>Boat</t>
  </si>
  <si>
    <t>Stable</t>
  </si>
  <si>
    <t>Condition</t>
  </si>
  <si>
    <t>Width (in)</t>
  </si>
  <si>
    <t>c,5%</t>
  </si>
  <si>
    <t>silt</t>
  </si>
  <si>
    <t>deer 10</t>
  </si>
  <si>
    <t>elk 6</t>
  </si>
  <si>
    <t>horse 7</t>
  </si>
  <si>
    <t>cow 1</t>
  </si>
  <si>
    <t>c,80%</t>
  </si>
  <si>
    <t>silt/algal mat</t>
  </si>
  <si>
    <t>recent elk</t>
  </si>
  <si>
    <t>less silt</t>
  </si>
  <si>
    <t>c 20%</t>
  </si>
  <si>
    <t>MT, RNC 60 degrees, C, 2-10 mph wind; recent overnight rain, rain on lake</t>
  </si>
  <si>
    <t>32 stable</t>
  </si>
  <si>
    <t>vm, 30%</t>
  </si>
  <si>
    <t>2X.48</t>
  </si>
  <si>
    <t>2.5X.35</t>
  </si>
  <si>
    <t>.58 cfs</t>
  </si>
  <si>
    <t>.61 cfs</t>
  </si>
  <si>
    <t>Temp 1/2-8m</t>
  </si>
  <si>
    <t>DO 1/2-8m</t>
  </si>
  <si>
    <t>Temp 1/2-5m</t>
  </si>
  <si>
    <t>DO 1/2-5m</t>
  </si>
  <si>
    <t>DO 1/2-4m</t>
  </si>
  <si>
    <t>Temp 1/2-4m</t>
  </si>
  <si>
    <t>Temp 1/2-6m</t>
  </si>
  <si>
    <t>DO 1/2-6m</t>
  </si>
  <si>
    <t>c 15%</t>
  </si>
  <si>
    <t>c Metallic</t>
  </si>
  <si>
    <t>Bear Creek Park</t>
  </si>
  <si>
    <t>Downtown Evergreen</t>
  </si>
  <si>
    <t xml:space="preserve">Summit Lake </t>
  </si>
  <si>
    <t xml:space="preserve">Singin' River Ranch </t>
  </si>
  <si>
    <t xml:space="preserve">Above Evergreen Lake </t>
  </si>
  <si>
    <t xml:space="preserve">Bear Creek Cabins </t>
  </si>
  <si>
    <t>O'Fallon Park</t>
  </si>
  <si>
    <t>Idledale</t>
  </si>
  <si>
    <t xml:space="preserve">Morrison </t>
  </si>
  <si>
    <t>Flow (cfs)</t>
  </si>
  <si>
    <t xml:space="preserve">Below Summit Lake </t>
  </si>
  <si>
    <t>Bear Tracks</t>
  </si>
  <si>
    <t>Dissolved Oxygen (mg/l)</t>
  </si>
  <si>
    <t>Specific Conductance (ms)</t>
  </si>
  <si>
    <t>Temperature (c)</t>
  </si>
  <si>
    <t>Ammonia- Nitrogen (ug/l)</t>
  </si>
  <si>
    <t>Below Reservoir</t>
  </si>
  <si>
    <t>Lair o' the Bear</t>
  </si>
  <si>
    <t>50+</t>
  </si>
  <si>
    <t>Stabled</t>
  </si>
  <si>
    <t>MT, RNC 80 degrees, C, no wind; recent heavy rain</t>
  </si>
  <si>
    <t>c, 70%</t>
  </si>
  <si>
    <t>sm,80%</t>
  </si>
  <si>
    <t>2X.3</t>
  </si>
  <si>
    <t>.32 cfs</t>
  </si>
  <si>
    <t>.24 cfs</t>
  </si>
  <si>
    <t>sm, 50%</t>
  </si>
  <si>
    <t>Site 4 Evergreen Lake</t>
  </si>
  <si>
    <t>sample at -1m and +1m</t>
  </si>
  <si>
    <t>TP, TN, NO2-NO3, Ammonia, TDP</t>
  </si>
  <si>
    <t>c 90%</t>
  </si>
  <si>
    <t>c 10%</t>
  </si>
  <si>
    <t>c 60%</t>
  </si>
  <si>
    <t>.6.93</t>
  </si>
  <si>
    <t>c 85%</t>
  </si>
  <si>
    <t>c 100%</t>
  </si>
  <si>
    <t>MT,TL 85 degrees, C, no wind</t>
  </si>
  <si>
    <t>100+</t>
  </si>
  <si>
    <t>COSPBE01a</t>
  </si>
  <si>
    <t>Mainstem of Bear Creek from the boundary of the Mt. Evans Wilderness area to the inlet of Evergreen Lake.</t>
  </si>
  <si>
    <t>WBID</t>
  </si>
  <si>
    <t>Segment Description</t>
  </si>
  <si>
    <t>Portion</t>
  </si>
  <si>
    <t>Colorado’s Monitoring &amp; Evaluation Parameter(s)</t>
  </si>
  <si>
    <t>Clean Water Act Section 303(d) Impairment</t>
  </si>
  <si>
    <t>303(d) Priority</t>
  </si>
  <si>
    <t>Aquatic Life (provisional)</t>
  </si>
  <si>
    <t>COSPBE01c</t>
  </si>
  <si>
    <t>Bear Creek Reservoir</t>
  </si>
  <si>
    <t>all</t>
  </si>
  <si>
    <t>L</t>
  </si>
  <si>
    <t>D.O.</t>
  </si>
  <si>
    <t>Chl-a, phosphorus</t>
  </si>
  <si>
    <t>H</t>
  </si>
  <si>
    <t>COSPBE01e</t>
  </si>
  <si>
    <t>Temperature, Aquatic Life</t>
  </si>
  <si>
    <t>COSPBE02</t>
  </si>
  <si>
    <t>Bear Creek below Bear Creek Reservoir to South Platte River</t>
  </si>
  <si>
    <t>Below Kipling Parkway (CO 390)</t>
  </si>
  <si>
    <t>E.coli (May-Oct), Aquatic Life (provisional)</t>
  </si>
  <si>
    <t>COSPBE05</t>
  </si>
  <si>
    <t>Swede, Kerr, Sawmill, Troublesome and Cold Springs Gulches and Cub Creek</t>
  </si>
  <si>
    <t>Swede/Kerr Gulch</t>
  </si>
  <si>
    <t>E.coli</t>
  </si>
  <si>
    <t>m 80%</t>
  </si>
  <si>
    <t>m 100%</t>
  </si>
  <si>
    <t>Segment 10</t>
  </si>
  <si>
    <t>Site 39a</t>
  </si>
  <si>
    <t>Site 39b</t>
  </si>
  <si>
    <t>Genesee Reservoir, -1m</t>
  </si>
  <si>
    <t>Genesee Reservoir, -5m</t>
  </si>
  <si>
    <t>4e</t>
  </si>
  <si>
    <t>Evergreen Lake</t>
  </si>
  <si>
    <t>Inflow = 43 cfs</t>
  </si>
  <si>
    <t>DW Intake</t>
  </si>
  <si>
    <t>MT, RNC 80 degrees, C, no wind</t>
  </si>
  <si>
    <t>2X.32</t>
  </si>
  <si>
    <t>2X.25</t>
  </si>
  <si>
    <t>2X.42</t>
  </si>
  <si>
    <t>2X.26</t>
  </si>
  <si>
    <t>MT, RNC, Chris C Kerr 85 degrees, C, no wind</t>
  </si>
  <si>
    <t>MT, RNC 75 degrees, PC, 5-15 wind</t>
  </si>
  <si>
    <t>c 50%</t>
  </si>
  <si>
    <t>24" saugeye</t>
  </si>
  <si>
    <t>333 Boats August</t>
  </si>
  <si>
    <t>MT, RNC 75 degrees, C, light wind 2-5 mph</t>
  </si>
  <si>
    <t>c 25%</t>
  </si>
  <si>
    <t>2X.27</t>
  </si>
  <si>
    <t>silty sand, low organic matter</t>
  </si>
  <si>
    <t>silty clay, red worms</t>
  </si>
  <si>
    <t>10/17/2011 and 10/18/2011</t>
  </si>
  <si>
    <t>used the petite ponar sampler, made 1 drop per site</t>
  </si>
  <si>
    <t>Turned aeration off on 10/17/2011 @ 2:00 p.m.</t>
  </si>
  <si>
    <t>TP mg/l</t>
  </si>
  <si>
    <t>MT, TL,RNC 45 degrees, PC,  5-20 wind; stormy</t>
  </si>
  <si>
    <t>Site 40</t>
  </si>
  <si>
    <t>turn aeration off at 2:00 p.m. 10/17/2011</t>
  </si>
  <si>
    <t>10/17&amp;18/2011</t>
  </si>
  <si>
    <t>Bloom Azipham</t>
  </si>
  <si>
    <t>Genesee</t>
  </si>
  <si>
    <t>DO1/2-2m</t>
  </si>
  <si>
    <t>pH wc</t>
  </si>
  <si>
    <t>SC wc</t>
  </si>
  <si>
    <t xml:space="preserve">Site 36 </t>
  </si>
  <si>
    <t>Summit Lake</t>
  </si>
  <si>
    <t>Substrate</t>
  </si>
  <si>
    <t xml:space="preserve">Vel Ave </t>
  </si>
  <si>
    <t>Pipe#1</t>
  </si>
  <si>
    <t>Pipe#2</t>
  </si>
  <si>
    <t>Site 37 (Mt Evans, BC)</t>
  </si>
  <si>
    <t>Width</t>
  </si>
  <si>
    <t>Site 38 Bear Tracks</t>
  </si>
  <si>
    <t>Site 25 Vance Creek</t>
  </si>
  <si>
    <t>Samplers</t>
  </si>
  <si>
    <t>RNC Consulting; Tony Langoski; _____________________________________</t>
  </si>
  <si>
    <t>Weather</t>
  </si>
  <si>
    <t>_________________________________________________________________</t>
  </si>
  <si>
    <t xml:space="preserve">Site 1a-Singing River </t>
  </si>
  <si>
    <t>TS%</t>
  </si>
  <si>
    <t>Site 3a-Keys on the Green</t>
  </si>
  <si>
    <t>Staff</t>
  </si>
  <si>
    <t>Site 35 (Brookforest Inn)</t>
  </si>
  <si>
    <t>Site 50 Cub Creek Park</t>
  </si>
  <si>
    <t>Site 5-Little Bear Downtown</t>
  </si>
  <si>
    <t>Site 8-Bear Creek Cabins</t>
  </si>
  <si>
    <t>Site 9-O'Fallon Park</t>
  </si>
  <si>
    <t>Site 12-Lair O' The Bear</t>
  </si>
  <si>
    <t>Site 13a-Idledale</t>
  </si>
  <si>
    <t>Site 14a-Morrison Park West</t>
  </si>
  <si>
    <t>Site 18-South Turkey Creek</t>
  </si>
  <si>
    <t>Site 19 -North Turkey Creek</t>
  </si>
  <si>
    <t>-1m</t>
  </si>
  <si>
    <t>-5m</t>
  </si>
  <si>
    <t>Blank</t>
  </si>
  <si>
    <t>tared</t>
  </si>
  <si>
    <t>correction</t>
  </si>
  <si>
    <t>volume</t>
  </si>
  <si>
    <t xml:space="preserve">10/17- 45 degrees, PC, wind 5-20 mph, storm blew in. 10/18 - 40 degrees, S; wind calm </t>
  </si>
  <si>
    <t>Mike Towner, Tony Langoski, RNC</t>
  </si>
  <si>
    <t>Sdev</t>
  </si>
  <si>
    <t>t-test</t>
  </si>
  <si>
    <t>Sample</t>
  </si>
  <si>
    <t xml:space="preserve"> </t>
  </si>
  <si>
    <t>c 40%</t>
  </si>
  <si>
    <t>c %5</t>
  </si>
  <si>
    <t>9.51`</t>
  </si>
  <si>
    <t>BCWA Position</t>
  </si>
  <si>
    <t>Below Golden Willow Road Bridge</t>
  </si>
  <si>
    <t>The BCWA will supprt a provisional listing for Aquatic life as a low priority, but only for a portion of the segment.  Upstream macroinvertebrate sampling shows no indication of an aqutic life impairment.  The portion of the segment for provisional listing should begin at Golden Willow Road Bridge, Clear Creek County and extend downstream to the inlet of Evergreen Lake.</t>
  </si>
  <si>
    <t>The BCWA supports removing the dissolved oxygen listing from the monitoring and evalution listing and retaining the current listing for chlorophyll a and total phosphorus.</t>
  </si>
  <si>
    <t xml:space="preserve">The BCWA doesn't support the proposed aquatic life listing with a high priority with Temperature listed as the parameter causing impairment.  Geerally, the macroinvertbrate data for this segment does not show impairment; however one location out of the 7 monitored site has a low score in 2010.  As such, the BCWA will support a provisional listing for aquatic life for the segment with a low priority.  The massive data record collected by the BCWA for this segment does not support temperature as the problem. </t>
  </si>
  <si>
    <t>The BCWA takes no position on this segment.</t>
  </si>
  <si>
    <t>The BCWA continues the monitoring program o this segment and supports no change to the current listing.</t>
  </si>
  <si>
    <t>Ammonia Nitrogen</t>
  </si>
  <si>
    <t>Monthly Concentrations ug/l)</t>
  </si>
  <si>
    <t>Monthly Loads (pounds/month)</t>
  </si>
  <si>
    <t>John D, MT, RNC 55 degrees, C, 1-3 mph wind</t>
  </si>
  <si>
    <t>2X.43</t>
  </si>
  <si>
    <t>.52 cfs</t>
  </si>
  <si>
    <t>.40 cfs</t>
  </si>
  <si>
    <t>Time Period</t>
  </si>
  <si>
    <t>7-24/7-30</t>
  </si>
  <si>
    <t>7-17/7-23</t>
  </si>
  <si>
    <t>7-31/8-6</t>
  </si>
  <si>
    <t>8a</t>
  </si>
  <si>
    <t>13a</t>
  </si>
  <si>
    <t>19.3°C MWAT</t>
  </si>
  <si>
    <t>Segment 1e 2010</t>
  </si>
  <si>
    <t>Ave Max Temp F</t>
  </si>
  <si>
    <t>Mean Temp F</t>
  </si>
  <si>
    <t>July</t>
  </si>
  <si>
    <t>August</t>
  </si>
  <si>
    <t>YEAR(S)</t>
  </si>
  <si>
    <t>JAN</t>
  </si>
  <si>
    <t>FEB</t>
  </si>
  <si>
    <t>MAR</t>
  </si>
  <si>
    <t>APR</t>
  </si>
  <si>
    <t>MAY</t>
  </si>
  <si>
    <t>JUN</t>
  </si>
  <si>
    <t>JUL</t>
  </si>
  <si>
    <t>AUG</t>
  </si>
  <si>
    <t>SEP</t>
  </si>
  <si>
    <t>OCT</t>
  </si>
  <si>
    <t>NOV</t>
  </si>
  <si>
    <t>DEC</t>
  </si>
  <si>
    <t>ANN</t>
  </si>
  <si>
    <t>-----</t>
  </si>
  <si>
    <t>z</t>
  </si>
  <si>
    <t>x</t>
  </si>
  <si>
    <t>a</t>
  </si>
  <si>
    <t>b</t>
  </si>
  <si>
    <t>d</t>
  </si>
  <si>
    <t>c</t>
  </si>
  <si>
    <t>j</t>
  </si>
  <si>
    <t>Period of Record Statistics</t>
  </si>
  <si>
    <t>MEAN</t>
  </si>
  <si>
    <t>S.D.</t>
  </si>
  <si>
    <t>SKEW</t>
  </si>
  <si>
    <t>MAX</t>
  </si>
  <si>
    <t>MIN</t>
  </si>
  <si>
    <t>NO YRS</t>
  </si>
  <si>
    <t>90th Percentile Daily Max</t>
  </si>
  <si>
    <t>Measured Temperature Evergreen</t>
  </si>
  <si>
    <t>Max Temp F</t>
  </si>
  <si>
    <t>Air Temperature Golden 1997-2011</t>
  </si>
  <si>
    <t>avg</t>
  </si>
  <si>
    <t>max</t>
  </si>
  <si>
    <t>Golden</t>
  </si>
  <si>
    <t>July 24-30</t>
  </si>
  <si>
    <t>Watershed</t>
  </si>
  <si>
    <t>High Measurements</t>
  </si>
  <si>
    <t>Lowest</t>
  </si>
  <si>
    <t>Temperature</t>
  </si>
  <si>
    <t>(F)</t>
  </si>
  <si>
    <t>Highest</t>
  </si>
  <si>
    <t>Warmest</t>
  </si>
  <si>
    <t>Coldest</t>
  </si>
  <si>
    <t>Maximum</t>
  </si>
  <si>
    <t>Mean</t>
  </si>
  <si>
    <t>Precipitation</t>
  </si>
  <si>
    <t>(In)</t>
  </si>
  <si>
    <t>Snowfall</t>
  </si>
  <si>
    <t>Max 24hr</t>
  </si>
  <si>
    <t>NR</t>
  </si>
  <si>
    <t>June</t>
  </si>
  <si>
    <t>Air Temperature Evergreen 1961-2011</t>
  </si>
  <si>
    <t>2007-2011</t>
  </si>
  <si>
    <t xml:space="preserve">&gt;19.3°C </t>
  </si>
  <si>
    <t>Percent</t>
  </si>
  <si>
    <t>2003-2006</t>
  </si>
  <si>
    <t># Temperature Measurements</t>
  </si>
  <si>
    <t>- 40 cfs</t>
  </si>
  <si>
    <t>- 56 cfs</t>
  </si>
  <si>
    <t>- 21 cfs</t>
  </si>
  <si>
    <t>Evergreen at BCWA Site 5</t>
  </si>
  <si>
    <t>Flow (Deviation from Normal)</t>
  </si>
  <si>
    <t>Rainfall (Deviation from Normal</t>
  </si>
  <si>
    <t>- 0.4 in</t>
  </si>
  <si>
    <t>- 0.3 in</t>
  </si>
  <si>
    <t>Rainfall % of Average Normal</t>
  </si>
  <si>
    <t>+ 0.1 in</t>
  </si>
  <si>
    <t>Note: August 7-10 rainfall event @ 1.07 in</t>
  </si>
  <si>
    <t>MT, RNC 60 degrees, C, 5-30 wind; gusts to 40; 1-2 white caps; recent snow</t>
  </si>
  <si>
    <t xml:space="preserve"> fishing poor Trout</t>
  </si>
  <si>
    <t>2X.28</t>
  </si>
  <si>
    <t>2012 Sampling Bear Creek Watershed Association</t>
  </si>
  <si>
    <t>COND.</t>
  </si>
  <si>
    <t>Tot. NH3-N</t>
  </si>
  <si>
    <t>NO3/NO2</t>
  </si>
  <si>
    <t>TIN</t>
  </si>
  <si>
    <t>Total P</t>
  </si>
  <si>
    <t>E COLI COUNT</t>
  </si>
  <si>
    <t>S.U.</t>
  </si>
  <si>
    <t xml:space="preserve"> °C</t>
  </si>
  <si>
    <t>mg/L</t>
  </si>
  <si>
    <t>mS/cm</t>
  </si>
  <si>
    <t>ug/L</t>
  </si>
  <si>
    <t xml:space="preserve">ug/L </t>
  </si>
  <si>
    <t>COLONIES</t>
  </si>
  <si>
    <t>N/A</t>
  </si>
  <si>
    <t>                         Width                 depth                   velocity       </t>
  </si>
  <si>
    <t>52                      29”                           .58                        0.2</t>
  </si>
  <si>
    <t>53                       24”                          0.26                      0.2</t>
  </si>
  <si>
    <t>54                       26”                           0.3                        0.3</t>
  </si>
  <si>
    <t>55                        25”                           0.6                        0.4</t>
  </si>
  <si>
    <t>E. coli Summary, Geometric Mean</t>
  </si>
  <si>
    <t>J-D (Annual)</t>
  </si>
  <si>
    <t>May-Oct</t>
  </si>
  <si>
    <t>May-Dec</t>
  </si>
  <si>
    <t>n=36</t>
  </si>
  <si>
    <t>n=48</t>
  </si>
  <si>
    <t>n=8</t>
  </si>
  <si>
    <t>Sites 52-53</t>
  </si>
  <si>
    <t>Jan-Feb</t>
  </si>
  <si>
    <t>Mar-Apr</t>
  </si>
  <si>
    <t>May-Jun</t>
  </si>
  <si>
    <t>Jul-Aug</t>
  </si>
  <si>
    <t>Sep-Oct</t>
  </si>
  <si>
    <t>Nov-Dec</t>
  </si>
  <si>
    <r>
      <t>n=</t>
    </r>
    <r>
      <rPr>
        <b/>
        <sz val="10"/>
        <color rgb="FFFF0000"/>
        <rFont val="Arial"/>
        <family val="2"/>
      </rPr>
      <t>24</t>
    </r>
    <r>
      <rPr>
        <b/>
        <sz val="10"/>
        <rFont val="Arial"/>
        <family val="2"/>
      </rPr>
      <t>/6</t>
    </r>
  </si>
  <si>
    <t>2X.58</t>
  </si>
  <si>
    <t>2011 Temperature C WAT (1/2-2m)</t>
  </si>
  <si>
    <t>MT, RNC, John  35 degrees, C, no wind; recent snow; ice 41/2 inches</t>
  </si>
  <si>
    <t xml:space="preserve"> ice fishing good Trout perch</t>
  </si>
  <si>
    <t>8cm</t>
  </si>
  <si>
    <t>9cm</t>
  </si>
  <si>
    <t>Total Horses</t>
  </si>
  <si>
    <t>assume w/o bedding</t>
  </si>
  <si>
    <t>Total Manure</t>
  </si>
  <si>
    <t>Ammonia</t>
  </si>
  <si>
    <t>Potassium</t>
  </si>
  <si>
    <t>assume1000 pound animal per year, median</t>
  </si>
  <si>
    <t>tons/yr</t>
  </si>
  <si>
    <t>2011 Week-day - Daily Use Estimates</t>
  </si>
  <si>
    <t>2;55</t>
  </si>
  <si>
    <t>c 2%</t>
  </si>
  <si>
    <t>retest Loretta RNC</t>
  </si>
  <si>
    <t>Many Fish</t>
  </si>
  <si>
    <t>&gt;18"</t>
  </si>
  <si>
    <t>flow=2.9</t>
  </si>
  <si>
    <t>flow= 2.51</t>
  </si>
  <si>
    <t>large fish &gt;20"</t>
  </si>
  <si>
    <t>flow=29.8</t>
  </si>
  <si>
    <t>44"</t>
  </si>
  <si>
    <t>50-60 PC light wind rain weekend</t>
  </si>
  <si>
    <t>flow=0.32</t>
  </si>
  <si>
    <t>sm 20%</t>
  </si>
  <si>
    <t>flow=43</t>
  </si>
  <si>
    <t>flow=42.7</t>
  </si>
  <si>
    <t>most sites</t>
  </si>
  <si>
    <t>m 20%</t>
  </si>
  <si>
    <t>flow=3.49</t>
  </si>
  <si>
    <t>sm</t>
  </si>
  <si>
    <t>flow=67</t>
  </si>
  <si>
    <t>flow=47</t>
  </si>
  <si>
    <t>sm 30%</t>
  </si>
  <si>
    <t>flow=54.5</t>
  </si>
  <si>
    <t>flow=42.2</t>
  </si>
  <si>
    <t>flow=63.6</t>
  </si>
  <si>
    <t>sm=30%</t>
  </si>
  <si>
    <t>flow=59.3</t>
  </si>
  <si>
    <t>flow=0.21</t>
  </si>
  <si>
    <t>flow=1.5</t>
  </si>
  <si>
    <t>Site 26</t>
  </si>
  <si>
    <t>Cub Creek Mouth</t>
  </si>
  <si>
    <t>site 26</t>
  </si>
  <si>
    <t>Flow</t>
  </si>
  <si>
    <t>flow=3.2</t>
  </si>
  <si>
    <t>flow=20.2</t>
  </si>
  <si>
    <t>42"</t>
  </si>
  <si>
    <t>flow=2.84</t>
  </si>
  <si>
    <t>c sunny 80</t>
  </si>
  <si>
    <t>flow=20.8</t>
  </si>
  <si>
    <t>flow=.54</t>
  </si>
  <si>
    <t>flow=1.6</t>
  </si>
  <si>
    <t>flow=26.5</t>
  </si>
  <si>
    <t>c 70%</t>
  </si>
  <si>
    <t>flow=30.3</t>
  </si>
  <si>
    <t>flow=29.7</t>
  </si>
  <si>
    <t>Site 26 -Cub Creek Mouth</t>
  </si>
  <si>
    <t>flow=23.6</t>
  </si>
  <si>
    <t>flow=34</t>
  </si>
  <si>
    <t>flow=20.9</t>
  </si>
  <si>
    <t>4.3 g/m</t>
  </si>
  <si>
    <t>flow=0.1</t>
  </si>
  <si>
    <t>flow=.6</t>
  </si>
  <si>
    <t>flow=2.4</t>
  </si>
  <si>
    <t>cloudy 50 no wind, recent rain, snow Mt Evans</t>
  </si>
  <si>
    <t>9/8/2011 upper</t>
  </si>
  <si>
    <t>c 1%</t>
  </si>
  <si>
    <t>flow=4.5</t>
  </si>
  <si>
    <t>flow=16.8</t>
  </si>
  <si>
    <t>flow=4.8</t>
  </si>
  <si>
    <t xml:space="preserve"> c 10%</t>
  </si>
  <si>
    <t>flow=24.8</t>
  </si>
  <si>
    <t>32"</t>
  </si>
  <si>
    <t>Flow=.4</t>
  </si>
  <si>
    <t>vt 50%</t>
  </si>
  <si>
    <t>flow=.62</t>
  </si>
  <si>
    <t>vm 30%</t>
  </si>
  <si>
    <t>flow=0.87</t>
  </si>
  <si>
    <t>flow=40.1</t>
  </si>
  <si>
    <t>sm 50%</t>
  </si>
  <si>
    <t>flow=45.2</t>
  </si>
  <si>
    <t>sm 25%</t>
  </si>
  <si>
    <t>flow=36.9</t>
  </si>
  <si>
    <t>flow=41.2</t>
  </si>
  <si>
    <t>sm 75%</t>
  </si>
  <si>
    <t>flow=49.1</t>
  </si>
  <si>
    <t>flow=43.3</t>
  </si>
  <si>
    <t>flow=.03</t>
  </si>
  <si>
    <t>10 g/m</t>
  </si>
  <si>
    <t>BG</t>
  </si>
  <si>
    <t>flow=.72</t>
  </si>
  <si>
    <t xml:space="preserve">Median </t>
  </si>
  <si>
    <t>Turkey Creek Inflow (TN)</t>
  </si>
  <si>
    <t>Bear Creek Inflow (TN)</t>
  </si>
  <si>
    <t>Reservoir Discharge (TN)</t>
  </si>
  <si>
    <t xml:space="preserve">                                        Phytoplankton Sample Analysis</t>
  </si>
  <si>
    <t xml:space="preserve">Total Density (#/mL): </t>
  </si>
  <si>
    <r>
      <t>Total Biovolume (um</t>
    </r>
    <r>
      <rPr>
        <b/>
        <vertAlign val="superscript"/>
        <sz val="10"/>
        <rFont val="Arial"/>
        <family val="2"/>
      </rPr>
      <t>3</t>
    </r>
    <r>
      <rPr>
        <b/>
        <sz val="10"/>
        <rFont val="Arial"/>
        <family val="2"/>
      </rPr>
      <t xml:space="preserve">/mL):              </t>
    </r>
  </si>
  <si>
    <t xml:space="preserve">Trophic State Index: </t>
  </si>
  <si>
    <t>Density</t>
  </si>
  <si>
    <t>Biovolume</t>
  </si>
  <si>
    <t>#/mL</t>
  </si>
  <si>
    <r>
      <t>um</t>
    </r>
    <r>
      <rPr>
        <b/>
        <vertAlign val="superscript"/>
        <sz val="10"/>
        <rFont val="Arial"/>
        <family val="2"/>
      </rPr>
      <t>3</t>
    </r>
    <r>
      <rPr>
        <b/>
        <sz val="10"/>
        <rFont val="Arial"/>
        <family val="2"/>
      </rPr>
      <t>/mL</t>
    </r>
  </si>
  <si>
    <t>Group</t>
  </si>
  <si>
    <t>Amphora ovalis</t>
  </si>
  <si>
    <t>diatom</t>
  </si>
  <si>
    <t>Amphora perpusilla</t>
  </si>
  <si>
    <t>Anabaena flos-aquae</t>
  </si>
  <si>
    <t>bluegreen</t>
  </si>
  <si>
    <t>green</t>
  </si>
  <si>
    <t>dinoflagellate</t>
  </si>
  <si>
    <t>Cocconeis placentula</t>
  </si>
  <si>
    <t>cryptophyte</t>
  </si>
  <si>
    <t>Cymbella minuta</t>
  </si>
  <si>
    <t>Gomphonema subclavatum</t>
  </si>
  <si>
    <t>Melosira ambigua</t>
  </si>
  <si>
    <t>Rhodomonas minuta</t>
  </si>
  <si>
    <t>Schroderia sp.</t>
  </si>
  <si>
    <t>Trachelomonas scabra</t>
  </si>
  <si>
    <t>euglenoid</t>
  </si>
  <si>
    <t>Fragilaria construens venter</t>
  </si>
  <si>
    <t>Gomphonema ventricosum</t>
  </si>
  <si>
    <t>Scenedesmus quadricauda</t>
  </si>
  <si>
    <t>Dinobryon sertularia</t>
  </si>
  <si>
    <t>chrysophyte</t>
  </si>
  <si>
    <t>Glenodinium sp.</t>
  </si>
  <si>
    <t>Scenedesmus denticulatus</t>
  </si>
  <si>
    <t>Trachelomonas volvocina</t>
  </si>
  <si>
    <t>Cyclotella comta</t>
  </si>
  <si>
    <t>Fragilaria pinnata</t>
  </si>
  <si>
    <t>Achnanthes lanceolata</t>
  </si>
  <si>
    <t>Achnanthes minutissima</t>
  </si>
  <si>
    <t>Cymbella affinis</t>
  </si>
  <si>
    <t>Cymbella sinuata</t>
  </si>
  <si>
    <t>Fragilaria capucina mesolepta</t>
  </si>
  <si>
    <t>Fragilaria vaucheria</t>
  </si>
  <si>
    <t>Gomphonema olivaceum</t>
  </si>
  <si>
    <t>Kephyrion sp.</t>
  </si>
  <si>
    <t>Navicula cascadensis</t>
  </si>
  <si>
    <t>Navicula decussis</t>
  </si>
  <si>
    <t>Navicula sp.</t>
  </si>
  <si>
    <t>Sphaerocystis schroeteri</t>
  </si>
  <si>
    <t>Synedra radians</t>
  </si>
  <si>
    <t>Trachelomonas hispida</t>
  </si>
  <si>
    <t>Achnanthes clevei</t>
  </si>
  <si>
    <t>Achnanthes flexella</t>
  </si>
  <si>
    <t>Achnanthes linearis</t>
  </si>
  <si>
    <t>Gomphonema angustatum</t>
  </si>
  <si>
    <t>Navicula minuscula</t>
  </si>
  <si>
    <t>Nitzschia capitellata</t>
  </si>
  <si>
    <t>Nitzschia paleacea</t>
  </si>
  <si>
    <t>Synedra socia</t>
  </si>
  <si>
    <t>Diatoma vulgare</t>
  </si>
  <si>
    <t>Melosira varians</t>
  </si>
  <si>
    <t>Nitzschia linearis</t>
  </si>
  <si>
    <t>Nitzschia sp.</t>
  </si>
  <si>
    <t>Rhoicosphenia curvata</t>
  </si>
  <si>
    <t>Spirogyra sp.</t>
  </si>
  <si>
    <t>Fragilaria construens</t>
  </si>
  <si>
    <t>Pediastrum duplex</t>
  </si>
  <si>
    <t>Nitzschia dissipata</t>
  </si>
  <si>
    <t>Nitzschia amphibia</t>
  </si>
  <si>
    <t>Navicula anglica</t>
  </si>
  <si>
    <t>Nitzschia palea</t>
  </si>
  <si>
    <t>Average Total Nitrogen [ug/l]: -1m</t>
  </si>
  <si>
    <t>Average Total Nitrogen [ug/l]: -10m</t>
  </si>
  <si>
    <t>Peak Annual Total Phosphorus [ug/l] Water Column</t>
  </si>
  <si>
    <t>Total Nitrogen Pounds</t>
  </si>
  <si>
    <t>Average Annual Ortho Phosphorus ug/l] Water Column</t>
  </si>
  <si>
    <t>Peak Annual Ortho Phosphorus [ug/l] Water Column</t>
  </si>
  <si>
    <t>Average Annual Nitrate-Nitrogen [ug/l] Water Column</t>
  </si>
  <si>
    <t>Peak Annual Nitrate-Nitrogen [ug/l] Water Column</t>
  </si>
  <si>
    <t>Average Annual Total Nitrogen [ug/l]: Water Column</t>
  </si>
  <si>
    <t>Growing Season Total Phosphorus [ug/l]: -1m</t>
  </si>
  <si>
    <t>Growing Season Total Phosphorus [ug/l]: -10m</t>
  </si>
  <si>
    <t>Average Annual Total Phosphorus [ug/l] -1m</t>
  </si>
  <si>
    <t>Average Annual Total Phosphorus [ug/l] -10m</t>
  </si>
  <si>
    <t>Growing Season Total Phosphorus [ug/l]: Water Column</t>
  </si>
  <si>
    <t>Average Annual Total Phosphorus [ug/l]: Water Column</t>
  </si>
  <si>
    <r>
      <t>Average Total Biovolume (um</t>
    </r>
    <r>
      <rPr>
        <b/>
        <vertAlign val="superscript"/>
        <sz val="10"/>
        <rFont val="Arial"/>
        <family val="2"/>
      </rPr>
      <t>3</t>
    </r>
    <r>
      <rPr>
        <b/>
        <sz val="10"/>
        <rFont val="Arial"/>
        <family val="2"/>
      </rPr>
      <t xml:space="preserve">/mL):              </t>
    </r>
  </si>
  <si>
    <t xml:space="preserve">Average Trophic State Index: </t>
  </si>
  <si>
    <t>Total Species</t>
  </si>
  <si>
    <r>
      <t>Biovolume um</t>
    </r>
    <r>
      <rPr>
        <b/>
        <vertAlign val="superscript"/>
        <sz val="10"/>
        <rFont val="Arial"/>
        <family val="2"/>
      </rPr>
      <t>3</t>
    </r>
    <r>
      <rPr>
        <b/>
        <sz val="10"/>
        <rFont val="Arial"/>
        <family val="2"/>
      </rPr>
      <t>/mL (species &gt; 3% biovolume)</t>
    </r>
  </si>
  <si>
    <t>Peak Biovolume um3/ml</t>
  </si>
  <si>
    <t xml:space="preserve">Average Total Density (#/mL): </t>
  </si>
  <si>
    <t>Reservoir Trend Monitoring Parameters</t>
  </si>
  <si>
    <t>Average Growing Season Chlorophyll-a [ug/l (-1m)]</t>
  </si>
  <si>
    <t>Average Annual Chlorophyll-a [ug/l (-1m)]</t>
  </si>
  <si>
    <t>Dissolved Oxygen</t>
  </si>
  <si>
    <t>Annual Average at -1/2m [mg/l]</t>
  </si>
  <si>
    <t>Annual Minimum at -1/2m [mg/l]</t>
  </si>
  <si>
    <t>Annual Average at -2m [mg/l]</t>
  </si>
  <si>
    <t>Annual Minimum at -2m [mg/l]</t>
  </si>
  <si>
    <t>Annual Maximum at -1/2m [mg/l]</t>
  </si>
  <si>
    <t>Annual Maximum at -2m [mg/l]</t>
  </si>
  <si>
    <t>Reservoir Growing Season July to September</t>
  </si>
  <si>
    <t>Growing Season Average Nitrate-Nitrogen [ug/l] Water Column</t>
  </si>
  <si>
    <t>Growing Season Total Nitrogen [ug/l]: Water Column</t>
  </si>
  <si>
    <t>Growing Season Total Nitrogen [ug/l]: -1m</t>
  </si>
  <si>
    <t>Growing Season Total Nitrogen [ug/l]: -10m</t>
  </si>
  <si>
    <t>Growing Season Average Total Suspended Sediments [mg/l]</t>
  </si>
  <si>
    <t>Growing Season Average Ortho Phosphorus [ug/l] Water Column</t>
  </si>
  <si>
    <t>Growing Season Average Secchi Depth (meters)</t>
  </si>
  <si>
    <t>Bear Creek Reservoir Mean Annual Concentrations 1991-2012</t>
  </si>
  <si>
    <t>91-12 Mean</t>
  </si>
  <si>
    <t>91-12 Median</t>
  </si>
  <si>
    <t>Reservoir</t>
  </si>
  <si>
    <t>average</t>
  </si>
  <si>
    <t>Estimate Horses in Per/month</t>
  </si>
  <si>
    <t>tons manure/month</t>
  </si>
  <si>
    <t>Ammonia lbs/month</t>
  </si>
  <si>
    <t>TN lbs/month</t>
  </si>
  <si>
    <t>Total Phosphorus lbs/month</t>
  </si>
  <si>
    <t>Potassium lbs/month</t>
  </si>
  <si>
    <t>lbs/ton</t>
  </si>
  <si>
    <t>site 45</t>
  </si>
  <si>
    <t>deposited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</si>
</sst>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
    <numFmt numFmtId="166" formatCode="dd\-mmm\-yy_)"/>
    <numFmt numFmtId="167" formatCode="0_)"/>
    <numFmt numFmtId="168" formatCode="0.0_)"/>
    <numFmt numFmtId="169" formatCode="[$-409]d\-mmm\-yy;@"/>
    <numFmt numFmtId="170" formatCode="_(* #,##0_);_(* \(#,##0\);_(* &quot;-&quot;??_);_(@_)"/>
    <numFmt numFmtId="171" formatCode="m/d/yy"/>
    <numFmt numFmtId="172" formatCode="mm/dd/yy"/>
    <numFmt numFmtId="173" formatCode="0.0_);[Red]\(0.0\)"/>
    <numFmt numFmtId="174" formatCode="[$-409]d\-mmm;@"/>
    <numFmt numFmtId="175" formatCode="#,##0.0"/>
    <numFmt numFmtId="176" formatCode="mm/dd/yy;@"/>
  </numFmts>
  <fonts count="59" x14ac:knownFonts="1">
    <font>
      <sz val="10"/>
      <name val="Arial"/>
    </font>
    <font>
      <sz val="10"/>
      <name val="Arial"/>
      <family val="2"/>
    </font>
    <font>
      <b/>
      <sz val="10"/>
      <name val="Arial"/>
      <family val="2"/>
    </font>
    <font>
      <sz val="10"/>
      <name val="Arial"/>
      <family val="2"/>
    </font>
    <font>
      <b/>
      <sz val="12"/>
      <name val="Arial"/>
      <family val="2"/>
    </font>
    <font>
      <u/>
      <sz val="10"/>
      <color indexed="12"/>
      <name val="Arial"/>
      <family val="2"/>
    </font>
    <font>
      <sz val="9"/>
      <name val="Arial"/>
      <family val="2"/>
    </font>
    <font>
      <sz val="8"/>
      <name val="Arial"/>
      <family val="2"/>
    </font>
    <font>
      <sz val="8"/>
      <name val="Arial"/>
      <family val="2"/>
    </font>
    <font>
      <sz val="12"/>
      <name val="Arial"/>
      <family val="2"/>
    </font>
    <font>
      <sz val="8"/>
      <name val="Arial Black"/>
      <family val="2"/>
    </font>
    <font>
      <b/>
      <sz val="9"/>
      <name val="Arial"/>
      <family val="2"/>
    </font>
    <font>
      <sz val="10"/>
      <name val="Helv"/>
    </font>
    <font>
      <b/>
      <sz val="8"/>
      <name val="Arial"/>
      <family val="2"/>
    </font>
    <font>
      <sz val="10"/>
      <name val="Arial Black"/>
      <family val="2"/>
    </font>
    <font>
      <b/>
      <sz val="11"/>
      <name val="Arial"/>
      <family val="2"/>
    </font>
    <font>
      <b/>
      <sz val="13.5"/>
      <color indexed="18"/>
      <name val="Arial"/>
      <family val="2"/>
    </font>
    <font>
      <sz val="12"/>
      <name val="Times New Roman"/>
      <family val="1"/>
    </font>
    <font>
      <sz val="8"/>
      <name val="Helv"/>
    </font>
    <font>
      <b/>
      <sz val="12"/>
      <color indexed="10"/>
      <name val="Arial"/>
      <family val="2"/>
    </font>
    <font>
      <sz val="11"/>
      <name val="Arial"/>
      <family val="2"/>
    </font>
    <font>
      <sz val="10"/>
      <name val="Symbol"/>
      <family val="1"/>
      <charset val="2"/>
    </font>
    <font>
      <sz val="10"/>
      <color indexed="8"/>
      <name val="Arial"/>
      <family val="2"/>
    </font>
    <font>
      <sz val="10"/>
      <name val="Arial"/>
      <family val="2"/>
    </font>
    <font>
      <sz val="10"/>
      <color indexed="8"/>
      <name val="Arial"/>
      <family val="2"/>
    </font>
    <font>
      <sz val="10"/>
      <name val="Arial"/>
      <family val="2"/>
    </font>
    <font>
      <sz val="10"/>
      <color rgb="FFFF0000"/>
      <name val="Arial"/>
      <family val="2"/>
    </font>
    <font>
      <sz val="11"/>
      <name val="Calibri"/>
      <family val="2"/>
    </font>
    <font>
      <sz val="10"/>
      <name val="Arial"/>
      <family val="2"/>
    </font>
    <font>
      <b/>
      <sz val="8"/>
      <name val="Times New Roman"/>
      <family val="1"/>
    </font>
    <font>
      <b/>
      <sz val="10"/>
      <name val="Times New Roman"/>
      <family val="1"/>
    </font>
    <font>
      <sz val="11"/>
      <name val="Times New Roman"/>
      <family val="1"/>
    </font>
    <font>
      <b/>
      <sz val="11"/>
      <name val="Times New Roman"/>
      <family val="1"/>
    </font>
    <font>
      <sz val="10"/>
      <name val="Times New Roman"/>
      <family val="1"/>
    </font>
    <font>
      <sz val="11"/>
      <color theme="1"/>
      <name val="Calibri"/>
      <family val="2"/>
    </font>
    <font>
      <b/>
      <sz val="9"/>
      <name val="Times New Roman"/>
      <family val="1"/>
    </font>
    <font>
      <sz val="9"/>
      <color rgb="FF000000"/>
      <name val="Arial"/>
      <family val="2"/>
    </font>
    <font>
      <vertAlign val="superscript"/>
      <sz val="9"/>
      <color rgb="FF000000"/>
      <name val="Arial"/>
      <family val="2"/>
    </font>
    <font>
      <b/>
      <vertAlign val="superscript"/>
      <sz val="8"/>
      <name val="Arial"/>
      <family val="2"/>
    </font>
    <font>
      <b/>
      <vertAlign val="superscript"/>
      <sz val="12"/>
      <name val="Arial"/>
      <family val="2"/>
    </font>
    <font>
      <sz val="8"/>
      <name val="Cambria"/>
      <family val="1"/>
      <scheme val="major"/>
    </font>
    <font>
      <b/>
      <sz val="8"/>
      <name val="Cambria"/>
      <family val="1"/>
      <scheme val="major"/>
    </font>
    <font>
      <sz val="11"/>
      <name val="Calibri"/>
      <family val="2"/>
      <scheme val="minor"/>
    </font>
    <font>
      <b/>
      <sz val="9"/>
      <color indexed="10"/>
      <name val="Arial"/>
      <family val="2"/>
    </font>
    <font>
      <u/>
      <sz val="10"/>
      <name val="Times New Roman"/>
      <family val="1"/>
    </font>
    <font>
      <strike/>
      <sz val="10"/>
      <name val="Times New Roman"/>
      <family val="1"/>
    </font>
    <font>
      <sz val="8"/>
      <name val="Calibri"/>
      <family val="2"/>
    </font>
    <font>
      <sz val="10"/>
      <color indexed="8"/>
      <name val="Times New Roman"/>
      <family val="1"/>
    </font>
    <font>
      <sz val="9"/>
      <color indexed="8"/>
      <name val="Arial"/>
      <family val="2"/>
    </font>
    <font>
      <sz val="10"/>
      <name val="Calibri"/>
      <family val="2"/>
    </font>
    <font>
      <b/>
      <sz val="10"/>
      <color rgb="FFFF0000"/>
      <name val="Arial"/>
      <family val="2"/>
    </font>
    <font>
      <b/>
      <sz val="10"/>
      <color indexed="10"/>
      <name val="Arial"/>
      <family val="2"/>
    </font>
    <font>
      <b/>
      <sz val="11"/>
      <color theme="1"/>
      <name val="Calibri"/>
      <family val="2"/>
      <scheme val="minor"/>
    </font>
    <font>
      <b/>
      <sz val="11"/>
      <color theme="1"/>
      <name val="Calibri"/>
      <family val="2"/>
    </font>
    <font>
      <sz val="11"/>
      <color rgb="FF1F497D"/>
      <name val="Calibri"/>
      <family val="2"/>
    </font>
    <font>
      <b/>
      <vertAlign val="superscript"/>
      <sz val="10"/>
      <name val="Arial"/>
      <family val="2"/>
    </font>
    <font>
      <b/>
      <sz val="12"/>
      <name val="Times New Roman"/>
      <family val="1"/>
    </font>
    <font>
      <i/>
      <sz val="10"/>
      <name val="Times New Roman"/>
      <family val="1"/>
    </font>
    <font>
      <i/>
      <sz val="11"/>
      <name val="Times New Roman"/>
      <family val="1"/>
    </font>
  </fonts>
  <fills count="24">
    <fill>
      <patternFill patternType="none"/>
    </fill>
    <fill>
      <patternFill patternType="gray125"/>
    </fill>
    <fill>
      <patternFill patternType="solid">
        <fgColor indexed="42"/>
        <bgColor indexed="64"/>
      </patternFill>
    </fill>
    <fill>
      <patternFill patternType="solid">
        <fgColor indexed="13"/>
        <bgColor indexed="64"/>
      </patternFill>
    </fill>
    <fill>
      <patternFill patternType="solid">
        <fgColor indexed="43"/>
        <bgColor indexed="64"/>
      </patternFill>
    </fill>
    <fill>
      <patternFill patternType="solid">
        <fgColor indexed="4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D8D8D8"/>
        <bgColor indexed="64"/>
      </patternFill>
    </fill>
    <fill>
      <patternFill patternType="solid">
        <fgColor rgb="FFC2D69A"/>
        <bgColor indexed="64"/>
      </patternFill>
    </fill>
    <fill>
      <patternFill patternType="solid">
        <fgColor theme="2" tint="-9.9978637043366805E-2"/>
        <bgColor indexed="64"/>
      </patternFill>
    </fill>
    <fill>
      <patternFill patternType="solid">
        <fgColor rgb="FFDDD9C3"/>
        <bgColor indexed="64"/>
      </patternFill>
    </fill>
    <fill>
      <patternFill patternType="solid">
        <fgColor rgb="FFD9D9D9"/>
        <bgColor indexed="64"/>
      </patternFill>
    </fill>
    <fill>
      <patternFill patternType="solid">
        <fgColor rgb="FF92D050"/>
        <bgColor indexed="64"/>
      </patternFill>
    </fill>
    <fill>
      <patternFill patternType="solid">
        <fgColor theme="6"/>
        <bgColor indexed="64"/>
      </patternFill>
    </fill>
    <fill>
      <patternFill patternType="solid">
        <fgColor theme="8" tint="0.59999389629810485"/>
        <bgColor indexed="64"/>
      </patternFill>
    </fill>
    <fill>
      <patternFill patternType="solid">
        <fgColor theme="7"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indexed="64"/>
      </bottom>
      <diagonal/>
    </border>
    <border>
      <left style="thin">
        <color indexed="8"/>
      </left>
      <right/>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top style="medium">
        <color indexed="64"/>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0" fontId="22" fillId="0" borderId="0"/>
    <xf numFmtId="0" fontId="22" fillId="0" borderId="0"/>
    <xf numFmtId="9" fontId="28" fillId="0" borderId="0" applyFont="0" applyFill="0" applyBorder="0" applyAlignment="0" applyProtection="0"/>
    <xf numFmtId="0" fontId="1" fillId="0" borderId="0"/>
  </cellStyleXfs>
  <cellXfs count="1015">
    <xf numFmtId="0" fontId="0" fillId="0" borderId="0" xfId="0"/>
    <xf numFmtId="0" fontId="2" fillId="0" borderId="0" xfId="0" applyFont="1"/>
    <xf numFmtId="164" fontId="0" fillId="0" borderId="0" xfId="0" applyNumberFormat="1" applyAlignment="1">
      <alignment horizontal="right"/>
    </xf>
    <xf numFmtId="164" fontId="0" fillId="0" borderId="0" xfId="0" applyNumberFormat="1"/>
    <xf numFmtId="165" fontId="0" fillId="0" borderId="0" xfId="0" applyNumberFormat="1"/>
    <xf numFmtId="1" fontId="0" fillId="0" borderId="0" xfId="0" applyNumberFormat="1"/>
    <xf numFmtId="2" fontId="0" fillId="0" borderId="0" xfId="0" applyNumberFormat="1"/>
    <xf numFmtId="15" fontId="2" fillId="0" borderId="0" xfId="0" applyNumberFormat="1" applyFont="1"/>
    <xf numFmtId="165" fontId="2" fillId="0" borderId="0" xfId="0" applyNumberFormat="1" applyFont="1"/>
    <xf numFmtId="2" fontId="0" fillId="0" borderId="0" xfId="0" applyNumberFormat="1" applyFill="1"/>
    <xf numFmtId="0" fontId="0" fillId="0" borderId="0" xfId="0" applyFill="1"/>
    <xf numFmtId="0" fontId="3" fillId="0" borderId="0" xfId="0" applyFont="1"/>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xf>
    <xf numFmtId="0" fontId="3" fillId="0" borderId="1" xfId="0" applyFont="1" applyBorder="1" applyAlignment="1">
      <alignment horizontal="center"/>
    </xf>
    <xf numFmtId="164" fontId="11" fillId="2" borderId="1" xfId="0" applyNumberFormat="1" applyFont="1" applyFill="1" applyBorder="1" applyAlignment="1">
      <alignment horizontal="center"/>
    </xf>
    <xf numFmtId="1" fontId="11" fillId="2" borderId="1" xfId="0" applyNumberFormat="1" applyFont="1" applyFill="1" applyBorder="1" applyAlignment="1">
      <alignment horizontal="center"/>
    </xf>
    <xf numFmtId="0" fontId="10" fillId="0" borderId="1" xfId="0" applyFont="1" applyBorder="1" applyAlignment="1">
      <alignment wrapText="1"/>
    </xf>
    <xf numFmtId="0" fontId="1" fillId="2" borderId="0" xfId="0" applyFont="1" applyFill="1"/>
    <xf numFmtId="1" fontId="12" fillId="0" borderId="0" xfId="0" applyNumberFormat="1" applyFont="1" applyAlignment="1" applyProtection="1">
      <alignment horizontal="center"/>
    </xf>
    <xf numFmtId="0" fontId="1" fillId="0" borderId="0" xfId="0" applyFont="1"/>
    <xf numFmtId="1" fontId="1" fillId="0" borderId="0" xfId="0" applyNumberFormat="1" applyFont="1" applyAlignment="1">
      <alignment horizontal="center"/>
    </xf>
    <xf numFmtId="1" fontId="1" fillId="0" borderId="0" xfId="0" applyNumberFormat="1" applyFont="1" applyFill="1" applyAlignment="1" applyProtection="1">
      <alignment horizontal="center"/>
    </xf>
    <xf numFmtId="0" fontId="1" fillId="0" borderId="0" xfId="0" applyFont="1" applyAlignment="1">
      <alignment horizontal="center"/>
    </xf>
    <xf numFmtId="0" fontId="12" fillId="0" borderId="0" xfId="0" applyFont="1" applyProtection="1"/>
    <xf numFmtId="0" fontId="12" fillId="2" borderId="0" xfId="0" applyFont="1" applyFill="1" applyProtection="1"/>
    <xf numFmtId="0" fontId="0" fillId="0" borderId="0" xfId="0" applyFill="1" applyProtection="1"/>
    <xf numFmtId="0" fontId="0" fillId="0" borderId="0" xfId="0" applyProtection="1"/>
    <xf numFmtId="0" fontId="3" fillId="0" borderId="0" xfId="0" applyNumberFormat="1" applyFont="1"/>
    <xf numFmtId="0" fontId="2" fillId="0" borderId="0" xfId="0" applyNumberFormat="1" applyFont="1"/>
    <xf numFmtId="0" fontId="2" fillId="0" borderId="0" xfId="0" applyNumberFormat="1" applyFont="1" applyProtection="1"/>
    <xf numFmtId="0" fontId="0" fillId="0" borderId="0" xfId="0" applyNumberFormat="1"/>
    <xf numFmtId="1" fontId="3" fillId="0" borderId="0" xfId="0" applyNumberFormat="1" applyFont="1"/>
    <xf numFmtId="0" fontId="6" fillId="0" borderId="0" xfId="0" applyFont="1"/>
    <xf numFmtId="170" fontId="0" fillId="0" borderId="0" xfId="1" applyNumberFormat="1" applyFont="1"/>
    <xf numFmtId="165" fontId="2" fillId="0" borderId="1" xfId="0" applyNumberFormat="1" applyFont="1" applyBorder="1" applyAlignment="1">
      <alignment horizontal="right"/>
    </xf>
    <xf numFmtId="164" fontId="11" fillId="2" borderId="1" xfId="0" applyNumberFormat="1" applyFont="1" applyFill="1" applyBorder="1"/>
    <xf numFmtId="165" fontId="2" fillId="0" borderId="1" xfId="0" applyNumberFormat="1" applyFont="1" applyBorder="1"/>
    <xf numFmtId="3" fontId="6" fillId="0" borderId="0" xfId="0" applyNumberFormat="1" applyFont="1"/>
    <xf numFmtId="165" fontId="2" fillId="0" borderId="1" xfId="0" applyNumberFormat="1" applyFont="1" applyBorder="1" applyAlignment="1">
      <alignment horizontal="left"/>
    </xf>
    <xf numFmtId="164" fontId="2" fillId="2" borderId="1" xfId="0" applyNumberFormat="1" applyFont="1" applyFill="1" applyBorder="1"/>
    <xf numFmtId="0" fontId="13" fillId="0" borderId="1" xfId="0" applyFont="1" applyBorder="1"/>
    <xf numFmtId="0" fontId="7" fillId="0" borderId="0" xfId="0" applyFont="1"/>
    <xf numFmtId="0" fontId="13" fillId="2" borderId="1" xfId="0" applyFont="1" applyFill="1" applyBorder="1"/>
    <xf numFmtId="15" fontId="11" fillId="2" borderId="1" xfId="0" applyNumberFormat="1" applyFont="1" applyFill="1" applyBorder="1" applyAlignment="1">
      <alignment horizontal="center"/>
    </xf>
    <xf numFmtId="0" fontId="11" fillId="2" borderId="1" xfId="0" applyFont="1" applyFill="1" applyBorder="1"/>
    <xf numFmtId="15" fontId="11" fillId="0" borderId="0" xfId="0" applyNumberFormat="1" applyFont="1" applyBorder="1"/>
    <xf numFmtId="3" fontId="11" fillId="2" borderId="1" xfId="0" applyNumberFormat="1" applyFont="1" applyFill="1" applyBorder="1" applyAlignment="1">
      <alignment horizontal="center"/>
    </xf>
    <xf numFmtId="167" fontId="6" fillId="0" borderId="0" xfId="0" applyNumberFormat="1" applyFont="1" applyAlignment="1" applyProtection="1">
      <alignment horizontal="center"/>
    </xf>
    <xf numFmtId="0" fontId="11" fillId="2" borderId="1" xfId="0" applyFont="1" applyFill="1" applyBorder="1" applyAlignment="1">
      <alignment horizontal="center"/>
    </xf>
    <xf numFmtId="3" fontId="6" fillId="0" borderId="1" xfId="0" applyNumberFormat="1" applyFont="1" applyBorder="1" applyAlignment="1">
      <alignment horizontal="center"/>
    </xf>
    <xf numFmtId="3" fontId="2" fillId="2" borderId="1" xfId="0" applyNumberFormat="1" applyFont="1" applyFill="1" applyBorder="1" applyAlignment="1">
      <alignment horizontal="center"/>
    </xf>
    <xf numFmtId="0" fontId="13" fillId="2" borderId="1" xfId="0" applyFont="1" applyFill="1" applyBorder="1" applyAlignment="1">
      <alignment horizontal="right"/>
    </xf>
    <xf numFmtId="0" fontId="6" fillId="0" borderId="0" xfId="0" applyFont="1" applyBorder="1"/>
    <xf numFmtId="15" fontId="11" fillId="0" borderId="0" xfId="0" applyNumberFormat="1" applyFont="1" applyBorder="1" applyAlignment="1">
      <alignment horizontal="center"/>
    </xf>
    <xf numFmtId="164" fontId="11" fillId="2" borderId="2" xfId="0" applyNumberFormat="1" applyFont="1" applyFill="1" applyBorder="1" applyAlignment="1">
      <alignment horizontal="center"/>
    </xf>
    <xf numFmtId="2" fontId="6" fillId="0" borderId="0" xfId="0" applyNumberFormat="1" applyFont="1"/>
    <xf numFmtId="0" fontId="7" fillId="0" borderId="3" xfId="0" applyFont="1" applyBorder="1"/>
    <xf numFmtId="0" fontId="6" fillId="0" borderId="3" xfId="0" applyFont="1" applyBorder="1"/>
    <xf numFmtId="3" fontId="11" fillId="0" borderId="3" xfId="0" applyNumberFormat="1" applyFont="1" applyFill="1" applyBorder="1" applyAlignment="1">
      <alignment horizontal="center"/>
    </xf>
    <xf numFmtId="0" fontId="13" fillId="2" borderId="1" xfId="0" applyFont="1" applyFill="1" applyBorder="1" applyAlignment="1">
      <alignment wrapText="1"/>
    </xf>
    <xf numFmtId="15" fontId="11" fillId="2" borderId="1" xfId="0" applyNumberFormat="1" applyFont="1" applyFill="1" applyBorder="1"/>
    <xf numFmtId="164" fontId="11" fillId="0" borderId="1" xfId="0" applyNumberFormat="1" applyFont="1" applyBorder="1" applyAlignment="1">
      <alignment horizontal="center"/>
    </xf>
    <xf numFmtId="164" fontId="6" fillId="0" borderId="0" xfId="0" applyNumberFormat="1" applyFont="1" applyBorder="1" applyAlignment="1">
      <alignment horizontal="center"/>
    </xf>
    <xf numFmtId="164" fontId="6" fillId="0" borderId="0" xfId="0" applyNumberFormat="1" applyFont="1" applyAlignment="1">
      <alignment horizontal="center"/>
    </xf>
    <xf numFmtId="164" fontId="11" fillId="0" borderId="4" xfId="0" applyNumberFormat="1" applyFont="1" applyBorder="1" applyAlignment="1">
      <alignment horizontal="center"/>
    </xf>
    <xf numFmtId="0" fontId="0" fillId="2" borderId="0" xfId="0" applyFill="1"/>
    <xf numFmtId="3" fontId="0" fillId="0" borderId="0" xfId="0" applyNumberFormat="1"/>
    <xf numFmtId="2" fontId="0" fillId="2" borderId="0" xfId="0" applyNumberFormat="1" applyFill="1"/>
    <xf numFmtId="0" fontId="14" fillId="0" borderId="0" xfId="0" applyFont="1"/>
    <xf numFmtId="0" fontId="4" fillId="2" borderId="0" xfId="0" applyFont="1" applyFill="1"/>
    <xf numFmtId="165" fontId="2" fillId="2" borderId="1" xfId="0" applyNumberFormat="1" applyFont="1" applyFill="1" applyBorder="1"/>
    <xf numFmtId="0" fontId="2" fillId="2" borderId="1" xfId="0" applyFont="1" applyFill="1" applyBorder="1"/>
    <xf numFmtId="164" fontId="2" fillId="0" borderId="1" xfId="0" applyNumberFormat="1" applyFont="1" applyBorder="1" applyAlignment="1">
      <alignment horizontal="center"/>
    </xf>
    <xf numFmtId="164" fontId="2" fillId="2" borderId="1" xfId="0" applyNumberFormat="1" applyFont="1" applyFill="1" applyBorder="1" applyAlignment="1">
      <alignment horizontal="center"/>
    </xf>
    <xf numFmtId="1" fontId="0" fillId="2" borderId="0" xfId="0" applyNumberFormat="1" applyFill="1" applyAlignment="1">
      <alignment horizontal="center"/>
    </xf>
    <xf numFmtId="0" fontId="0" fillId="0" borderId="0" xfId="0" applyAlignment="1"/>
    <xf numFmtId="0" fontId="2" fillId="2" borderId="1" xfId="0" applyFont="1" applyFill="1" applyBorder="1" applyAlignment="1">
      <alignment horizontal="center" vertical="center"/>
    </xf>
    <xf numFmtId="0" fontId="2" fillId="2" borderId="1" xfId="0" applyFont="1" applyFill="1" applyBorder="1" applyAlignment="1">
      <alignment vertical="center"/>
    </xf>
    <xf numFmtId="0" fontId="6" fillId="2" borderId="1" xfId="0" applyFont="1" applyFill="1" applyBorder="1" applyAlignment="1">
      <alignment wrapText="1"/>
    </xf>
    <xf numFmtId="164" fontId="0" fillId="0" borderId="1" xfId="0" applyNumberFormat="1" applyBorder="1"/>
    <xf numFmtId="0" fontId="2" fillId="2" borderId="0" xfId="0" applyFont="1" applyFill="1"/>
    <xf numFmtId="0" fontId="0" fillId="0" borderId="1" xfId="0" applyBorder="1"/>
    <xf numFmtId="0" fontId="0" fillId="0" borderId="1" xfId="0" applyBorder="1" applyAlignment="1">
      <alignment horizontal="center"/>
    </xf>
    <xf numFmtId="0" fontId="4" fillId="2" borderId="1" xfId="0" applyFont="1" applyFill="1" applyBorder="1"/>
    <xf numFmtId="164" fontId="0" fillId="0" borderId="1" xfId="0" applyNumberFormat="1" applyBorder="1" applyAlignment="1">
      <alignment horizontal="center"/>
    </xf>
    <xf numFmtId="0" fontId="0" fillId="0" borderId="0" xfId="0" applyFill="1" applyBorder="1"/>
    <xf numFmtId="3" fontId="0" fillId="0" borderId="1" xfId="0" applyNumberFormat="1" applyBorder="1"/>
    <xf numFmtId="166" fontId="2" fillId="0" borderId="0" xfId="0" applyNumberFormat="1" applyFont="1" applyBorder="1" applyProtection="1"/>
    <xf numFmtId="0" fontId="0" fillId="0" borderId="0" xfId="0" applyBorder="1"/>
    <xf numFmtId="0" fontId="0" fillId="0" borderId="0" xfId="0" applyAlignment="1">
      <alignment horizontal="center"/>
    </xf>
    <xf numFmtId="0" fontId="2" fillId="0" borderId="1" xfId="0" applyFont="1" applyBorder="1"/>
    <xf numFmtId="1" fontId="2" fillId="0" borderId="1" xfId="0" applyNumberFormat="1" applyFont="1" applyBorder="1" applyAlignment="1">
      <alignment horizontal="center"/>
    </xf>
    <xf numFmtId="164" fontId="15" fillId="0" borderId="1" xfId="0" applyNumberFormat="1" applyFont="1" applyBorder="1" applyAlignment="1">
      <alignment horizontal="center"/>
    </xf>
    <xf numFmtId="1" fontId="2" fillId="2" borderId="7" xfId="0" applyNumberFormat="1" applyFont="1" applyFill="1" applyBorder="1"/>
    <xf numFmtId="169" fontId="2" fillId="0" borderId="0" xfId="0" applyNumberFormat="1" applyFont="1"/>
    <xf numFmtId="2" fontId="2" fillId="2" borderId="5" xfId="0" applyNumberFormat="1" applyFont="1" applyFill="1" applyBorder="1" applyAlignment="1">
      <alignment horizontal="center"/>
    </xf>
    <xf numFmtId="2" fontId="2" fillId="2" borderId="1" xfId="0" applyNumberFormat="1" applyFont="1" applyFill="1" applyBorder="1" applyAlignment="1">
      <alignment horizontal="center"/>
    </xf>
    <xf numFmtId="3" fontId="2" fillId="0" borderId="1" xfId="0" applyNumberFormat="1" applyFont="1" applyFill="1" applyBorder="1" applyAlignment="1">
      <alignment horizontal="center"/>
    </xf>
    <xf numFmtId="1" fontId="11" fillId="0" borderId="2" xfId="0" applyNumberFormat="1" applyFont="1" applyBorder="1" applyAlignment="1">
      <alignment horizontal="center"/>
    </xf>
    <xf numFmtId="1" fontId="11" fillId="0" borderId="1" xfId="0" applyNumberFormat="1" applyFont="1" applyBorder="1" applyAlignment="1">
      <alignment horizontal="center"/>
    </xf>
    <xf numFmtId="0" fontId="18" fillId="0" borderId="0" xfId="0" applyFont="1" applyBorder="1" applyProtection="1"/>
    <xf numFmtId="0" fontId="2" fillId="6" borderId="1" xfId="0" applyFont="1" applyFill="1" applyBorder="1" applyAlignment="1">
      <alignment horizontal="right"/>
    </xf>
    <xf numFmtId="0" fontId="11" fillId="6" borderId="9" xfId="0" applyFont="1" applyFill="1" applyBorder="1" applyAlignment="1">
      <alignment horizontal="center"/>
    </xf>
    <xf numFmtId="0" fontId="2" fillId="6" borderId="1" xfId="0" applyFont="1" applyFill="1" applyBorder="1" applyAlignment="1">
      <alignment horizontal="center"/>
    </xf>
    <xf numFmtId="0" fontId="2" fillId="0" borderId="7" xfId="0" applyFont="1" applyFill="1" applyBorder="1"/>
    <xf numFmtId="0" fontId="2" fillId="2" borderId="7" xfId="0" applyFont="1" applyFill="1" applyBorder="1"/>
    <xf numFmtId="165" fontId="0" fillId="2" borderId="1" xfId="0" applyNumberFormat="1" applyFill="1" applyBorder="1"/>
    <xf numFmtId="165" fontId="0" fillId="2" borderId="5" xfId="0" applyNumberFormat="1" applyFill="1" applyBorder="1"/>
    <xf numFmtId="15" fontId="2" fillId="7" borderId="0" xfId="0" applyNumberFormat="1" applyFont="1" applyFill="1"/>
    <xf numFmtId="1" fontId="0" fillId="0" borderId="1" xfId="0" applyNumberFormat="1" applyBorder="1" applyAlignment="1">
      <alignment horizontal="center"/>
    </xf>
    <xf numFmtId="15" fontId="2" fillId="6" borderId="9" xfId="0" applyNumberFormat="1" applyFont="1" applyFill="1" applyBorder="1"/>
    <xf numFmtId="15" fontId="2" fillId="6" borderId="1" xfId="0" applyNumberFormat="1" applyFont="1" applyFill="1" applyBorder="1"/>
    <xf numFmtId="15" fontId="2" fillId="6" borderId="5" xfId="0" applyNumberFormat="1" applyFont="1" applyFill="1" applyBorder="1" applyAlignment="1">
      <alignment wrapText="1"/>
    </xf>
    <xf numFmtId="2" fontId="2" fillId="6" borderId="1" xfId="0" applyNumberFormat="1" applyFont="1" applyFill="1" applyBorder="1" applyAlignment="1">
      <alignment wrapText="1"/>
    </xf>
    <xf numFmtId="164" fontId="2" fillId="0" borderId="1" xfId="0" applyNumberFormat="1" applyFont="1" applyFill="1" applyBorder="1"/>
    <xf numFmtId="15" fontId="2" fillId="6" borderId="9" xfId="0" applyNumberFormat="1" applyFont="1" applyFill="1" applyBorder="1" applyAlignment="1">
      <alignment wrapText="1"/>
    </xf>
    <xf numFmtId="15" fontId="2" fillId="6" borderId="7" xfId="0" applyNumberFormat="1" applyFont="1" applyFill="1" applyBorder="1"/>
    <xf numFmtId="1" fontId="2" fillId="6" borderId="7" xfId="0" applyNumberFormat="1" applyFont="1" applyFill="1" applyBorder="1"/>
    <xf numFmtId="15" fontId="2" fillId="6" borderId="12" xfId="0" applyNumberFormat="1" applyFont="1" applyFill="1" applyBorder="1" applyAlignment="1">
      <alignment wrapText="1"/>
    </xf>
    <xf numFmtId="164" fontId="2" fillId="6" borderId="7" xfId="0" applyNumberFormat="1" applyFont="1" applyFill="1" applyBorder="1"/>
    <xf numFmtId="0" fontId="2" fillId="0" borderId="1" xfId="0" applyFont="1" applyBorder="1" applyAlignment="1">
      <alignment horizontal="center"/>
    </xf>
    <xf numFmtId="1" fontId="2" fillId="0" borderId="1" xfId="0" applyNumberFormat="1" applyFont="1" applyFill="1" applyBorder="1"/>
    <xf numFmtId="0" fontId="0" fillId="9" borderId="0" xfId="0" applyFill="1"/>
    <xf numFmtId="0" fontId="2" fillId="0" borderId="0" xfId="0" applyFont="1" applyFill="1" applyBorder="1"/>
    <xf numFmtId="0" fontId="0" fillId="0" borderId="13" xfId="0" applyFill="1" applyBorder="1" applyAlignment="1">
      <alignment horizontal="center"/>
    </xf>
    <xf numFmtId="0" fontId="0" fillId="0" borderId="13" xfId="0" applyBorder="1"/>
    <xf numFmtId="0" fontId="0" fillId="0" borderId="15" xfId="0" applyBorder="1"/>
    <xf numFmtId="0" fontId="0" fillId="8" borderId="1" xfId="0" applyFill="1" applyBorder="1"/>
    <xf numFmtId="0" fontId="15" fillId="0" borderId="0" xfId="0" applyFont="1"/>
    <xf numFmtId="0" fontId="9" fillId="0" borderId="0" xfId="0" applyFont="1"/>
    <xf numFmtId="0" fontId="9" fillId="0" borderId="3" xfId="0" applyFont="1" applyBorder="1"/>
    <xf numFmtId="0" fontId="9" fillId="0" borderId="1" xfId="0" applyFont="1" applyBorder="1"/>
    <xf numFmtId="2" fontId="9" fillId="0" borderId="1" xfId="0" applyNumberFormat="1" applyFont="1" applyBorder="1"/>
    <xf numFmtId="0" fontId="9" fillId="0" borderId="1" xfId="0" applyFont="1" applyFill="1" applyBorder="1"/>
    <xf numFmtId="0" fontId="11" fillId="0" borderId="1" xfId="0" applyFont="1" applyBorder="1"/>
    <xf numFmtId="0" fontId="11" fillId="0" borderId="1" xfId="0" applyFont="1" applyBorder="1" applyAlignment="1">
      <alignment wrapText="1"/>
    </xf>
    <xf numFmtId="20" fontId="0" fillId="0" borderId="1" xfId="0" applyNumberFormat="1" applyBorder="1"/>
    <xf numFmtId="0" fontId="3" fillId="0" borderId="15" xfId="0" applyFont="1" applyBorder="1"/>
    <xf numFmtId="15" fontId="2" fillId="10" borderId="1" xfId="0" applyNumberFormat="1" applyFont="1" applyFill="1" applyBorder="1"/>
    <xf numFmtId="14" fontId="2" fillId="10" borderId="5" xfId="0" applyNumberFormat="1" applyFont="1" applyFill="1" applyBorder="1" applyAlignment="1">
      <alignment wrapText="1"/>
    </xf>
    <xf numFmtId="14" fontId="2" fillId="10" borderId="1" xfId="0" applyNumberFormat="1" applyFont="1" applyFill="1" applyBorder="1" applyAlignment="1">
      <alignment wrapText="1"/>
    </xf>
    <xf numFmtId="1" fontId="2" fillId="10" borderId="2" xfId="0" applyNumberFormat="1" applyFont="1" applyFill="1" applyBorder="1"/>
    <xf numFmtId="1" fontId="2" fillId="10" borderId="1" xfId="0" applyNumberFormat="1" applyFont="1" applyFill="1" applyBorder="1"/>
    <xf numFmtId="15" fontId="2" fillId="10" borderId="0" xfId="0" applyNumberFormat="1" applyFont="1" applyFill="1"/>
    <xf numFmtId="15" fontId="2" fillId="10" borderId="12" xfId="0" applyNumberFormat="1" applyFont="1" applyFill="1" applyBorder="1" applyAlignment="1">
      <alignment wrapText="1"/>
    </xf>
    <xf numFmtId="15" fontId="2" fillId="10" borderId="9" xfId="0" applyNumberFormat="1" applyFont="1" applyFill="1" applyBorder="1" applyAlignment="1">
      <alignment wrapText="1"/>
    </xf>
    <xf numFmtId="164" fontId="15" fillId="0" borderId="0" xfId="0" applyNumberFormat="1" applyFont="1"/>
    <xf numFmtId="14" fontId="0" fillId="0" borderId="0" xfId="0" applyNumberFormat="1"/>
    <xf numFmtId="20" fontId="0" fillId="0" borderId="0" xfId="0" applyNumberFormat="1"/>
    <xf numFmtId="164" fontId="2" fillId="10" borderId="18" xfId="0" applyNumberFormat="1" applyFont="1" applyFill="1" applyBorder="1"/>
    <xf numFmtId="0" fontId="11" fillId="9" borderId="1" xfId="0" applyFont="1" applyFill="1" applyBorder="1"/>
    <xf numFmtId="0" fontId="9" fillId="9" borderId="1" xfId="0" applyFont="1" applyFill="1" applyBorder="1"/>
    <xf numFmtId="0" fontId="11" fillId="9" borderId="1" xfId="0" applyFont="1" applyFill="1" applyBorder="1" applyAlignment="1">
      <alignment wrapText="1"/>
    </xf>
    <xf numFmtId="0" fontId="3" fillId="11" borderId="3" xfId="0" applyFont="1" applyFill="1" applyBorder="1"/>
    <xf numFmtId="0" fontId="3" fillId="11" borderId="17" xfId="0" applyFont="1" applyFill="1" applyBorder="1" applyAlignment="1">
      <alignment horizontal="left" vertical="top" wrapText="1"/>
    </xf>
    <xf numFmtId="0" fontId="3" fillId="11" borderId="16" xfId="0" applyFont="1" applyFill="1" applyBorder="1" applyAlignment="1">
      <alignment horizontal="left" vertical="top" wrapText="1"/>
    </xf>
    <xf numFmtId="0" fontId="9" fillId="0" borderId="19" xfId="0" applyFont="1" applyBorder="1" applyAlignment="1">
      <alignment vertical="top" wrapText="1"/>
    </xf>
    <xf numFmtId="0" fontId="20" fillId="0" borderId="0" xfId="0" applyFont="1"/>
    <xf numFmtId="171" fontId="2" fillId="0" borderId="0" xfId="0" applyNumberFormat="1" applyFont="1"/>
    <xf numFmtId="49" fontId="2" fillId="0" borderId="0" xfId="0" applyNumberFormat="1" applyFont="1"/>
    <xf numFmtId="171" fontId="1" fillId="0" borderId="0" xfId="0" applyNumberFormat="1" applyFont="1" applyAlignment="1">
      <alignment horizontal="right"/>
    </xf>
    <xf numFmtId="0" fontId="1" fillId="0" borderId="0" xfId="0" applyNumberFormat="1" applyFont="1" applyAlignment="1">
      <alignment horizontal="right"/>
    </xf>
    <xf numFmtId="0" fontId="1" fillId="0" borderId="0" xfId="0" applyNumberFormat="1" applyFont="1" applyAlignment="1">
      <alignment horizontal="left"/>
    </xf>
    <xf numFmtId="0" fontId="1" fillId="0" borderId="0" xfId="0" applyNumberFormat="1" applyFont="1"/>
    <xf numFmtId="0" fontId="21" fillId="0" borderId="0" xfId="0" applyFont="1"/>
    <xf numFmtId="1" fontId="1" fillId="0" borderId="0" xfId="0" applyNumberFormat="1" applyFont="1"/>
    <xf numFmtId="171" fontId="1" fillId="0" borderId="0" xfId="0" applyNumberFormat="1" applyFont="1"/>
    <xf numFmtId="0" fontId="0" fillId="0" borderId="0" xfId="0" applyFill="1" applyBorder="1" applyAlignment="1">
      <alignment horizontal="left"/>
    </xf>
    <xf numFmtId="0" fontId="22" fillId="0" borderId="0" xfId="3" applyNumberFormat="1" applyFont="1" applyFill="1" applyBorder="1" applyAlignment="1">
      <alignment horizontal="right"/>
    </xf>
    <xf numFmtId="14" fontId="3" fillId="0" borderId="0" xfId="0" applyNumberFormat="1" applyFont="1" applyFill="1" applyBorder="1" applyAlignment="1">
      <alignment horizontal="right"/>
    </xf>
    <xf numFmtId="0" fontId="22" fillId="0" borderId="0" xfId="3" applyFont="1" applyFill="1" applyBorder="1" applyAlignment="1">
      <alignment horizontal="left"/>
    </xf>
    <xf numFmtId="0" fontId="3" fillId="0" borderId="0" xfId="0" applyNumberFormat="1" applyFont="1" applyFill="1" applyBorder="1" applyAlignment="1">
      <alignment horizontal="left"/>
    </xf>
    <xf numFmtId="172" fontId="3" fillId="0" borderId="0" xfId="0" applyNumberFormat="1" applyFont="1" applyFill="1" applyBorder="1" applyAlignment="1">
      <alignment horizontal="left"/>
    </xf>
    <xf numFmtId="172" fontId="21" fillId="0" borderId="0" xfId="0" applyNumberFormat="1" applyFont="1" applyFill="1" applyBorder="1" applyAlignment="1">
      <alignment horizontal="left"/>
    </xf>
    <xf numFmtId="0" fontId="3" fillId="0" borderId="0" xfId="0" applyNumberFormat="1" applyFont="1" applyFill="1" applyBorder="1" applyAlignment="1">
      <alignment horizontal="right"/>
    </xf>
    <xf numFmtId="0" fontId="22" fillId="0" borderId="0" xfId="4" applyFont="1" applyFill="1" applyBorder="1" applyAlignment="1">
      <alignment horizontal="left"/>
    </xf>
    <xf numFmtId="0" fontId="21" fillId="0" borderId="0" xfId="0" applyNumberFormat="1" applyFont="1" applyFill="1" applyBorder="1" applyAlignment="1">
      <alignment horizontal="left"/>
    </xf>
    <xf numFmtId="0" fontId="0" fillId="11" borderId="1" xfId="0" applyFill="1" applyBorder="1"/>
    <xf numFmtId="0" fontId="1" fillId="0" borderId="1" xfId="0" applyFont="1" applyBorder="1"/>
    <xf numFmtId="0" fontId="22" fillId="0" borderId="1" xfId="3" applyFont="1" applyFill="1" applyBorder="1" applyAlignment="1">
      <alignment horizontal="left"/>
    </xf>
    <xf numFmtId="0" fontId="3" fillId="0" borderId="1" xfId="0" applyNumberFormat="1" applyFont="1" applyFill="1" applyBorder="1" applyAlignment="1">
      <alignment horizontal="left"/>
    </xf>
    <xf numFmtId="0" fontId="1" fillId="0" borderId="1" xfId="0" applyNumberFormat="1" applyFont="1" applyBorder="1" applyAlignment="1">
      <alignment horizontal="center"/>
    </xf>
    <xf numFmtId="0" fontId="3" fillId="0" borderId="1" xfId="0" applyNumberFormat="1" applyFont="1" applyFill="1" applyBorder="1" applyAlignment="1">
      <alignment horizontal="center"/>
    </xf>
    <xf numFmtId="164" fontId="1" fillId="0" borderId="0" xfId="0" applyNumberFormat="1" applyFont="1"/>
    <xf numFmtId="0" fontId="2" fillId="0" borderId="0" xfId="0" applyFont="1" applyFill="1" applyBorder="1" applyAlignment="1">
      <alignment horizontal="center"/>
    </xf>
    <xf numFmtId="0" fontId="0" fillId="0" borderId="1" xfId="0" applyFill="1" applyBorder="1"/>
    <xf numFmtId="0" fontId="2" fillId="0" borderId="0" xfId="0" applyFont="1" applyBorder="1" applyAlignment="1">
      <alignment horizontal="center"/>
    </xf>
    <xf numFmtId="0" fontId="15" fillId="9" borderId="1" xfId="0" applyFont="1" applyFill="1" applyBorder="1"/>
    <xf numFmtId="0" fontId="2" fillId="9" borderId="1" xfId="0" applyFont="1" applyFill="1" applyBorder="1"/>
    <xf numFmtId="0" fontId="1" fillId="0" borderId="0" xfId="0" applyNumberFormat="1" applyFont="1" applyFill="1" applyBorder="1" applyAlignment="1">
      <alignment horizontal="left"/>
    </xf>
    <xf numFmtId="0" fontId="1" fillId="0" borderId="0" xfId="0" applyNumberFormat="1" applyFont="1" applyFill="1" applyBorder="1" applyAlignment="1">
      <alignment horizontal="right"/>
    </xf>
    <xf numFmtId="0" fontId="0" fillId="0" borderId="11" xfId="0" applyFill="1" applyBorder="1"/>
    <xf numFmtId="0" fontId="1" fillId="0" borderId="13" xfId="0" applyFont="1" applyBorder="1"/>
    <xf numFmtId="0" fontId="9" fillId="0" borderId="11" xfId="0" applyFont="1" applyFill="1" applyBorder="1"/>
    <xf numFmtId="0" fontId="23" fillId="0" borderId="0" xfId="0" applyFont="1"/>
    <xf numFmtId="171" fontId="23" fillId="0" borderId="0" xfId="0" applyNumberFormat="1" applyFont="1" applyAlignment="1">
      <alignment horizontal="right"/>
    </xf>
    <xf numFmtId="0" fontId="24" fillId="0" borderId="0" xfId="3" applyNumberFormat="1" applyFont="1" applyFill="1" applyBorder="1" applyAlignment="1">
      <alignment horizontal="right"/>
    </xf>
    <xf numFmtId="164" fontId="23" fillId="0" borderId="0" xfId="0" applyNumberFormat="1" applyFont="1"/>
    <xf numFmtId="0" fontId="24" fillId="0" borderId="0" xfId="3" applyFont="1" applyFill="1" applyBorder="1" applyAlignment="1">
      <alignment horizontal="left"/>
    </xf>
    <xf numFmtId="0" fontId="24" fillId="0" borderId="0" xfId="4" applyFont="1" applyFill="1" applyBorder="1" applyAlignment="1">
      <alignment horizontal="left"/>
    </xf>
    <xf numFmtId="20" fontId="1" fillId="0" borderId="1" xfId="0" applyNumberFormat="1" applyFont="1" applyBorder="1"/>
    <xf numFmtId="0" fontId="1" fillId="0" borderId="0" xfId="0" applyFont="1" applyAlignment="1">
      <alignment horizontal="left"/>
    </xf>
    <xf numFmtId="0" fontId="1" fillId="0" borderId="1" xfId="0" applyFont="1" applyBorder="1" applyAlignment="1">
      <alignment horizontal="center"/>
    </xf>
    <xf numFmtId="1" fontId="1" fillId="0" borderId="1" xfId="0" applyNumberFormat="1" applyFont="1" applyBorder="1" applyAlignment="1">
      <alignment horizontal="center"/>
    </xf>
    <xf numFmtId="0" fontId="25" fillId="0" borderId="1" xfId="0" applyFont="1" applyBorder="1" applyAlignment="1">
      <alignment horizontal="center"/>
    </xf>
    <xf numFmtId="0" fontId="22" fillId="0" borderId="1" xfId="3" applyFont="1" applyFill="1" applyBorder="1" applyAlignment="1">
      <alignment horizontal="center"/>
    </xf>
    <xf numFmtId="164" fontId="1" fillId="0" borderId="1" xfId="0" applyNumberFormat="1" applyFont="1" applyBorder="1" applyAlignment="1">
      <alignment horizontal="center"/>
    </xf>
    <xf numFmtId="0" fontId="1" fillId="0" borderId="1" xfId="0" applyFont="1" applyFill="1" applyBorder="1" applyAlignment="1">
      <alignment horizontal="center"/>
    </xf>
    <xf numFmtId="0" fontId="0" fillId="0" borderId="1" xfId="0" applyNumberFormat="1" applyBorder="1" applyAlignment="1">
      <alignment horizontal="center"/>
    </xf>
    <xf numFmtId="1" fontId="25" fillId="0" borderId="1" xfId="0" applyNumberFormat="1" applyFont="1" applyBorder="1" applyAlignment="1">
      <alignment horizontal="center"/>
    </xf>
    <xf numFmtId="164" fontId="25" fillId="0" borderId="1" xfId="0" applyNumberFormat="1" applyFont="1" applyBorder="1" applyAlignment="1">
      <alignment horizontal="center"/>
    </xf>
    <xf numFmtId="164" fontId="2" fillId="9" borderId="1" xfId="0" applyNumberFormat="1" applyFont="1" applyFill="1" applyBorder="1"/>
    <xf numFmtId="0" fontId="20" fillId="0" borderId="1" xfId="0" applyFont="1" applyBorder="1"/>
    <xf numFmtId="164" fontId="15" fillId="2" borderId="5" xfId="0" applyNumberFormat="1" applyFont="1" applyFill="1" applyBorder="1"/>
    <xf numFmtId="164" fontId="15" fillId="2" borderId="1" xfId="0" applyNumberFormat="1" applyFont="1" applyFill="1" applyBorder="1"/>
    <xf numFmtId="0" fontId="20" fillId="0" borderId="7" xfId="0" applyFont="1" applyBorder="1"/>
    <xf numFmtId="165" fontId="11" fillId="6" borderId="7" xfId="0" applyNumberFormat="1" applyFont="1" applyFill="1" applyBorder="1" applyAlignment="1">
      <alignment horizontal="left" vertical="top" wrapText="1"/>
    </xf>
    <xf numFmtId="164" fontId="11" fillId="6" borderId="7" xfId="0" applyNumberFormat="1" applyFont="1" applyFill="1" applyBorder="1" applyAlignment="1">
      <alignment horizontal="left" vertical="top" wrapText="1"/>
    </xf>
    <xf numFmtId="0" fontId="1" fillId="12" borderId="1" xfId="0" applyFont="1" applyFill="1" applyBorder="1"/>
    <xf numFmtId="0" fontId="2" fillId="12" borderId="1" xfId="0" applyFont="1" applyFill="1" applyBorder="1"/>
    <xf numFmtId="164" fontId="4" fillId="2" borderId="1" xfId="0" applyNumberFormat="1" applyFont="1" applyFill="1" applyBorder="1"/>
    <xf numFmtId="20" fontId="1" fillId="0" borderId="7" xfId="0" applyNumberFormat="1" applyFont="1" applyBorder="1" applyAlignment="1"/>
    <xf numFmtId="20" fontId="0" fillId="0" borderId="15" xfId="0" applyNumberFormat="1" applyBorder="1" applyAlignment="1"/>
    <xf numFmtId="20" fontId="0" fillId="0" borderId="5" xfId="0" applyNumberFormat="1" applyBorder="1" applyAlignment="1"/>
    <xf numFmtId="0" fontId="20" fillId="0" borderId="1" xfId="0" applyFont="1" applyBorder="1" applyAlignment="1">
      <alignment horizontal="center"/>
    </xf>
    <xf numFmtId="164" fontId="20" fillId="2" borderId="5" xfId="0" applyNumberFormat="1" applyFont="1" applyFill="1" applyBorder="1"/>
    <xf numFmtId="2" fontId="20" fillId="2" borderId="1" xfId="0" applyNumberFormat="1" applyFont="1" applyFill="1" applyBorder="1"/>
    <xf numFmtId="164" fontId="20" fillId="2" borderId="0" xfId="0" applyNumberFormat="1" applyFont="1" applyFill="1"/>
    <xf numFmtId="2" fontId="20" fillId="2" borderId="0" xfId="0" applyNumberFormat="1" applyFont="1" applyFill="1"/>
    <xf numFmtId="15" fontId="15" fillId="6" borderId="1" xfId="0" applyNumberFormat="1" applyFont="1" applyFill="1" applyBorder="1"/>
    <xf numFmtId="15" fontId="15" fillId="12" borderId="1" xfId="0" applyNumberFormat="1" applyFont="1" applyFill="1" applyBorder="1"/>
    <xf numFmtId="15" fontId="15" fillId="6" borderId="1" xfId="0" applyNumberFormat="1" applyFont="1" applyFill="1" applyBorder="1" applyAlignment="1">
      <alignment wrapText="1"/>
    </xf>
    <xf numFmtId="15" fontId="4" fillId="12" borderId="1" xfId="0" applyNumberFormat="1" applyFont="1" applyFill="1" applyBorder="1"/>
    <xf numFmtId="1" fontId="15" fillId="0" borderId="1" xfId="0" applyNumberFormat="1" applyFont="1" applyBorder="1" applyAlignment="1">
      <alignment horizontal="center"/>
    </xf>
    <xf numFmtId="1" fontId="20" fillId="0" borderId="0" xfId="0" applyNumberFormat="1" applyFont="1"/>
    <xf numFmtId="0" fontId="4" fillId="0" borderId="1" xfId="0" applyFont="1" applyBorder="1"/>
    <xf numFmtId="164" fontId="4" fillId="12" borderId="1" xfId="0" applyNumberFormat="1" applyFont="1" applyFill="1" applyBorder="1" applyAlignment="1">
      <alignment horizontal="center"/>
    </xf>
    <xf numFmtId="1" fontId="4" fillId="12" borderId="1" xfId="0" applyNumberFormat="1" applyFont="1" applyFill="1" applyBorder="1" applyAlignment="1">
      <alignment horizontal="center"/>
    </xf>
    <xf numFmtId="164" fontId="15" fillId="12" borderId="2" xfId="0" applyNumberFormat="1" applyFont="1" applyFill="1" applyBorder="1"/>
    <xf numFmtId="165" fontId="15" fillId="12" borderId="2" xfId="0" applyNumberFormat="1" applyFont="1" applyFill="1" applyBorder="1" applyAlignment="1">
      <alignment horizontal="left" vertical="top" wrapText="1"/>
    </xf>
    <xf numFmtId="165" fontId="15" fillId="12" borderId="1" xfId="0" applyNumberFormat="1" applyFont="1" applyFill="1" applyBorder="1" applyAlignment="1">
      <alignment horizontal="left" vertical="top" wrapText="1"/>
    </xf>
    <xf numFmtId="164" fontId="15" fillId="12" borderId="1" xfId="0" applyNumberFormat="1" applyFont="1" applyFill="1" applyBorder="1" applyAlignment="1">
      <alignment horizontal="left" vertical="top" wrapText="1"/>
    </xf>
    <xf numFmtId="15" fontId="15" fillId="12" borderId="1" xfId="0" applyNumberFormat="1" applyFont="1" applyFill="1" applyBorder="1" applyAlignment="1">
      <alignment wrapText="1"/>
    </xf>
    <xf numFmtId="15" fontId="15" fillId="12" borderId="1" xfId="0" applyNumberFormat="1" applyFont="1" applyFill="1" applyBorder="1" applyAlignment="1">
      <alignment horizontal="center" wrapText="1"/>
    </xf>
    <xf numFmtId="165" fontId="4" fillId="12" borderId="1" xfId="0" applyNumberFormat="1" applyFont="1" applyFill="1" applyBorder="1" applyAlignment="1">
      <alignment horizontal="left" vertical="top" wrapText="1"/>
    </xf>
    <xf numFmtId="164" fontId="4" fillId="12" borderId="1" xfId="0" applyNumberFormat="1" applyFont="1" applyFill="1" applyBorder="1" applyAlignment="1">
      <alignment horizontal="left" vertical="top" wrapText="1"/>
    </xf>
    <xf numFmtId="165" fontId="2" fillId="12" borderId="6" xfId="0" applyNumberFormat="1" applyFont="1" applyFill="1" applyBorder="1" applyAlignment="1">
      <alignment horizontal="left" vertical="top" wrapText="1"/>
    </xf>
    <xf numFmtId="165" fontId="2" fillId="12" borderId="7" xfId="0" applyNumberFormat="1" applyFont="1" applyFill="1" applyBorder="1" applyAlignment="1">
      <alignment horizontal="left" vertical="top" wrapText="1"/>
    </xf>
    <xf numFmtId="164" fontId="2" fillId="12" borderId="7" xfId="0" applyNumberFormat="1" applyFont="1" applyFill="1" applyBorder="1" applyAlignment="1">
      <alignment horizontal="left" vertical="top" wrapText="1"/>
    </xf>
    <xf numFmtId="15" fontId="15" fillId="6" borderId="7" xfId="0" applyNumberFormat="1" applyFont="1" applyFill="1" applyBorder="1"/>
    <xf numFmtId="165" fontId="15" fillId="6" borderId="7" xfId="0" applyNumberFormat="1" applyFont="1" applyFill="1" applyBorder="1" applyAlignment="1">
      <alignment horizontal="left" vertical="top" wrapText="1"/>
    </xf>
    <xf numFmtId="1" fontId="15" fillId="2" borderId="1" xfId="0" applyNumberFormat="1" applyFont="1" applyFill="1" applyBorder="1"/>
    <xf numFmtId="164" fontId="15" fillId="6" borderId="7" xfId="0" applyNumberFormat="1" applyFont="1" applyFill="1" applyBorder="1" applyAlignment="1">
      <alignment horizontal="left" vertical="top" wrapText="1"/>
    </xf>
    <xf numFmtId="0" fontId="15" fillId="2" borderId="1" xfId="0" applyFont="1" applyFill="1" applyBorder="1"/>
    <xf numFmtId="165" fontId="15" fillId="2" borderId="1" xfId="0" applyNumberFormat="1" applyFont="1" applyFill="1" applyBorder="1" applyAlignment="1">
      <alignment horizontal="left" vertical="top" wrapText="1"/>
    </xf>
    <xf numFmtId="164" fontId="15" fillId="2" borderId="1" xfId="0" applyNumberFormat="1" applyFont="1" applyFill="1" applyBorder="1" applyAlignment="1">
      <alignment horizontal="left" vertical="top" wrapText="1"/>
    </xf>
    <xf numFmtId="165" fontId="15" fillId="6" borderId="6" xfId="0" applyNumberFormat="1" applyFont="1" applyFill="1" applyBorder="1" applyAlignment="1">
      <alignment horizontal="left" vertical="top" wrapText="1"/>
    </xf>
    <xf numFmtId="0" fontId="2" fillId="9" borderId="0" xfId="0" applyFont="1" applyFill="1"/>
    <xf numFmtId="15" fontId="2" fillId="9" borderId="1" xfId="0" applyNumberFormat="1" applyFont="1" applyFill="1" applyBorder="1"/>
    <xf numFmtId="0" fontId="2" fillId="9" borderId="1" xfId="0" applyFont="1" applyFill="1" applyBorder="1" applyAlignment="1">
      <alignment horizontal="center"/>
    </xf>
    <xf numFmtId="15" fontId="2" fillId="9" borderId="1" xfId="0" applyNumberFormat="1" applyFont="1" applyFill="1" applyBorder="1" applyAlignment="1">
      <alignment vertical="top" wrapText="1"/>
    </xf>
    <xf numFmtId="15" fontId="2" fillId="9" borderId="5" xfId="0" applyNumberFormat="1" applyFont="1" applyFill="1" applyBorder="1"/>
    <xf numFmtId="15" fontId="2" fillId="9" borderId="7" xfId="0" applyNumberFormat="1" applyFont="1" applyFill="1" applyBorder="1" applyAlignment="1">
      <alignment vertical="top" wrapText="1"/>
    </xf>
    <xf numFmtId="168" fontId="1" fillId="0" borderId="0" xfId="0" applyNumberFormat="1" applyFont="1" applyProtection="1"/>
    <xf numFmtId="0" fontId="2" fillId="2" borderId="9" xfId="0" applyFont="1" applyFill="1" applyBorder="1"/>
    <xf numFmtId="0" fontId="20" fillId="0" borderId="1" xfId="0" applyFont="1" applyBorder="1" applyAlignment="1">
      <alignment horizontal="center" vertical="top" wrapText="1"/>
    </xf>
    <xf numFmtId="0" fontId="0" fillId="9" borderId="1" xfId="0" applyFill="1" applyBorder="1"/>
    <xf numFmtId="0" fontId="1" fillId="9" borderId="1" xfId="0" applyNumberFormat="1" applyFont="1" applyFill="1" applyBorder="1" applyAlignment="1">
      <alignment horizontal="center"/>
    </xf>
    <xf numFmtId="0" fontId="0" fillId="9" borderId="1" xfId="0" applyFill="1" applyBorder="1" applyAlignment="1">
      <alignment horizontal="center"/>
    </xf>
    <xf numFmtId="0" fontId="1" fillId="9" borderId="1" xfId="0" applyFont="1" applyFill="1" applyBorder="1" applyAlignment="1">
      <alignment horizontal="center"/>
    </xf>
    <xf numFmtId="1" fontId="1" fillId="9" borderId="1" xfId="0" applyNumberFormat="1" applyFont="1" applyFill="1" applyBorder="1" applyAlignment="1">
      <alignment horizontal="center"/>
    </xf>
    <xf numFmtId="0" fontId="25" fillId="9" borderId="1" xfId="0" applyFont="1" applyFill="1" applyBorder="1" applyAlignment="1">
      <alignment horizontal="center"/>
    </xf>
    <xf numFmtId="1" fontId="25" fillId="9" borderId="1" xfId="0" applyNumberFormat="1" applyFont="1" applyFill="1" applyBorder="1" applyAlignment="1">
      <alignment horizontal="center"/>
    </xf>
    <xf numFmtId="0" fontId="1" fillId="9" borderId="1" xfId="0" applyFont="1" applyFill="1" applyBorder="1"/>
    <xf numFmtId="0" fontId="22" fillId="9" borderId="1" xfId="3" applyFont="1" applyFill="1" applyBorder="1" applyAlignment="1">
      <alignment horizontal="left"/>
    </xf>
    <xf numFmtId="0" fontId="22" fillId="9" borderId="1" xfId="3" applyFont="1" applyFill="1" applyBorder="1" applyAlignment="1">
      <alignment horizontal="center"/>
    </xf>
    <xf numFmtId="0" fontId="3" fillId="9" borderId="1" xfId="0" applyNumberFormat="1" applyFont="1" applyFill="1" applyBorder="1" applyAlignment="1">
      <alignment horizontal="center"/>
    </xf>
    <xf numFmtId="164" fontId="25" fillId="9" borderId="1" xfId="0" applyNumberFormat="1" applyFont="1" applyFill="1" applyBorder="1" applyAlignment="1">
      <alignment horizontal="center"/>
    </xf>
    <xf numFmtId="0" fontId="3" fillId="9" borderId="1" xfId="0" applyFont="1" applyFill="1" applyBorder="1" applyAlignment="1">
      <alignment horizontal="center"/>
    </xf>
    <xf numFmtId="173" fontId="1" fillId="9" borderId="1" xfId="0" applyNumberFormat="1" applyFont="1" applyFill="1" applyBorder="1" applyAlignment="1">
      <alignment horizontal="center"/>
    </xf>
    <xf numFmtId="0" fontId="0" fillId="0" borderId="1" xfId="0" applyBorder="1" applyAlignment="1">
      <alignment wrapText="1"/>
    </xf>
    <xf numFmtId="0" fontId="5" fillId="0" borderId="0" xfId="2" applyFill="1" applyBorder="1" applyAlignment="1" applyProtection="1">
      <alignment horizontal="left"/>
    </xf>
    <xf numFmtId="0" fontId="0" fillId="0" borderId="0" xfId="0" applyFill="1" applyBorder="1" applyAlignment="1">
      <alignment wrapText="1"/>
    </xf>
    <xf numFmtId="0" fontId="16" fillId="0" borderId="0" xfId="0" applyFont="1"/>
    <xf numFmtId="0" fontId="13" fillId="3" borderId="10" xfId="0" applyFont="1" applyFill="1" applyBorder="1" applyAlignment="1">
      <alignment horizontal="center" vertical="center" wrapText="1"/>
    </xf>
    <xf numFmtId="0" fontId="13" fillId="3" borderId="1" xfId="0" applyFont="1" applyFill="1" applyBorder="1" applyAlignment="1">
      <alignment vertical="top" wrapText="1"/>
    </xf>
    <xf numFmtId="0" fontId="0" fillId="0" borderId="8" xfId="0" applyBorder="1" applyAlignment="1">
      <alignment horizontal="left" wrapText="1"/>
    </xf>
    <xf numFmtId="0" fontId="0" fillId="0" borderId="0" xfId="0" applyBorder="1" applyAlignment="1">
      <alignment wrapText="1"/>
    </xf>
    <xf numFmtId="3" fontId="0" fillId="0" borderId="1" xfId="0" applyNumberFormat="1" applyFill="1" applyBorder="1"/>
    <xf numFmtId="0" fontId="4" fillId="0" borderId="3" xfId="0" applyFont="1" applyBorder="1" applyAlignment="1">
      <alignment horizontal="left"/>
    </xf>
    <xf numFmtId="20" fontId="9" fillId="0" borderId="3" xfId="0" applyNumberFormat="1" applyFont="1" applyBorder="1" applyAlignment="1">
      <alignment horizontal="left"/>
    </xf>
    <xf numFmtId="0" fontId="9" fillId="0" borderId="3" xfId="0" applyFont="1" applyBorder="1" applyAlignment="1">
      <alignment horizontal="left"/>
    </xf>
    <xf numFmtId="20" fontId="9" fillId="0" borderId="15" xfId="0" applyNumberFormat="1" applyFont="1" applyBorder="1" applyAlignment="1">
      <alignment horizontal="left"/>
    </xf>
    <xf numFmtId="0" fontId="19" fillId="0" borderId="3" xfId="0" applyFont="1" applyBorder="1" applyAlignment="1">
      <alignment horizontal="left"/>
    </xf>
    <xf numFmtId="0" fontId="19" fillId="0" borderId="15" xfId="0" applyFont="1" applyBorder="1" applyAlignment="1">
      <alignment horizontal="left"/>
    </xf>
    <xf numFmtId="0" fontId="2" fillId="0" borderId="1" xfId="0" applyFont="1" applyFill="1" applyBorder="1" applyAlignment="1">
      <alignment horizontal="center"/>
    </xf>
    <xf numFmtId="0" fontId="0" fillId="0" borderId="5" xfId="0" applyFill="1" applyBorder="1"/>
    <xf numFmtId="3" fontId="0" fillId="0" borderId="5" xfId="0" applyNumberFormat="1" applyFill="1" applyBorder="1"/>
    <xf numFmtId="0" fontId="0" fillId="0" borderId="10" xfId="0" applyBorder="1" applyAlignment="1">
      <alignment horizontal="left" wrapText="1"/>
    </xf>
    <xf numFmtId="0" fontId="2" fillId="0" borderId="1" xfId="0" applyFont="1" applyBorder="1" applyAlignment="1">
      <alignment horizontal="left"/>
    </xf>
    <xf numFmtId="0" fontId="0" fillId="0" borderId="9" xfId="0" applyBorder="1" applyAlignment="1">
      <alignment wrapText="1"/>
    </xf>
    <xf numFmtId="0" fontId="17" fillId="0" borderId="1" xfId="0" applyFont="1" applyBorder="1"/>
    <xf numFmtId="0" fontId="20" fillId="0" borderId="15" xfId="0" applyFont="1" applyBorder="1" applyAlignment="1">
      <alignment horizontal="left"/>
    </xf>
    <xf numFmtId="0" fontId="6" fillId="0" borderId="15" xfId="0" applyFont="1" applyBorder="1" applyAlignment="1">
      <alignment horizontal="left"/>
    </xf>
    <xf numFmtId="3" fontId="1" fillId="0" borderId="1" xfId="0" applyNumberFormat="1" applyFont="1" applyBorder="1" applyAlignment="1">
      <alignment horizontal="center"/>
    </xf>
    <xf numFmtId="0" fontId="2" fillId="0" borderId="1" xfId="0" applyFont="1" applyFill="1" applyBorder="1" applyAlignment="1">
      <alignment horizontal="center"/>
    </xf>
    <xf numFmtId="9" fontId="0" fillId="0" borderId="0" xfId="0" applyNumberFormat="1"/>
    <xf numFmtId="0" fontId="0" fillId="9" borderId="11" xfId="0" applyFill="1" applyBorder="1" applyAlignment="1">
      <alignment horizontal="center"/>
    </xf>
    <xf numFmtId="0" fontId="1" fillId="0" borderId="1" xfId="0" applyFont="1" applyFill="1" applyBorder="1"/>
    <xf numFmtId="2" fontId="0" fillId="0" borderId="1" xfId="0" applyNumberFormat="1" applyBorder="1" applyAlignment="1">
      <alignment horizontal="center"/>
    </xf>
    <xf numFmtId="0" fontId="26" fillId="0" borderId="0" xfId="0" applyFont="1"/>
    <xf numFmtId="2" fontId="0" fillId="0" borderId="1" xfId="0" applyNumberFormat="1" applyBorder="1"/>
    <xf numFmtId="0" fontId="11" fillId="9" borderId="2" xfId="0" applyFont="1" applyFill="1" applyBorder="1"/>
    <xf numFmtId="0" fontId="11" fillId="9" borderId="2" xfId="0" applyFont="1" applyFill="1" applyBorder="1" applyAlignment="1">
      <alignment wrapText="1"/>
    </xf>
    <xf numFmtId="0" fontId="3" fillId="11" borderId="1" xfId="0" applyFont="1" applyFill="1" applyBorder="1"/>
    <xf numFmtId="0" fontId="3" fillId="11" borderId="1" xfId="0" applyFont="1" applyFill="1" applyBorder="1" applyAlignment="1">
      <alignment horizontal="left" vertical="top" wrapText="1"/>
    </xf>
    <xf numFmtId="2" fontId="0" fillId="0" borderId="0" xfId="0" applyNumberFormat="1" applyBorder="1"/>
    <xf numFmtId="2" fontId="0" fillId="0" borderId="11" xfId="0" applyNumberFormat="1" applyFill="1" applyBorder="1" applyAlignment="1">
      <alignment horizontal="center"/>
    </xf>
    <xf numFmtId="0" fontId="9" fillId="0" borderId="0" xfId="0" applyFont="1" applyFill="1" applyBorder="1"/>
    <xf numFmtId="0" fontId="0" fillId="0" borderId="7" xfId="0" applyBorder="1"/>
    <xf numFmtId="0" fontId="9" fillId="0" borderId="7" xfId="0" applyFont="1" applyBorder="1"/>
    <xf numFmtId="0" fontId="0" fillId="0" borderId="15" xfId="0" applyBorder="1"/>
    <xf numFmtId="2" fontId="9" fillId="0" borderId="15" xfId="0" applyNumberFormat="1" applyFont="1" applyBorder="1" applyAlignment="1">
      <alignment horizontal="left"/>
    </xf>
    <xf numFmtId="0" fontId="12" fillId="9" borderId="0" xfId="0" applyNumberFormat="1" applyFont="1" applyFill="1" applyAlignment="1" applyProtection="1">
      <alignment horizontal="center"/>
    </xf>
    <xf numFmtId="0" fontId="1" fillId="9" borderId="0" xfId="0" applyNumberFormat="1" applyFont="1" applyFill="1" applyAlignment="1">
      <alignment horizontal="center"/>
    </xf>
    <xf numFmtId="0" fontId="1" fillId="9" borderId="0" xfId="0" applyFont="1" applyFill="1" applyAlignment="1">
      <alignment horizontal="center"/>
    </xf>
    <xf numFmtId="0" fontId="12" fillId="9" borderId="0" xfId="0" applyFont="1" applyFill="1" applyAlignment="1" applyProtection="1">
      <alignment horizontal="center"/>
    </xf>
    <xf numFmtId="0" fontId="1" fillId="9" borderId="0" xfId="0" applyFont="1" applyFill="1" applyAlignment="1" applyProtection="1">
      <alignment horizontal="center"/>
    </xf>
    <xf numFmtId="0" fontId="0" fillId="9" borderId="0" xfId="0" applyFill="1" applyProtection="1"/>
    <xf numFmtId="0" fontId="1" fillId="0" borderId="17" xfId="0" applyFont="1" applyFill="1" applyBorder="1" applyAlignment="1">
      <alignment horizontal="center"/>
    </xf>
    <xf numFmtId="0" fontId="9" fillId="9" borderId="1" xfId="0" applyNumberFormat="1" applyFont="1" applyFill="1" applyBorder="1"/>
    <xf numFmtId="20" fontId="1" fillId="0" borderId="15" xfId="0" applyNumberFormat="1" applyFont="1" applyBorder="1" applyAlignment="1"/>
    <xf numFmtId="2" fontId="3" fillId="0" borderId="0" xfId="0" applyNumberFormat="1" applyFont="1" applyFill="1" applyBorder="1" applyAlignment="1">
      <alignment horizontal="right"/>
    </xf>
    <xf numFmtId="0" fontId="2" fillId="0" borderId="15" xfId="0" applyFont="1" applyBorder="1" applyAlignment="1">
      <alignment horizontal="left"/>
    </xf>
    <xf numFmtId="0" fontId="2" fillId="0" borderId="5" xfId="0" applyFont="1" applyBorder="1"/>
    <xf numFmtId="0" fontId="2" fillId="11" borderId="15" xfId="0" applyFont="1" applyFill="1" applyBorder="1" applyAlignment="1"/>
    <xf numFmtId="174" fontId="2" fillId="9" borderId="1" xfId="0" applyNumberFormat="1" applyFont="1" applyFill="1" applyBorder="1"/>
    <xf numFmtId="174" fontId="2" fillId="9" borderId="1" xfId="0" applyNumberFormat="1" applyFont="1" applyFill="1" applyBorder="1" applyAlignment="1">
      <alignment horizontal="right"/>
    </xf>
    <xf numFmtId="174" fontId="2" fillId="9" borderId="1" xfId="0" applyNumberFormat="1" applyFont="1" applyFill="1" applyBorder="1" applyAlignment="1">
      <alignment horizontal="left"/>
    </xf>
    <xf numFmtId="0" fontId="3" fillId="11" borderId="7" xfId="0" applyFont="1" applyFill="1" applyBorder="1"/>
    <xf numFmtId="0" fontId="3" fillId="11" borderId="7" xfId="0" applyFont="1" applyFill="1" applyBorder="1" applyAlignment="1">
      <alignment horizontal="left" vertical="top" wrapText="1"/>
    </xf>
    <xf numFmtId="0" fontId="1" fillId="0" borderId="1" xfId="0" applyFont="1" applyBorder="1" applyAlignment="1">
      <alignment horizontal="center"/>
    </xf>
    <xf numFmtId="0" fontId="0" fillId="0" borderId="1" xfId="0" applyBorder="1" applyAlignment="1">
      <alignment horizontal="center"/>
    </xf>
    <xf numFmtId="14" fontId="0" fillId="0" borderId="1" xfId="0" applyNumberFormat="1" applyBorder="1"/>
    <xf numFmtId="0" fontId="1" fillId="0" borderId="0" xfId="0" applyFont="1" applyBorder="1"/>
    <xf numFmtId="1" fontId="1" fillId="0" borderId="0" xfId="0" applyNumberFormat="1" applyFont="1" applyFill="1" applyBorder="1" applyAlignment="1">
      <alignment horizontal="right"/>
    </xf>
    <xf numFmtId="0" fontId="7" fillId="0" borderId="1" xfId="0" applyFont="1" applyBorder="1"/>
    <xf numFmtId="0" fontId="29" fillId="17" borderId="1" xfId="0" applyFont="1" applyFill="1" applyBorder="1" applyAlignment="1">
      <alignment horizontal="center" wrapText="1"/>
    </xf>
    <xf numFmtId="0" fontId="1" fillId="0" borderId="13" xfId="0" applyFont="1" applyFill="1" applyBorder="1" applyAlignment="1">
      <alignment horizontal="center"/>
    </xf>
    <xf numFmtId="0" fontId="0" fillId="0" borderId="4" xfId="0" applyFont="1" applyFill="1" applyBorder="1"/>
    <xf numFmtId="0" fontId="1" fillId="0" borderId="1" xfId="0" applyFont="1" applyBorder="1" applyAlignment="1">
      <alignment horizontal="center"/>
    </xf>
    <xf numFmtId="0" fontId="0" fillId="0" borderId="1" xfId="0" applyBorder="1" applyAlignment="1">
      <alignment horizontal="center"/>
    </xf>
    <xf numFmtId="2" fontId="0" fillId="0" borderId="1" xfId="5" applyNumberFormat="1" applyFont="1" applyBorder="1"/>
    <xf numFmtId="0" fontId="0" fillId="0" borderId="1" xfId="0" applyBorder="1" applyAlignment="1">
      <alignment horizontal="center"/>
    </xf>
    <xf numFmtId="164" fontId="1" fillId="9" borderId="1" xfId="0" applyNumberFormat="1" applyFont="1" applyFill="1" applyBorder="1" applyAlignment="1">
      <alignment horizontal="center"/>
    </xf>
    <xf numFmtId="0" fontId="0" fillId="0" borderId="0" xfId="0" applyAlignment="1">
      <alignment horizontal="left" vertical="top" wrapText="1"/>
    </xf>
    <xf numFmtId="0" fontId="33" fillId="19" borderId="1" xfId="0" applyFont="1" applyFill="1" applyBorder="1" applyAlignment="1">
      <alignment vertical="top" wrapText="1"/>
    </xf>
    <xf numFmtId="20" fontId="27" fillId="0" borderId="1" xfId="0" applyNumberFormat="1" applyFont="1" applyBorder="1" applyAlignment="1">
      <alignment vertical="top" wrapText="1"/>
    </xf>
    <xf numFmtId="0" fontId="27" fillId="0" borderId="1" xfId="0" applyFont="1" applyBorder="1" applyAlignment="1">
      <alignment vertical="top" wrapText="1"/>
    </xf>
    <xf numFmtId="0" fontId="33" fillId="19" borderId="1" xfId="0" applyFont="1" applyFill="1" applyBorder="1" applyAlignment="1">
      <alignment horizontal="center" vertical="top" wrapText="1"/>
    </xf>
    <xf numFmtId="0" fontId="27" fillId="0" borderId="1" xfId="0" applyFont="1" applyBorder="1" applyAlignment="1">
      <alignment horizontal="center" vertical="top" wrapText="1"/>
    </xf>
    <xf numFmtId="20" fontId="20" fillId="0" borderId="1" xfId="0" applyNumberFormat="1" applyFont="1" applyBorder="1" applyAlignment="1">
      <alignment vertical="top" wrapText="1"/>
    </xf>
    <xf numFmtId="0" fontId="20" fillId="0" borderId="1" xfId="0" applyFont="1" applyBorder="1" applyAlignment="1">
      <alignment vertical="top" wrapText="1"/>
    </xf>
    <xf numFmtId="20" fontId="20" fillId="0" borderId="1" xfId="0" applyNumberFormat="1" applyFont="1" applyBorder="1"/>
    <xf numFmtId="0" fontId="20" fillId="0" borderId="15" xfId="0" applyFont="1" applyBorder="1"/>
    <xf numFmtId="0" fontId="9" fillId="20" borderId="1" xfId="0" applyFont="1" applyFill="1" applyBorder="1"/>
    <xf numFmtId="20" fontId="0" fillId="0" borderId="1" xfId="0" applyNumberFormat="1" applyBorder="1" applyAlignment="1">
      <alignment horizontal="center"/>
    </xf>
    <xf numFmtId="20" fontId="1" fillId="0" borderId="1" xfId="0" applyNumberFormat="1" applyFont="1" applyBorder="1" applyAlignment="1">
      <alignment horizontal="center"/>
    </xf>
    <xf numFmtId="0" fontId="34" fillId="9" borderId="1" xfId="0" applyFont="1" applyFill="1" applyBorder="1"/>
    <xf numFmtId="14" fontId="35" fillId="9" borderId="1" xfId="0" applyNumberFormat="1" applyFont="1" applyFill="1" applyBorder="1" applyAlignment="1">
      <alignment horizontal="center" vertical="center"/>
    </xf>
    <xf numFmtId="14" fontId="2" fillId="9" borderId="1" xfId="0" applyNumberFormat="1" applyFont="1" applyFill="1" applyBorder="1" applyAlignment="1">
      <alignment vertical="center"/>
    </xf>
    <xf numFmtId="14" fontId="2" fillId="17" borderId="1" xfId="0" applyNumberFormat="1" applyFont="1" applyFill="1" applyBorder="1" applyAlignment="1">
      <alignment vertical="center"/>
    </xf>
    <xf numFmtId="0" fontId="6" fillId="0" borderId="1" xfId="0" applyFont="1" applyBorder="1" applyAlignment="1">
      <alignment horizontal="left" vertical="top" wrapText="1"/>
    </xf>
    <xf numFmtId="0" fontId="36" fillId="0" borderId="1" xfId="0" applyFont="1" applyBorder="1" applyAlignment="1">
      <alignment horizontal="left" vertical="top" wrapText="1" indent="1"/>
    </xf>
    <xf numFmtId="0" fontId="1" fillId="0" borderId="1" xfId="0" applyFont="1" applyBorder="1" applyAlignment="1">
      <alignment horizontal="left" vertical="top"/>
    </xf>
    <xf numFmtId="0" fontId="36" fillId="0" borderId="1" xfId="0" applyFont="1" applyBorder="1" applyAlignment="1">
      <alignment horizontal="left" vertical="top" indent="1"/>
    </xf>
    <xf numFmtId="164" fontId="0" fillId="0" borderId="1" xfId="0" applyNumberFormat="1" applyBorder="1" applyAlignment="1">
      <alignment horizontal="left" vertical="top"/>
    </xf>
    <xf numFmtId="0" fontId="0" fillId="0" borderId="1" xfId="0" applyBorder="1" applyAlignment="1">
      <alignment horizontal="left" vertical="top"/>
    </xf>
    <xf numFmtId="0" fontId="1" fillId="0" borderId="1" xfId="0" applyFont="1" applyFill="1" applyBorder="1" applyAlignment="1">
      <alignment horizontal="left" vertical="top"/>
    </xf>
    <xf numFmtId="0" fontId="1" fillId="0" borderId="0" xfId="0" applyFont="1" applyFill="1" applyAlignment="1">
      <alignment horizontal="left"/>
    </xf>
    <xf numFmtId="164" fontId="3" fillId="0" borderId="1" xfId="0" applyNumberFormat="1" applyFont="1" applyFill="1" applyBorder="1" applyAlignment="1">
      <alignment horizontal="center"/>
    </xf>
    <xf numFmtId="164" fontId="1" fillId="0" borderId="1" xfId="0" applyNumberFormat="1" applyFont="1" applyFill="1" applyBorder="1" applyAlignment="1">
      <alignment horizontal="center"/>
    </xf>
    <xf numFmtId="3" fontId="25" fillId="0" borderId="1" xfId="0" applyNumberFormat="1" applyFont="1" applyBorder="1" applyAlignment="1">
      <alignment horizontal="center"/>
    </xf>
    <xf numFmtId="1" fontId="0" fillId="9" borderId="1" xfId="0" applyNumberFormat="1" applyFill="1" applyBorder="1" applyAlignment="1">
      <alignment horizontal="center"/>
    </xf>
    <xf numFmtId="0" fontId="0" fillId="0" borderId="1" xfId="0" applyBorder="1" applyAlignment="1">
      <alignment horizontal="center"/>
    </xf>
    <xf numFmtId="2" fontId="0" fillId="0" borderId="1" xfId="0" applyNumberFormat="1" applyFill="1" applyBorder="1" applyAlignment="1">
      <alignment horizontal="center"/>
    </xf>
    <xf numFmtId="0" fontId="11" fillId="6" borderId="1" xfId="0" applyFont="1" applyFill="1" applyBorder="1" applyAlignment="1">
      <alignment horizontal="center"/>
    </xf>
    <xf numFmtId="1" fontId="0" fillId="0" borderId="1" xfId="0" applyNumberFormat="1" applyBorder="1"/>
    <xf numFmtId="0" fontId="11" fillId="9" borderId="1" xfId="0" applyFont="1" applyFill="1" applyBorder="1" applyAlignment="1">
      <alignment horizontal="center" wrapText="1"/>
    </xf>
    <xf numFmtId="0" fontId="2" fillId="0" borderId="0" xfId="0" applyFont="1" applyAlignment="1">
      <alignment horizontal="center"/>
    </xf>
    <xf numFmtId="2" fontId="2" fillId="0" borderId="0" xfId="0" applyNumberFormat="1" applyFont="1" applyAlignment="1">
      <alignment horizontal="center"/>
    </xf>
    <xf numFmtId="0" fontId="2" fillId="2" borderId="0" xfId="0" applyFont="1" applyFill="1" applyAlignment="1">
      <alignment horizontal="center"/>
    </xf>
    <xf numFmtId="0" fontId="0" fillId="0" borderId="0" xfId="0" applyAlignment="1">
      <alignment horizontal="left"/>
    </xf>
    <xf numFmtId="0" fontId="1" fillId="0" borderId="1" xfId="0" applyFont="1" applyBorder="1" applyAlignment="1">
      <alignment horizontal="center"/>
    </xf>
    <xf numFmtId="0" fontId="1" fillId="0" borderId="1" xfId="0" applyFont="1" applyBorder="1" applyAlignment="1">
      <alignment wrapText="1"/>
    </xf>
    <xf numFmtId="164" fontId="1" fillId="2" borderId="1" xfId="0" applyNumberFormat="1" applyFont="1" applyFill="1" applyBorder="1" applyAlignment="1">
      <alignment horizontal="center"/>
    </xf>
    <xf numFmtId="1" fontId="1" fillId="2" borderId="1" xfId="0" applyNumberFormat="1" applyFont="1" applyFill="1" applyBorder="1" applyAlignment="1">
      <alignment horizontal="center"/>
    </xf>
    <xf numFmtId="0" fontId="1" fillId="2" borderId="1" xfId="0" applyFont="1" applyFill="1" applyBorder="1" applyAlignment="1">
      <alignment horizontal="center"/>
    </xf>
    <xf numFmtId="1" fontId="1" fillId="0" borderId="1" xfId="0" applyNumberFormat="1" applyFont="1" applyFill="1" applyBorder="1"/>
    <xf numFmtId="164" fontId="1" fillId="0" borderId="1" xfId="0" applyNumberFormat="1" applyFont="1" applyFill="1" applyBorder="1"/>
    <xf numFmtId="1" fontId="1" fillId="0" borderId="0" xfId="0" applyNumberFormat="1" applyFont="1" applyProtection="1"/>
    <xf numFmtId="0" fontId="1" fillId="2" borderId="0" xfId="0" applyNumberFormat="1" applyFont="1" applyFill="1"/>
    <xf numFmtId="1" fontId="1" fillId="0" borderId="0" xfId="0" applyNumberFormat="1" applyFont="1" applyFill="1" applyProtection="1"/>
    <xf numFmtId="0" fontId="1" fillId="5" borderId="0" xfId="0" applyFont="1" applyFill="1"/>
    <xf numFmtId="0" fontId="1" fillId="0" borderId="0" xfId="0" applyFont="1" applyProtection="1"/>
    <xf numFmtId="2" fontId="1" fillId="0" borderId="0" xfId="0" applyNumberFormat="1" applyFont="1"/>
    <xf numFmtId="165" fontId="1" fillId="0" borderId="0" xfId="0" applyNumberFormat="1" applyFont="1"/>
    <xf numFmtId="175" fontId="2" fillId="0" borderId="1" xfId="0" applyNumberFormat="1" applyFont="1" applyBorder="1" applyAlignment="1">
      <alignment horizontal="center"/>
    </xf>
    <xf numFmtId="165" fontId="2" fillId="2" borderId="1" xfId="0" applyNumberFormat="1" applyFont="1" applyFill="1" applyBorder="1" applyAlignment="1">
      <alignment horizontal="right"/>
    </xf>
    <xf numFmtId="175" fontId="2" fillId="2" borderId="1" xfId="0" applyNumberFormat="1" applyFont="1" applyFill="1" applyBorder="1" applyAlignment="1">
      <alignment horizontal="center"/>
    </xf>
    <xf numFmtId="0" fontId="15" fillId="0" borderId="0" xfId="0" applyFont="1" applyFill="1" applyBorder="1"/>
    <xf numFmtId="0" fontId="15" fillId="0" borderId="1" xfId="0" applyFont="1" applyFill="1" applyBorder="1"/>
    <xf numFmtId="0" fontId="1" fillId="0" borderId="2" xfId="0" applyFont="1" applyBorder="1"/>
    <xf numFmtId="0" fontId="1" fillId="0" borderId="17" xfId="0" applyFont="1" applyBorder="1" applyAlignment="1">
      <alignment horizontal="center"/>
    </xf>
    <xf numFmtId="2" fontId="2" fillId="0" borderId="0" xfId="0" applyNumberFormat="1" applyFont="1" applyAlignment="1">
      <alignment horizontal="center"/>
    </xf>
    <xf numFmtId="0" fontId="1" fillId="0" borderId="1" xfId="0" applyFont="1" applyBorder="1" applyAlignment="1">
      <alignment horizontal="center"/>
    </xf>
    <xf numFmtId="0" fontId="1" fillId="0" borderId="1" xfId="0" applyFont="1" applyBorder="1" applyAlignment="1">
      <alignment horizontal="center" vertical="top" wrapText="1"/>
    </xf>
    <xf numFmtId="0" fontId="1" fillId="0" borderId="1" xfId="0" applyFont="1" applyBorder="1" applyAlignment="1">
      <alignment horizontal="center"/>
    </xf>
    <xf numFmtId="0" fontId="0" fillId="0" borderId="1" xfId="0" applyBorder="1" applyAlignment="1">
      <alignment horizontal="center"/>
    </xf>
    <xf numFmtId="0" fontId="4" fillId="2" borderId="5" xfId="0" applyFont="1" applyFill="1" applyBorder="1"/>
    <xf numFmtId="165" fontId="4" fillId="2" borderId="7" xfId="0" applyNumberFormat="1" applyFont="1" applyFill="1" applyBorder="1" applyAlignment="1">
      <alignment horizontal="left" vertical="top" wrapText="1"/>
    </xf>
    <xf numFmtId="164" fontId="4" fillId="2" borderId="7" xfId="0" applyNumberFormat="1" applyFont="1" applyFill="1" applyBorder="1" applyAlignment="1">
      <alignment horizontal="left" vertical="top" wrapText="1"/>
    </xf>
    <xf numFmtId="0" fontId="20" fillId="0" borderId="1" xfId="0" applyFont="1" applyBorder="1" applyAlignment="1">
      <alignment horizontal="center" vertical="top"/>
    </xf>
    <xf numFmtId="0" fontId="1" fillId="0" borderId="1" xfId="0" applyFont="1" applyBorder="1" applyAlignment="1">
      <alignment horizontal="center" vertical="top"/>
    </xf>
    <xf numFmtId="15" fontId="2" fillId="0" borderId="0" xfId="0" applyNumberFormat="1" applyFont="1" applyFill="1"/>
    <xf numFmtId="165" fontId="0" fillId="0" borderId="0" xfId="0" applyNumberFormat="1" applyFill="1"/>
    <xf numFmtId="0" fontId="13" fillId="3" borderId="14"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20" fillId="0" borderId="0" xfId="0" applyFont="1" applyFill="1" applyBorder="1" applyAlignment="1">
      <alignment horizontal="center"/>
    </xf>
    <xf numFmtId="0" fontId="1" fillId="9" borderId="0" xfId="0" applyFont="1" applyFill="1"/>
    <xf numFmtId="0" fontId="1" fillId="9" borderId="0" xfId="0" applyNumberFormat="1" applyFont="1" applyFill="1"/>
    <xf numFmtId="0" fontId="0" fillId="9" borderId="0" xfId="0" applyFill="1" applyAlignment="1" applyProtection="1">
      <alignment horizontal="center"/>
    </xf>
    <xf numFmtId="0" fontId="1" fillId="0" borderId="0" xfId="0" applyFont="1" applyFill="1" applyBorder="1"/>
    <xf numFmtId="0" fontId="1" fillId="0" borderId="0" xfId="0" applyFont="1" applyFill="1" applyBorder="1" applyAlignment="1">
      <alignment horizontal="center"/>
    </xf>
    <xf numFmtId="16" fontId="11" fillId="6" borderId="1" xfId="0" applyNumberFormat="1" applyFont="1" applyFill="1" applyBorder="1" applyAlignment="1">
      <alignment horizontal="center"/>
    </xf>
    <xf numFmtId="1" fontId="0" fillId="0" borderId="0" xfId="0" applyNumberFormat="1" applyBorder="1"/>
    <xf numFmtId="0" fontId="11" fillId="0" borderId="0" xfId="0" applyFont="1" applyFill="1" applyBorder="1" applyAlignment="1">
      <alignment horizontal="center"/>
    </xf>
    <xf numFmtId="0" fontId="20" fillId="0" borderId="5" xfId="0" applyFont="1" applyBorder="1"/>
    <xf numFmtId="2" fontId="0" fillId="0" borderId="0" xfId="0" applyNumberFormat="1" applyFill="1" applyBorder="1" applyAlignment="1">
      <alignment horizontal="center"/>
    </xf>
    <xf numFmtId="0" fontId="1" fillId="0" borderId="0" xfId="0" applyFont="1" applyFill="1" applyBorder="1" applyAlignment="1">
      <alignment horizontal="left"/>
    </xf>
    <xf numFmtId="165" fontId="3" fillId="0" borderId="0" xfId="0" applyNumberFormat="1" applyFont="1" applyFill="1" applyBorder="1" applyAlignment="1">
      <alignment horizontal="right"/>
    </xf>
    <xf numFmtId="164" fontId="3" fillId="0" borderId="0" xfId="0" applyNumberFormat="1" applyFont="1" applyFill="1" applyBorder="1" applyAlignment="1">
      <alignment horizontal="right"/>
    </xf>
    <xf numFmtId="0" fontId="9" fillId="20" borderId="4" xfId="0" applyFont="1" applyFill="1" applyBorder="1"/>
    <xf numFmtId="0" fontId="20" fillId="20" borderId="0" xfId="0" applyFont="1" applyFill="1"/>
    <xf numFmtId="2" fontId="20" fillId="20" borderId="11" xfId="0" applyNumberFormat="1" applyFont="1" applyFill="1" applyBorder="1"/>
    <xf numFmtId="0" fontId="1" fillId="0" borderId="1" xfId="0" applyFont="1" applyBorder="1" applyAlignment="1">
      <alignment horizontal="right"/>
    </xf>
    <xf numFmtId="0" fontId="2" fillId="0" borderId="0" xfId="0" applyFont="1" applyFill="1" applyBorder="1" applyAlignment="1"/>
    <xf numFmtId="0" fontId="1" fillId="0" borderId="1" xfId="0" applyFont="1" applyBorder="1" applyAlignment="1">
      <alignment horizontal="center"/>
    </xf>
    <xf numFmtId="0" fontId="0" fillId="0" borderId="1" xfId="0" applyBorder="1" applyAlignment="1">
      <alignment horizontal="center"/>
    </xf>
    <xf numFmtId="0" fontId="1" fillId="0" borderId="1" xfId="0" applyFont="1" applyBorder="1" applyAlignment="1">
      <alignment horizontal="center"/>
    </xf>
    <xf numFmtId="0" fontId="0" fillId="0" borderId="1" xfId="0" applyBorder="1" applyAlignment="1">
      <alignment horizontal="center"/>
    </xf>
    <xf numFmtId="0" fontId="1" fillId="9" borderId="1" xfId="0" applyFont="1" applyFill="1" applyBorder="1" applyAlignment="1">
      <alignment horizontal="center"/>
    </xf>
    <xf numFmtId="164" fontId="0" fillId="0" borderId="11" xfId="0" applyNumberFormat="1" applyFill="1" applyBorder="1"/>
    <xf numFmtId="0" fontId="0" fillId="0" borderId="11" xfId="0" applyFill="1" applyBorder="1" applyAlignment="1">
      <alignment horizontal="center"/>
    </xf>
    <xf numFmtId="164" fontId="0" fillId="0" borderId="0" xfId="0" applyNumberFormat="1" applyBorder="1"/>
    <xf numFmtId="3" fontId="0" fillId="0" borderId="0" xfId="0" applyNumberFormat="1" applyAlignment="1">
      <alignment horizontal="center"/>
    </xf>
    <xf numFmtId="0" fontId="2" fillId="0" borderId="0" xfId="0" applyFont="1" applyFill="1" applyBorder="1" applyAlignment="1">
      <alignment horizontal="center" wrapText="1"/>
    </xf>
    <xf numFmtId="0" fontId="11" fillId="0" borderId="0" xfId="0" applyFont="1" applyFill="1" applyBorder="1" applyAlignment="1"/>
    <xf numFmtId="165" fontId="13" fillId="0" borderId="0" xfId="0" applyNumberFormat="1" applyFont="1" applyFill="1" applyBorder="1"/>
    <xf numFmtId="3" fontId="2" fillId="0" borderId="0" xfId="0" applyNumberFormat="1" applyFont="1" applyFill="1" applyBorder="1"/>
    <xf numFmtId="165" fontId="13" fillId="0" borderId="0" xfId="0" applyNumberFormat="1" applyFont="1" applyFill="1" applyBorder="1" applyAlignment="1">
      <alignment horizontal="right"/>
    </xf>
    <xf numFmtId="14" fontId="11" fillId="9" borderId="1" xfId="0" applyNumberFormat="1" applyFont="1" applyFill="1" applyBorder="1" applyAlignment="1"/>
    <xf numFmtId="14" fontId="0" fillId="9" borderId="1" xfId="0" applyNumberFormat="1" applyFill="1" applyBorder="1"/>
    <xf numFmtId="0" fontId="1" fillId="0" borderId="1" xfId="0" applyFont="1" applyBorder="1" applyAlignment="1">
      <alignment horizontal="center"/>
    </xf>
    <xf numFmtId="0" fontId="0" fillId="0" borderId="1" xfId="0" applyBorder="1" applyAlignment="1">
      <alignment horizontal="center"/>
    </xf>
    <xf numFmtId="0" fontId="1" fillId="0" borderId="1" xfId="0" applyFont="1" applyBorder="1" applyAlignment="1">
      <alignment horizontal="center"/>
    </xf>
    <xf numFmtId="0" fontId="0" fillId="0" borderId="1" xfId="0" applyBorder="1" applyAlignment="1">
      <alignment horizontal="center"/>
    </xf>
    <xf numFmtId="1" fontId="26" fillId="0" borderId="11" xfId="0" applyNumberFormat="1" applyFont="1" applyFill="1" applyBorder="1" applyAlignment="1">
      <alignment horizontal="center"/>
    </xf>
    <xf numFmtId="0" fontId="26" fillId="0" borderId="11" xfId="0" applyFont="1" applyFill="1" applyBorder="1"/>
    <xf numFmtId="174" fontId="2" fillId="9" borderId="1" xfId="0" applyNumberFormat="1" applyFont="1" applyFill="1" applyBorder="1" applyAlignment="1">
      <alignment horizontal="center"/>
    </xf>
    <xf numFmtId="0" fontId="31" fillId="0" borderId="7" xfId="0" applyFont="1" applyBorder="1"/>
    <xf numFmtId="20" fontId="31" fillId="0" borderId="1" xfId="0" applyNumberFormat="1" applyFont="1" applyBorder="1" applyAlignment="1">
      <alignment vertical="top" wrapText="1"/>
    </xf>
    <xf numFmtId="0" fontId="31" fillId="0" borderId="1" xfId="0" applyFont="1" applyBorder="1" applyAlignment="1">
      <alignment vertical="top" wrapText="1"/>
    </xf>
    <xf numFmtId="0" fontId="31" fillId="0" borderId="1" xfId="0" applyFont="1" applyBorder="1" applyAlignment="1">
      <alignment horizontal="center" vertical="top" wrapText="1"/>
    </xf>
    <xf numFmtId="164" fontId="31" fillId="0" borderId="1" xfId="0" applyNumberFormat="1" applyFont="1" applyBorder="1"/>
    <xf numFmtId="0" fontId="31" fillId="0" borderId="1" xfId="0" applyFont="1" applyBorder="1"/>
    <xf numFmtId="0" fontId="31" fillId="0" borderId="1" xfId="0" applyFont="1" applyBorder="1" applyAlignment="1">
      <alignment vertical="top"/>
    </xf>
    <xf numFmtId="0" fontId="2" fillId="9" borderId="1" xfId="0" applyFont="1" applyFill="1" applyBorder="1" applyAlignment="1">
      <alignment horizontal="right"/>
    </xf>
    <xf numFmtId="0" fontId="1" fillId="0" borderId="13" xfId="0" applyFont="1" applyBorder="1" applyAlignment="1">
      <alignment horizontal="right"/>
    </xf>
    <xf numFmtId="0" fontId="1" fillId="11" borderId="1" xfId="0" applyFont="1" applyFill="1" applyBorder="1" applyAlignment="1">
      <alignment horizontal="left" vertical="top" wrapText="1"/>
    </xf>
    <xf numFmtId="0" fontId="2" fillId="11" borderId="1" xfId="0" applyFont="1" applyFill="1" applyBorder="1"/>
    <xf numFmtId="0" fontId="1" fillId="11" borderId="1" xfId="0" applyFont="1" applyFill="1" applyBorder="1"/>
    <xf numFmtId="14" fontId="15" fillId="0" borderId="0" xfId="0" applyNumberFormat="1" applyFont="1" applyBorder="1" applyAlignment="1"/>
    <xf numFmtId="14" fontId="32" fillId="0" borderId="0" xfId="0" applyNumberFormat="1" applyFont="1" applyBorder="1" applyAlignment="1"/>
    <xf numFmtId="0" fontId="27" fillId="0" borderId="0" xfId="0" applyFont="1" applyBorder="1" applyAlignment="1">
      <alignment horizontal="center" vertical="top" wrapText="1"/>
    </xf>
    <xf numFmtId="0" fontId="30" fillId="19" borderId="1" xfId="0" applyFont="1" applyFill="1" applyBorder="1" applyAlignment="1">
      <alignment vertical="top" wrapText="1"/>
    </xf>
    <xf numFmtId="0" fontId="30" fillId="19" borderId="1" xfId="0" applyFont="1" applyFill="1" applyBorder="1" applyAlignment="1">
      <alignment horizontal="center" vertical="top" wrapText="1"/>
    </xf>
    <xf numFmtId="0" fontId="0" fillId="0" borderId="0" xfId="0" applyAlignment="1">
      <alignment horizontal="left"/>
    </xf>
    <xf numFmtId="0" fontId="1" fillId="0" borderId="1" xfId="0" applyFont="1" applyBorder="1" applyAlignment="1">
      <alignment horizontal="center"/>
    </xf>
    <xf numFmtId="0" fontId="0" fillId="0" borderId="1" xfId="0" applyBorder="1" applyAlignment="1">
      <alignment horizontal="center"/>
    </xf>
    <xf numFmtId="174" fontId="11" fillId="6" borderId="1" xfId="0" applyNumberFormat="1" applyFont="1" applyFill="1" applyBorder="1" applyAlignment="1">
      <alignment horizontal="center"/>
    </xf>
    <xf numFmtId="0" fontId="30" fillId="19" borderId="1" xfId="0" applyFont="1" applyFill="1" applyBorder="1" applyAlignment="1">
      <alignment horizontal="center" vertical="center" wrapText="1"/>
    </xf>
    <xf numFmtId="0" fontId="40" fillId="0" borderId="20" xfId="0" applyFont="1" applyBorder="1"/>
    <xf numFmtId="20" fontId="40" fillId="0" borderId="1" xfId="0" applyNumberFormat="1" applyFont="1" applyBorder="1"/>
    <xf numFmtId="0" fontId="40" fillId="0" borderId="0" xfId="0" applyFont="1"/>
    <xf numFmtId="14" fontId="41" fillId="16" borderId="0" xfId="0" applyNumberFormat="1" applyFont="1" applyFill="1" applyBorder="1" applyAlignment="1">
      <alignment horizontal="center"/>
    </xf>
    <xf numFmtId="0" fontId="41" fillId="18" borderId="23" xfId="0" applyFont="1" applyFill="1" applyBorder="1" applyAlignment="1">
      <alignment horizontal="center" wrapText="1"/>
    </xf>
    <xf numFmtId="0" fontId="41" fillId="18" borderId="0" xfId="0" applyFont="1" applyFill="1" applyBorder="1" applyAlignment="1">
      <alignment horizontal="center" vertical="top" wrapText="1"/>
    </xf>
    <xf numFmtId="0" fontId="40" fillId="0" borderId="0" xfId="0" applyFont="1" applyAlignment="1">
      <alignment vertical="top" wrapText="1"/>
    </xf>
    <xf numFmtId="0" fontId="40" fillId="0" borderId="0" xfId="0" applyFont="1" applyBorder="1"/>
    <xf numFmtId="0" fontId="40" fillId="0" borderId="0" xfId="0" applyFont="1" applyFill="1" applyBorder="1"/>
    <xf numFmtId="0" fontId="40" fillId="0" borderId="1" xfId="0" applyFont="1" applyBorder="1"/>
    <xf numFmtId="0" fontId="40" fillId="0" borderId="11" xfId="0" applyFont="1" applyFill="1" applyBorder="1"/>
    <xf numFmtId="0" fontId="41" fillId="18" borderId="22" xfId="0" applyFont="1" applyFill="1" applyBorder="1" applyAlignment="1">
      <alignment wrapText="1"/>
    </xf>
    <xf numFmtId="0" fontId="0" fillId="0" borderId="0" xfId="0" applyAlignment="1">
      <alignment horizontal="left"/>
    </xf>
    <xf numFmtId="0" fontId="1" fillId="0" borderId="1" xfId="0" applyFont="1" applyBorder="1" applyAlignment="1">
      <alignment horizontal="center"/>
    </xf>
    <xf numFmtId="0" fontId="0" fillId="0" borderId="1" xfId="0" applyBorder="1" applyAlignment="1">
      <alignment horizontal="center"/>
    </xf>
    <xf numFmtId="0" fontId="42" fillId="0" borderId="1" xfId="0" applyFont="1" applyBorder="1" applyAlignment="1">
      <alignment horizontal="center"/>
    </xf>
    <xf numFmtId="0" fontId="1" fillId="13" borderId="1" xfId="0" applyFont="1" applyFill="1" applyBorder="1"/>
    <xf numFmtId="14" fontId="0" fillId="13" borderId="1" xfId="0" applyNumberFormat="1" applyFill="1" applyBorder="1"/>
    <xf numFmtId="0" fontId="0" fillId="0" borderId="1" xfId="0" applyBorder="1" applyAlignment="1">
      <alignment horizontal="right"/>
    </xf>
    <xf numFmtId="0" fontId="0" fillId="0" borderId="0" xfId="0" applyAlignment="1">
      <alignment horizontal="left"/>
    </xf>
    <xf numFmtId="0" fontId="0" fillId="0" borderId="5" xfId="0" applyBorder="1" applyAlignment="1">
      <alignment horizontal="center"/>
    </xf>
    <xf numFmtId="0" fontId="1" fillId="0" borderId="1" xfId="0" applyFont="1" applyBorder="1" applyAlignment="1">
      <alignment horizontal="center"/>
    </xf>
    <xf numFmtId="0" fontId="0" fillId="0" borderId="1" xfId="0" applyBorder="1" applyAlignment="1">
      <alignment horizontal="center"/>
    </xf>
    <xf numFmtId="0" fontId="20" fillId="0" borderId="1" xfId="0" applyFont="1" applyBorder="1" applyAlignment="1">
      <alignment horizontal="center" vertical="center"/>
    </xf>
    <xf numFmtId="0" fontId="11" fillId="0" borderId="1" xfId="0" applyFont="1" applyBorder="1" applyAlignment="1">
      <alignment horizontal="left"/>
    </xf>
    <xf numFmtId="0" fontId="6" fillId="11" borderId="1" xfId="0" applyFont="1" applyFill="1" applyBorder="1"/>
    <xf numFmtId="20" fontId="6" fillId="0" borderId="1" xfId="0" applyNumberFormat="1" applyFont="1" applyBorder="1" applyAlignment="1">
      <alignment horizontal="left"/>
    </xf>
    <xf numFmtId="0" fontId="6" fillId="0" borderId="1" xfId="0" applyFont="1" applyBorder="1" applyAlignment="1">
      <alignment horizontal="left"/>
    </xf>
    <xf numFmtId="2" fontId="6" fillId="0" borderId="1" xfId="0" applyNumberFormat="1" applyFont="1" applyBorder="1" applyAlignment="1">
      <alignment horizontal="left"/>
    </xf>
    <xf numFmtId="0" fontId="43" fillId="0" borderId="1" xfId="0" applyFont="1" applyBorder="1" applyAlignment="1">
      <alignment horizontal="left"/>
    </xf>
    <xf numFmtId="0" fontId="6" fillId="11" borderId="1" xfId="0" applyFont="1" applyFill="1" applyBorder="1" applyAlignment="1">
      <alignment horizontal="left" vertical="top" wrapText="1"/>
    </xf>
    <xf numFmtId="0" fontId="6" fillId="0" borderId="1" xfId="0" applyFont="1" applyBorder="1" applyAlignment="1">
      <alignment vertical="top" wrapText="1"/>
    </xf>
    <xf numFmtId="20" fontId="0" fillId="0" borderId="1" xfId="0" applyNumberFormat="1" applyBorder="1" applyAlignment="1">
      <alignment horizontal="center" vertical="center"/>
    </xf>
    <xf numFmtId="0" fontId="0" fillId="0" borderId="1" xfId="0" applyBorder="1" applyAlignment="1">
      <alignment horizontal="center" vertical="center"/>
    </xf>
    <xf numFmtId="0" fontId="1" fillId="0" borderId="1" xfId="6" applyBorder="1" applyAlignment="1">
      <alignment horizontal="center"/>
    </xf>
    <xf numFmtId="0" fontId="0" fillId="13" borderId="1" xfId="0" applyFill="1" applyBorder="1" applyAlignment="1">
      <alignment horizontal="center"/>
    </xf>
    <xf numFmtId="20" fontId="1" fillId="0" borderId="1" xfId="6" applyNumberFormat="1" applyBorder="1" applyAlignment="1">
      <alignment horizontal="center"/>
    </xf>
    <xf numFmtId="9" fontId="1" fillId="0" borderId="1" xfId="6" applyNumberFormat="1" applyBorder="1" applyAlignment="1">
      <alignment horizontal="center"/>
    </xf>
    <xf numFmtId="0" fontId="7" fillId="0" borderId="1" xfId="0" applyFont="1" applyBorder="1" applyAlignment="1">
      <alignment horizontal="center" vertical="center"/>
    </xf>
    <xf numFmtId="0" fontId="0" fillId="0" borderId="1" xfId="0" applyBorder="1" applyAlignment="1">
      <alignment horizontal="center"/>
    </xf>
    <xf numFmtId="0" fontId="33" fillId="0" borderId="0" xfId="0" applyFont="1"/>
    <xf numFmtId="0" fontId="33" fillId="0" borderId="0" xfId="0" applyFont="1" applyAlignment="1">
      <alignment wrapText="1"/>
    </xf>
    <xf numFmtId="0" fontId="33" fillId="0" borderId="1" xfId="0" applyFont="1" applyBorder="1" applyAlignment="1">
      <alignment horizontal="left" vertical="top" wrapText="1"/>
    </xf>
    <xf numFmtId="0" fontId="33" fillId="0" borderId="1" xfId="0" applyFont="1" applyBorder="1" applyAlignment="1">
      <alignment horizontal="left" vertical="top"/>
    </xf>
    <xf numFmtId="0" fontId="44" fillId="0" borderId="1" xfId="0" applyFont="1" applyBorder="1" applyAlignment="1">
      <alignment horizontal="left" vertical="top" wrapText="1"/>
    </xf>
    <xf numFmtId="0" fontId="30" fillId="9" borderId="1" xfId="0" applyFont="1" applyFill="1" applyBorder="1" applyAlignment="1">
      <alignment horizontal="left" vertical="top" wrapText="1"/>
    </xf>
    <xf numFmtId="0" fontId="45" fillId="0" borderId="1" xfId="0" applyFont="1" applyBorder="1" applyAlignment="1">
      <alignment horizontal="left" vertical="top" wrapText="1"/>
    </xf>
    <xf numFmtId="0" fontId="0" fillId="0" borderId="1" xfId="0" applyBorder="1" applyAlignment="1">
      <alignment horizontal="center"/>
    </xf>
    <xf numFmtId="14" fontId="1" fillId="0" borderId="0" xfId="0" applyNumberFormat="1" applyFont="1" applyAlignment="1">
      <alignment horizontal="right"/>
    </xf>
    <xf numFmtId="0" fontId="1" fillId="0" borderId="7" xfId="0" applyFont="1" applyBorder="1"/>
    <xf numFmtId="0" fontId="2" fillId="0" borderId="0" xfId="0" applyFont="1" applyFill="1" applyBorder="1" applyAlignment="1">
      <alignment horizontal="right"/>
    </xf>
    <xf numFmtId="0" fontId="6" fillId="0" borderId="0" xfId="0" applyFont="1" applyBorder="1" applyAlignment="1">
      <alignment horizontal="center"/>
    </xf>
    <xf numFmtId="14" fontId="13" fillId="0" borderId="0" xfId="0" applyNumberFormat="1" applyFont="1" applyFill="1" applyBorder="1" applyAlignment="1">
      <alignment horizontal="center"/>
    </xf>
    <xf numFmtId="0" fontId="29" fillId="0" borderId="0" xfId="0" applyFont="1" applyFill="1" applyBorder="1" applyAlignment="1">
      <alignment horizontal="center" wrapText="1"/>
    </xf>
    <xf numFmtId="0" fontId="13" fillId="0" borderId="0" xfId="0" applyFont="1" applyFill="1" applyBorder="1" applyAlignment="1">
      <alignment horizontal="center"/>
    </xf>
    <xf numFmtId="0" fontId="6" fillId="0" borderId="0" xfId="0" applyFont="1" applyFill="1" applyBorder="1" applyAlignment="1">
      <alignment horizontal="center"/>
    </xf>
    <xf numFmtId="0" fontId="1" fillId="0" borderId="0" xfId="0" applyFont="1" applyAlignment="1">
      <alignment horizontal="left" vertical="top"/>
    </xf>
    <xf numFmtId="0" fontId="0" fillId="0" borderId="0" xfId="0" applyAlignment="1">
      <alignment horizontal="left" vertical="top"/>
    </xf>
    <xf numFmtId="0" fontId="0" fillId="0" borderId="0" xfId="0" applyNumberFormat="1" applyFont="1"/>
    <xf numFmtId="0" fontId="7" fillId="0" borderId="1" xfId="0" applyFont="1" applyBorder="1" applyAlignment="1">
      <alignment horizontal="left" vertical="center"/>
    </xf>
    <xf numFmtId="0" fontId="7" fillId="0" borderId="1" xfId="0" applyNumberFormat="1" applyFont="1" applyBorder="1" applyAlignment="1">
      <alignment horizontal="center"/>
    </xf>
    <xf numFmtId="0" fontId="7" fillId="0" borderId="1" xfId="0" applyFont="1" applyBorder="1" applyAlignment="1">
      <alignment horizontal="center"/>
    </xf>
    <xf numFmtId="0" fontId="7" fillId="0" borderId="1" xfId="0" applyFont="1" applyBorder="1" applyAlignment="1">
      <alignment vertical="center"/>
    </xf>
    <xf numFmtId="0" fontId="7" fillId="0" borderId="1" xfId="0" applyFont="1" applyBorder="1" applyAlignment="1">
      <alignment horizontal="left" vertical="center" wrapText="1"/>
    </xf>
    <xf numFmtId="14" fontId="7" fillId="0" borderId="1" xfId="0" applyNumberFormat="1" applyFont="1" applyBorder="1" applyAlignment="1">
      <alignment horizontal="left" vertical="center"/>
    </xf>
    <xf numFmtId="0" fontId="7" fillId="0" borderId="1" xfId="0" applyFont="1" applyFill="1" applyBorder="1" applyAlignment="1">
      <alignment horizontal="center" vertical="center"/>
    </xf>
    <xf numFmtId="0" fontId="7" fillId="0" borderId="11" xfId="0" applyFont="1" applyFill="1" applyBorder="1" applyAlignment="1">
      <alignment horizontal="center" vertical="center"/>
    </xf>
    <xf numFmtId="0" fontId="46" fillId="0" borderId="1" xfId="0" applyFont="1" applyBorder="1" applyAlignment="1">
      <alignment horizontal="center" vertical="center"/>
    </xf>
    <xf numFmtId="1" fontId="7" fillId="0" borderId="1" xfId="0" applyNumberFormat="1" applyFont="1" applyBorder="1" applyAlignment="1">
      <alignment horizontal="center"/>
    </xf>
    <xf numFmtId="0" fontId="7" fillId="0" borderId="1" xfId="0" applyNumberFormat="1" applyFont="1" applyFill="1" applyBorder="1" applyAlignment="1">
      <alignment horizontal="center"/>
    </xf>
    <xf numFmtId="0" fontId="7" fillId="0" borderId="1" xfId="0" applyFont="1" applyFill="1" applyBorder="1" applyAlignment="1">
      <alignment horizontal="center"/>
    </xf>
    <xf numFmtId="0" fontId="20" fillId="0" borderId="1" xfId="0" applyFont="1" applyFill="1" applyBorder="1" applyAlignment="1">
      <alignment horizontal="center"/>
    </xf>
    <xf numFmtId="0" fontId="33" fillId="9" borderId="0" xfId="0" applyFont="1" applyFill="1"/>
    <xf numFmtId="14" fontId="33" fillId="9" borderId="0" xfId="0" applyNumberFormat="1" applyFont="1" applyFill="1"/>
    <xf numFmtId="0" fontId="30" fillId="9" borderId="1" xfId="0" applyFont="1" applyFill="1" applyBorder="1"/>
    <xf numFmtId="0" fontId="30" fillId="0" borderId="1" xfId="0" applyFont="1" applyBorder="1" applyAlignment="1">
      <alignment horizontal="center"/>
    </xf>
    <xf numFmtId="20" fontId="33" fillId="0" borderId="1" xfId="0" applyNumberFormat="1" applyFont="1" applyBorder="1"/>
    <xf numFmtId="0" fontId="33" fillId="0" borderId="1" xfId="0" applyFont="1" applyBorder="1" applyAlignment="1">
      <alignment horizontal="center"/>
    </xf>
    <xf numFmtId="0" fontId="33" fillId="0" borderId="1" xfId="0" applyFont="1" applyFill="1" applyBorder="1"/>
    <xf numFmtId="0" fontId="33" fillId="0" borderId="1" xfId="0" applyFont="1" applyBorder="1"/>
    <xf numFmtId="0" fontId="33" fillId="0" borderId="0" xfId="0" applyFont="1" applyBorder="1"/>
    <xf numFmtId="0" fontId="33" fillId="0" borderId="1" xfId="0" applyFont="1" applyBorder="1" applyAlignment="1">
      <alignment horizontal="center" vertical="center"/>
    </xf>
    <xf numFmtId="0" fontId="30" fillId="9" borderId="11" xfId="0" applyFont="1" applyFill="1" applyBorder="1" applyAlignment="1">
      <alignment horizontal="center"/>
    </xf>
    <xf numFmtId="176" fontId="33" fillId="9" borderId="0" xfId="0" applyNumberFormat="1" applyFont="1" applyFill="1"/>
    <xf numFmtId="0" fontId="33" fillId="9" borderId="0" xfId="0" applyFont="1" applyFill="1" applyBorder="1" applyAlignment="1">
      <alignment horizontal="left"/>
    </xf>
    <xf numFmtId="0" fontId="33" fillId="0" borderId="11" xfId="0" applyFont="1" applyFill="1" applyBorder="1" applyAlignment="1">
      <alignment horizontal="center"/>
    </xf>
    <xf numFmtId="0" fontId="30" fillId="0" borderId="1" xfId="0" applyFont="1" applyFill="1" applyBorder="1" applyAlignment="1">
      <alignment horizontal="center"/>
    </xf>
    <xf numFmtId="0" fontId="33" fillId="0" borderId="1" xfId="0" applyNumberFormat="1" applyFont="1" applyBorder="1"/>
    <xf numFmtId="0" fontId="33" fillId="0" borderId="1" xfId="0" applyFont="1" applyFill="1" applyBorder="1" applyAlignment="1">
      <alignment horizontal="center"/>
    </xf>
    <xf numFmtId="0" fontId="30" fillId="9" borderId="1" xfId="0" applyFont="1" applyFill="1" applyBorder="1" applyAlignment="1">
      <alignment horizontal="center"/>
    </xf>
    <xf numFmtId="0" fontId="33" fillId="0" borderId="0" xfId="0" applyFont="1" applyAlignment="1">
      <alignment horizontal="left"/>
    </xf>
    <xf numFmtId="0" fontId="33" fillId="0" borderId="0" xfId="0" applyNumberFormat="1" applyFont="1" applyFill="1" applyBorder="1" applyAlignment="1">
      <alignment horizontal="left"/>
    </xf>
    <xf numFmtId="0" fontId="33" fillId="0" borderId="0" xfId="0" applyNumberFormat="1" applyFont="1"/>
    <xf numFmtId="0" fontId="33" fillId="0" borderId="9" xfId="0" applyFont="1" applyBorder="1" applyAlignment="1">
      <alignment vertical="top"/>
    </xf>
    <xf numFmtId="14" fontId="30" fillId="9" borderId="1" xfId="0" applyNumberFormat="1" applyFont="1" applyFill="1" applyBorder="1"/>
    <xf numFmtId="0" fontId="47" fillId="0" borderId="0" xfId="3" applyFont="1" applyFill="1" applyBorder="1" applyAlignment="1">
      <alignment horizontal="left"/>
    </xf>
    <xf numFmtId="0" fontId="47" fillId="0" borderId="0" xfId="3" applyNumberFormat="1" applyFont="1" applyFill="1" applyBorder="1" applyAlignment="1">
      <alignment horizontal="right"/>
    </xf>
    <xf numFmtId="0" fontId="33" fillId="0" borderId="1" xfId="0" applyNumberFormat="1" applyFont="1" applyFill="1" applyBorder="1" applyAlignment="1">
      <alignment horizontal="left"/>
    </xf>
    <xf numFmtId="0" fontId="47" fillId="0" borderId="1" xfId="3" applyFont="1" applyFill="1" applyBorder="1" applyAlignment="1">
      <alignment horizontal="left"/>
    </xf>
    <xf numFmtId="0" fontId="33" fillId="0" borderId="0" xfId="0" applyFont="1" applyAlignment="1">
      <alignment horizontal="left" vertical="top"/>
    </xf>
    <xf numFmtId="14" fontId="33" fillId="0" borderId="0" xfId="0" applyNumberFormat="1" applyFont="1" applyAlignment="1">
      <alignment horizontal="right"/>
    </xf>
    <xf numFmtId="14" fontId="33" fillId="0" borderId="0" xfId="0" applyNumberFormat="1" applyFont="1"/>
    <xf numFmtId="0" fontId="33" fillId="0" borderId="0" xfId="0" applyFont="1" applyFill="1" applyBorder="1" applyAlignment="1">
      <alignment horizontal="left"/>
    </xf>
    <xf numFmtId="0" fontId="1" fillId="9" borderId="1" xfId="0" applyFont="1" applyFill="1" applyBorder="1" applyAlignment="1">
      <alignment horizontal="center" wrapText="1"/>
    </xf>
    <xf numFmtId="0" fontId="1" fillId="9" borderId="11" xfId="0" applyFont="1" applyFill="1" applyBorder="1"/>
    <xf numFmtId="0" fontId="0" fillId="0" borderId="15" xfId="0" applyBorder="1" applyAlignment="1"/>
    <xf numFmtId="0" fontId="0" fillId="0" borderId="5" xfId="0" applyBorder="1" applyAlignment="1"/>
    <xf numFmtId="165" fontId="33" fillId="0" borderId="0" xfId="0" applyNumberFormat="1" applyFont="1"/>
    <xf numFmtId="2" fontId="33" fillId="0" borderId="0" xfId="0" applyNumberFormat="1" applyFont="1"/>
    <xf numFmtId="0" fontId="32" fillId="21" borderId="1" xfId="0" applyFont="1" applyFill="1" applyBorder="1"/>
    <xf numFmtId="0" fontId="31" fillId="0" borderId="0" xfId="0" applyFont="1"/>
    <xf numFmtId="0" fontId="32" fillId="0" borderId="1" xfId="0" applyFont="1" applyBorder="1"/>
    <xf numFmtId="0" fontId="32" fillId="0" borderId="1" xfId="0" applyFont="1" applyBorder="1" applyAlignment="1">
      <alignment wrapText="1"/>
    </xf>
    <xf numFmtId="0" fontId="31" fillId="9" borderId="1" xfId="0" applyFont="1" applyFill="1" applyBorder="1"/>
    <xf numFmtId="14" fontId="31" fillId="0" borderId="1" xfId="0" applyNumberFormat="1" applyFont="1" applyBorder="1"/>
    <xf numFmtId="14" fontId="31" fillId="0" borderId="0" xfId="0" applyNumberFormat="1" applyFont="1"/>
    <xf numFmtId="0" fontId="1" fillId="0" borderId="5" xfId="0" applyFont="1" applyBorder="1"/>
    <xf numFmtId="0" fontId="31" fillId="0" borderId="1" xfId="0" applyFont="1" applyFill="1" applyBorder="1"/>
    <xf numFmtId="0" fontId="31" fillId="0" borderId="5" xfId="0" applyFont="1" applyBorder="1"/>
    <xf numFmtId="0" fontId="1" fillId="0" borderId="1" xfId="0" applyFont="1" applyBorder="1" applyAlignment="1"/>
    <xf numFmtId="0" fontId="1" fillId="0" borderId="9" xfId="0" applyFont="1" applyBorder="1" applyAlignment="1"/>
    <xf numFmtId="165" fontId="0" fillId="0" borderId="1" xfId="0" applyNumberFormat="1" applyBorder="1"/>
    <xf numFmtId="2" fontId="0" fillId="0" borderId="1" xfId="0" applyNumberFormat="1" applyFill="1" applyBorder="1"/>
    <xf numFmtId="0" fontId="0" fillId="9" borderId="1" xfId="0" applyFill="1" applyBorder="1" applyAlignment="1">
      <alignment horizontal="center" vertical="center"/>
    </xf>
    <xf numFmtId="164" fontId="0" fillId="9" borderId="1" xfId="0" applyNumberFormat="1" applyFill="1" applyBorder="1"/>
    <xf numFmtId="2" fontId="0" fillId="0" borderId="0" xfId="0" applyNumberFormat="1" applyFill="1" applyBorder="1"/>
    <xf numFmtId="0" fontId="2" fillId="13" borderId="4" xfId="0" applyFont="1" applyFill="1" applyBorder="1"/>
    <xf numFmtId="1" fontId="2" fillId="13" borderId="0" xfId="0" applyNumberFormat="1" applyFont="1" applyFill="1"/>
    <xf numFmtId="0" fontId="2" fillId="13" borderId="0" xfId="0" applyFont="1" applyFill="1"/>
    <xf numFmtId="0" fontId="2" fillId="0" borderId="1" xfId="0" applyFont="1" applyBorder="1" applyAlignment="1">
      <alignment horizontal="center"/>
    </xf>
    <xf numFmtId="0" fontId="6" fillId="0" borderId="1" xfId="0" applyFont="1" applyFill="1" applyBorder="1" applyAlignment="1">
      <alignment horizontal="left" vertical="top"/>
    </xf>
    <xf numFmtId="0" fontId="48" fillId="0" borderId="1" xfId="3" applyFont="1" applyFill="1" applyBorder="1" applyAlignment="1">
      <alignment horizontal="left" vertical="top"/>
    </xf>
    <xf numFmtId="0" fontId="6" fillId="0" borderId="1" xfId="0" applyFont="1" applyFill="1" applyBorder="1" applyAlignment="1">
      <alignment horizontal="left" vertical="top" wrapText="1"/>
    </xf>
    <xf numFmtId="0" fontId="6" fillId="9" borderId="1" xfId="0" applyFont="1" applyFill="1" applyBorder="1" applyAlignment="1">
      <alignment horizontal="left" vertical="top"/>
    </xf>
    <xf numFmtId="0" fontId="6" fillId="9" borderId="1" xfId="0" applyFont="1" applyFill="1" applyBorder="1" applyAlignment="1">
      <alignment horizontal="left" vertical="top" wrapText="1"/>
    </xf>
    <xf numFmtId="0" fontId="48" fillId="9" borderId="1" xfId="3" applyFont="1" applyFill="1" applyBorder="1" applyAlignment="1">
      <alignment horizontal="left" vertical="top"/>
    </xf>
    <xf numFmtId="0" fontId="1" fillId="0" borderId="7" xfId="0" applyFont="1" applyFill="1" applyBorder="1" applyAlignment="1">
      <alignment horizontal="center" vertical="center"/>
    </xf>
    <xf numFmtId="0" fontId="1" fillId="0" borderId="7" xfId="0" applyFont="1" applyBorder="1" applyAlignment="1">
      <alignment horizontal="center" vertical="center"/>
    </xf>
    <xf numFmtId="0" fontId="1" fillId="9" borderId="7" xfId="0" applyFont="1" applyFill="1" applyBorder="1" applyAlignment="1">
      <alignment horizontal="center" vertical="center"/>
    </xf>
    <xf numFmtId="0" fontId="1" fillId="9" borderId="1" xfId="0" applyFont="1" applyFill="1" applyBorder="1" applyAlignment="1">
      <alignment horizontal="center" vertical="center"/>
    </xf>
    <xf numFmtId="0" fontId="1" fillId="0" borderId="1" xfId="0" applyFont="1" applyBorder="1" applyAlignment="1">
      <alignment horizontal="center" vertical="center"/>
    </xf>
    <xf numFmtId="0" fontId="27" fillId="0" borderId="7" xfId="0" applyFont="1" applyBorder="1" applyAlignment="1">
      <alignment vertical="top" wrapText="1"/>
    </xf>
    <xf numFmtId="0" fontId="2" fillId="0" borderId="1" xfId="0" applyFont="1" applyBorder="1" applyAlignment="1">
      <alignment horizontal="center"/>
    </xf>
    <xf numFmtId="0" fontId="2" fillId="0" borderId="1" xfId="0" applyFont="1" applyBorder="1" applyAlignment="1">
      <alignment horizontal="center" vertical="center"/>
    </xf>
    <xf numFmtId="164" fontId="50" fillId="0" borderId="1" xfId="0" applyNumberFormat="1" applyFont="1" applyBorder="1" applyAlignment="1">
      <alignment horizontal="center"/>
    </xf>
    <xf numFmtId="0" fontId="1" fillId="0" borderId="0" xfId="0" applyFont="1" applyAlignment="1">
      <alignment wrapText="1"/>
    </xf>
    <xf numFmtId="0" fontId="0" fillId="0" borderId="0" xfId="0" applyAlignment="1">
      <alignment horizontal="center" wrapText="1"/>
    </xf>
    <xf numFmtId="0" fontId="1" fillId="0" borderId="0" xfId="0" applyFont="1" applyAlignment="1">
      <alignment horizontal="center" wrapText="1"/>
    </xf>
    <xf numFmtId="0" fontId="0" fillId="0" borderId="0" xfId="0" applyAlignment="1">
      <alignment horizontal="right" wrapText="1"/>
    </xf>
    <xf numFmtId="0" fontId="1" fillId="0" borderId="0" xfId="0" applyFont="1" applyAlignment="1">
      <alignment horizontal="right" wrapText="1"/>
    </xf>
    <xf numFmtId="0" fontId="0" fillId="0" borderId="0" xfId="0" applyAlignment="1">
      <alignment horizontal="left" wrapText="1"/>
    </xf>
    <xf numFmtId="0" fontId="1" fillId="0" borderId="0" xfId="0" applyFont="1" applyAlignment="1">
      <alignment horizontal="left" wrapText="1"/>
    </xf>
    <xf numFmtId="0" fontId="1" fillId="0" borderId="0" xfId="0" applyFont="1" applyAlignment="1">
      <alignment horizontal="center" wrapText="1"/>
    </xf>
    <xf numFmtId="2" fontId="0" fillId="0" borderId="0" xfId="0" applyNumberFormat="1" applyAlignment="1">
      <alignment horizontal="right" wrapText="1"/>
    </xf>
    <xf numFmtId="0" fontId="33" fillId="0" borderId="0" xfId="0" applyFont="1" applyBorder="1" applyAlignment="1">
      <alignment horizontal="center" wrapText="1"/>
    </xf>
    <xf numFmtId="0" fontId="0" fillId="0" borderId="0" xfId="0" applyAlignment="1">
      <alignment vertical="center"/>
    </xf>
    <xf numFmtId="1" fontId="49" fillId="0" borderId="1" xfId="0" applyNumberFormat="1" applyFont="1" applyBorder="1" applyAlignment="1">
      <alignment vertical="center" wrapText="1"/>
    </xf>
    <xf numFmtId="1" fontId="0" fillId="0" borderId="1" xfId="0" applyNumberFormat="1" applyBorder="1" applyAlignment="1">
      <alignment vertical="center"/>
    </xf>
    <xf numFmtId="1" fontId="33" fillId="0" borderId="1" xfId="0" applyNumberFormat="1" applyFont="1" applyBorder="1" applyAlignment="1">
      <alignment vertical="center" wrapText="1"/>
    </xf>
    <xf numFmtId="164" fontId="1" fillId="0" borderId="0" xfId="0" applyNumberFormat="1" applyFont="1" applyAlignment="1">
      <alignment wrapText="1"/>
    </xf>
    <xf numFmtId="164" fontId="2" fillId="13" borderId="1" xfId="0" applyNumberFormat="1" applyFont="1" applyFill="1" applyBorder="1" applyAlignment="1">
      <alignment vertical="center"/>
    </xf>
    <xf numFmtId="0" fontId="2" fillId="0" borderId="1" xfId="0" applyFont="1" applyFill="1" applyBorder="1"/>
    <xf numFmtId="0" fontId="2" fillId="0" borderId="0" xfId="0" applyFont="1" applyAlignment="1">
      <alignment horizontal="center" vertical="center" wrapText="1"/>
    </xf>
    <xf numFmtId="10" fontId="0" fillId="0" borderId="0" xfId="5" applyNumberFormat="1" applyFont="1"/>
    <xf numFmtId="0" fontId="2" fillId="0" borderId="5" xfId="0" applyFont="1" applyBorder="1" applyAlignment="1"/>
    <xf numFmtId="170" fontId="0" fillId="0" borderId="1" xfId="1" applyNumberFormat="1" applyFont="1" applyBorder="1"/>
    <xf numFmtId="0" fontId="2" fillId="9" borderId="1" xfId="0" applyFont="1" applyFill="1" applyBorder="1" applyAlignment="1"/>
    <xf numFmtId="10" fontId="0" fillId="0" borderId="1" xfId="5" applyNumberFormat="1" applyFont="1" applyBorder="1" applyAlignment="1">
      <alignment horizontal="center"/>
    </xf>
    <xf numFmtId="170" fontId="0" fillId="0" borderId="1" xfId="0" applyNumberFormat="1" applyBorder="1"/>
    <xf numFmtId="49" fontId="1" fillId="0" borderId="1" xfId="0" applyNumberFormat="1" applyFont="1" applyBorder="1"/>
    <xf numFmtId="0" fontId="33" fillId="9" borderId="1" xfId="0" applyFont="1" applyFill="1" applyBorder="1" applyAlignment="1">
      <alignment horizontal="center" wrapText="1"/>
    </xf>
    <xf numFmtId="0" fontId="1" fillId="9" borderId="1" xfId="0" applyFont="1" applyFill="1" applyBorder="1" applyAlignment="1">
      <alignment vertical="top" wrapText="1"/>
    </xf>
    <xf numFmtId="0" fontId="1" fillId="9" borderId="1" xfId="0" applyFont="1" applyFill="1" applyBorder="1" applyAlignment="1">
      <alignment wrapText="1"/>
    </xf>
    <xf numFmtId="0" fontId="0" fillId="0" borderId="0" xfId="0" applyAlignment="1">
      <alignment horizontal="left"/>
    </xf>
    <xf numFmtId="0" fontId="2" fillId="0" borderId="0" xfId="0" applyFont="1" applyBorder="1" applyAlignment="1">
      <alignment horizontal="left"/>
    </xf>
    <xf numFmtId="3" fontId="0" fillId="0" borderId="2" xfId="0" applyNumberFormat="1" applyFill="1" applyBorder="1"/>
    <xf numFmtId="3" fontId="0" fillId="0" borderId="0" xfId="0" applyNumberFormat="1" applyFill="1" applyBorder="1"/>
    <xf numFmtId="0" fontId="2" fillId="0" borderId="1" xfId="0" applyFont="1" applyBorder="1" applyAlignment="1">
      <alignment horizontal="center"/>
    </xf>
    <xf numFmtId="0" fontId="2" fillId="9" borderId="1" xfId="0" applyFont="1" applyFill="1" applyBorder="1" applyAlignment="1">
      <alignment horizontal="center"/>
    </xf>
    <xf numFmtId="14" fontId="1" fillId="0" borderId="0" xfId="0" applyNumberFormat="1" applyFont="1"/>
    <xf numFmtId="0" fontId="30" fillId="21" borderId="1" xfId="0" applyFont="1" applyFill="1" applyBorder="1"/>
    <xf numFmtId="14" fontId="33" fillId="0" borderId="1" xfId="0" applyNumberFormat="1" applyFont="1" applyBorder="1"/>
    <xf numFmtId="0" fontId="1" fillId="8" borderId="1" xfId="0" applyFont="1" applyFill="1" applyBorder="1"/>
    <xf numFmtId="0" fontId="30" fillId="0" borderId="1" xfId="0" applyFont="1" applyBorder="1"/>
    <xf numFmtId="0" fontId="30" fillId="0" borderId="1" xfId="0" applyFont="1" applyBorder="1" applyAlignment="1">
      <alignment wrapText="1"/>
    </xf>
    <xf numFmtId="0" fontId="33" fillId="9" borderId="1" xfId="0" applyFont="1" applyFill="1" applyBorder="1"/>
    <xf numFmtId="0" fontId="1" fillId="0" borderId="15" xfId="0" applyFont="1" applyBorder="1"/>
    <xf numFmtId="0" fontId="2" fillId="11" borderId="7" xfId="0" applyFont="1" applyFill="1" applyBorder="1" applyAlignment="1"/>
    <xf numFmtId="0" fontId="2" fillId="11" borderId="5" xfId="0" applyFont="1" applyFill="1" applyBorder="1" applyAlignment="1"/>
    <xf numFmtId="20" fontId="1" fillId="0" borderId="1" xfId="0" applyNumberFormat="1" applyFont="1" applyBorder="1" applyAlignment="1">
      <alignment horizontal="left"/>
    </xf>
    <xf numFmtId="0" fontId="1" fillId="0" borderId="1" xfId="0" applyFont="1" applyBorder="1" applyAlignment="1">
      <alignment horizontal="left"/>
    </xf>
    <xf numFmtId="0" fontId="51" fillId="0" borderId="1" xfId="0" applyFont="1" applyBorder="1" applyAlignment="1">
      <alignment horizontal="left"/>
    </xf>
    <xf numFmtId="0" fontId="1" fillId="0" borderId="1" xfId="0" applyFont="1" applyBorder="1" applyAlignment="1">
      <alignment vertical="top" wrapText="1"/>
    </xf>
    <xf numFmtId="0" fontId="2" fillId="9" borderId="2" xfId="0" applyFont="1" applyFill="1" applyBorder="1"/>
    <xf numFmtId="0" fontId="2" fillId="9" borderId="2" xfId="0" applyFont="1" applyFill="1" applyBorder="1" applyAlignment="1">
      <alignment wrapText="1"/>
    </xf>
    <xf numFmtId="2" fontId="1" fillId="0" borderId="1" xfId="0" applyNumberFormat="1" applyFont="1" applyBorder="1"/>
    <xf numFmtId="0" fontId="1" fillId="0" borderId="5" xfId="0" applyFont="1" applyBorder="1" applyAlignment="1">
      <alignment horizontal="left"/>
    </xf>
    <xf numFmtId="2" fontId="1" fillId="0" borderId="0" xfId="0" applyNumberFormat="1" applyFont="1" applyBorder="1"/>
    <xf numFmtId="0" fontId="1" fillId="0" borderId="17" xfId="0" applyFont="1" applyBorder="1"/>
    <xf numFmtId="0" fontId="1" fillId="0" borderId="19" xfId="0" applyFont="1" applyBorder="1"/>
    <xf numFmtId="0" fontId="1" fillId="0" borderId="19" xfId="0" applyFont="1" applyBorder="1" applyAlignment="1">
      <alignment horizontal="center"/>
    </xf>
    <xf numFmtId="0" fontId="33" fillId="0" borderId="5" xfId="0" applyFont="1" applyBorder="1"/>
    <xf numFmtId="0" fontId="2" fillId="0" borderId="0" xfId="0" applyFont="1" applyAlignment="1">
      <alignment horizontal="center"/>
    </xf>
    <xf numFmtId="0" fontId="52" fillId="0" borderId="0" xfId="0" applyFont="1" applyAlignment="1">
      <alignment horizontal="center"/>
    </xf>
    <xf numFmtId="0" fontId="53" fillId="0" borderId="0" xfId="0" applyFont="1" applyAlignment="1">
      <alignment horizontal="center"/>
    </xf>
    <xf numFmtId="14" fontId="0" fillId="0" borderId="0" xfId="0" applyNumberFormat="1" applyAlignment="1">
      <alignment horizontal="center"/>
    </xf>
    <xf numFmtId="20" fontId="0" fillId="0" borderId="0" xfId="0" applyNumberFormat="1" applyAlignment="1">
      <alignment horizontal="center"/>
    </xf>
    <xf numFmtId="0" fontId="0" fillId="9" borderId="1" xfId="0" applyFill="1" applyBorder="1" applyAlignment="1">
      <alignment horizontal="center"/>
    </xf>
    <xf numFmtId="0" fontId="2" fillId="9" borderId="1" xfId="0" applyFont="1" applyFill="1" applyBorder="1" applyAlignment="1">
      <alignment horizontal="center" wrapText="1"/>
    </xf>
    <xf numFmtId="0" fontId="0" fillId="0" borderId="9" xfId="0" applyBorder="1" applyAlignment="1">
      <alignment horizontal="center"/>
    </xf>
    <xf numFmtId="0" fontId="2" fillId="9" borderId="1" xfId="0" applyFont="1" applyFill="1" applyBorder="1" applyAlignment="1">
      <alignment horizontal="center" vertical="center"/>
    </xf>
    <xf numFmtId="0" fontId="54" fillId="0" borderId="0" xfId="0" applyFont="1"/>
    <xf numFmtId="0" fontId="0" fillId="0" borderId="0" xfId="0" applyAlignment="1">
      <alignment horizontal="left"/>
    </xf>
    <xf numFmtId="0" fontId="2" fillId="0" borderId="1" xfId="0" applyFont="1" applyBorder="1" applyAlignment="1">
      <alignment horizontal="center"/>
    </xf>
    <xf numFmtId="0" fontId="0" fillId="0" borderId="1" xfId="0" applyFill="1" applyBorder="1" applyAlignment="1">
      <alignment horizontal="center" vertical="center"/>
    </xf>
    <xf numFmtId="0" fontId="20" fillId="0" borderId="9" xfId="0" applyFont="1" applyBorder="1"/>
    <xf numFmtId="20" fontId="0" fillId="0" borderId="9" xfId="0" applyNumberFormat="1" applyBorder="1" applyAlignment="1">
      <alignment horizontal="center"/>
    </xf>
    <xf numFmtId="0" fontId="20" fillId="0" borderId="9" xfId="0" applyFont="1" applyBorder="1" applyAlignment="1">
      <alignment horizontal="center" vertical="center"/>
    </xf>
    <xf numFmtId="1" fontId="1" fillId="0" borderId="2" xfId="0" applyNumberFormat="1" applyFont="1" applyBorder="1" applyAlignment="1">
      <alignment horizontal="center"/>
    </xf>
    <xf numFmtId="0" fontId="2" fillId="0" borderId="1" xfId="0" applyFont="1" applyBorder="1" applyAlignment="1">
      <alignment horizontal="center" vertical="top"/>
    </xf>
    <xf numFmtId="1" fontId="50" fillId="0" borderId="1" xfId="0" applyNumberFormat="1" applyFont="1" applyBorder="1" applyAlignment="1">
      <alignment horizontal="center"/>
    </xf>
    <xf numFmtId="1" fontId="1" fillId="0" borderId="0" xfId="0" applyNumberFormat="1" applyFont="1" applyBorder="1" applyAlignment="1">
      <alignment horizontal="center"/>
    </xf>
    <xf numFmtId="0" fontId="0" fillId="0" borderId="7" xfId="0" applyBorder="1" applyAlignment="1">
      <alignment horizontal="center"/>
    </xf>
    <xf numFmtId="171" fontId="15" fillId="0" borderId="1" xfId="0" applyNumberFormat="1" applyFont="1" applyBorder="1" applyAlignment="1">
      <alignment horizontal="center"/>
    </xf>
    <xf numFmtId="0" fontId="15" fillId="0" borderId="1" xfId="0" applyFont="1" applyBorder="1" applyAlignment="1">
      <alignment horizontal="center"/>
    </xf>
    <xf numFmtId="0" fontId="1" fillId="9" borderId="1" xfId="0" applyFont="1" applyFill="1" applyBorder="1" applyAlignment="1">
      <alignment horizontal="center"/>
    </xf>
    <xf numFmtId="0" fontId="0" fillId="9" borderId="1" xfId="0" applyFill="1" applyBorder="1" applyAlignment="1">
      <alignment horizontal="center"/>
    </xf>
    <xf numFmtId="0" fontId="2" fillId="0" borderId="1" xfId="0" applyFont="1" applyBorder="1" applyAlignment="1">
      <alignment horizontal="center"/>
    </xf>
    <xf numFmtId="0" fontId="2" fillId="9" borderId="11" xfId="0" applyFont="1" applyFill="1" applyBorder="1" applyAlignment="1">
      <alignment horizontal="right"/>
    </xf>
    <xf numFmtId="170" fontId="0" fillId="0" borderId="1" xfId="1" applyNumberFormat="1" applyFont="1" applyBorder="1" applyAlignment="1">
      <alignment horizontal="center" vertical="center"/>
    </xf>
    <xf numFmtId="0" fontId="1" fillId="9" borderId="1" xfId="0" applyFont="1" applyFill="1" applyBorder="1" applyAlignment="1">
      <alignment horizontal="center"/>
    </xf>
    <xf numFmtId="0" fontId="0" fillId="9" borderId="1" xfId="0" applyFill="1" applyBorder="1" applyAlignment="1">
      <alignment horizontal="center"/>
    </xf>
    <xf numFmtId="0" fontId="2" fillId="0" borderId="1" xfId="0" applyFont="1" applyBorder="1" applyAlignment="1">
      <alignment horizontal="center"/>
    </xf>
    <xf numFmtId="2" fontId="0" fillId="0" borderId="0" xfId="0" applyNumberFormat="1" applyAlignment="1">
      <alignment horizontal="center"/>
    </xf>
    <xf numFmtId="0" fontId="1" fillId="9" borderId="7" xfId="0" applyFont="1" applyFill="1" applyBorder="1"/>
    <xf numFmtId="20" fontId="31" fillId="0" borderId="1" xfId="0" applyNumberFormat="1" applyFont="1" applyBorder="1"/>
    <xf numFmtId="9" fontId="31" fillId="0" borderId="1" xfId="0" applyNumberFormat="1" applyFont="1" applyBorder="1"/>
    <xf numFmtId="0" fontId="31" fillId="9" borderId="4" xfId="0" applyFont="1" applyFill="1" applyBorder="1"/>
    <xf numFmtId="0" fontId="31" fillId="0" borderId="11" xfId="0" applyFont="1" applyFill="1" applyBorder="1"/>
    <xf numFmtId="0" fontId="7" fillId="0" borderId="11" xfId="0" applyFont="1" applyFill="1" applyBorder="1"/>
    <xf numFmtId="0" fontId="0" fillId="0" borderId="0" xfId="0" applyAlignment="1">
      <alignment wrapText="1"/>
    </xf>
    <xf numFmtId="164" fontId="0" fillId="22" borderId="1" xfId="0" applyNumberFormat="1" applyFill="1" applyBorder="1" applyAlignment="1">
      <alignment horizontal="center"/>
    </xf>
    <xf numFmtId="2" fontId="2" fillId="0" borderId="0" xfId="0" applyNumberFormat="1" applyFont="1" applyAlignment="1">
      <alignment horizontal="center"/>
    </xf>
    <xf numFmtId="0" fontId="2" fillId="2" borderId="0" xfId="0" applyFont="1" applyFill="1" applyAlignment="1">
      <alignment horizontal="center"/>
    </xf>
    <xf numFmtId="0" fontId="1" fillId="0" borderId="1" xfId="0" applyNumberFormat="1" applyFont="1" applyFill="1" applyBorder="1" applyAlignment="1">
      <alignment horizontal="center"/>
    </xf>
    <xf numFmtId="0" fontId="0" fillId="0" borderId="1" xfId="0" applyFill="1" applyBorder="1" applyAlignment="1">
      <alignment horizontal="center"/>
    </xf>
    <xf numFmtId="0" fontId="3" fillId="0" borderId="1" xfId="0" applyFont="1" applyFill="1" applyBorder="1" applyAlignment="1">
      <alignment horizontal="center"/>
    </xf>
    <xf numFmtId="1" fontId="1" fillId="0" borderId="1" xfId="0" applyNumberFormat="1" applyFont="1" applyFill="1" applyBorder="1" applyAlignment="1">
      <alignment horizontal="center"/>
    </xf>
    <xf numFmtId="0" fontId="25" fillId="0" borderId="1" xfId="0" applyFont="1" applyFill="1" applyBorder="1" applyAlignment="1">
      <alignment horizontal="center"/>
    </xf>
    <xf numFmtId="164" fontId="25" fillId="0" borderId="1" xfId="0" applyNumberFormat="1" applyFont="1" applyFill="1" applyBorder="1" applyAlignment="1">
      <alignment horizontal="center"/>
    </xf>
    <xf numFmtId="1" fontId="25" fillId="0" borderId="1" xfId="0" applyNumberFormat="1" applyFont="1" applyFill="1" applyBorder="1" applyAlignment="1">
      <alignment horizontal="center"/>
    </xf>
    <xf numFmtId="3" fontId="25" fillId="22" borderId="1" xfId="0" applyNumberFormat="1" applyFont="1" applyFill="1" applyBorder="1" applyAlignment="1">
      <alignment horizontal="center"/>
    </xf>
    <xf numFmtId="3" fontId="2" fillId="12" borderId="1" xfId="0" applyNumberFormat="1" applyFont="1" applyFill="1" applyBorder="1" applyAlignment="1">
      <alignment horizontal="center"/>
    </xf>
    <xf numFmtId="1" fontId="15" fillId="2" borderId="1" xfId="0" applyNumberFormat="1" applyFont="1" applyFill="1" applyBorder="1" applyAlignment="1">
      <alignment horizontal="center"/>
    </xf>
    <xf numFmtId="14" fontId="2" fillId="22" borderId="1" xfId="0" applyNumberFormat="1" applyFont="1" applyFill="1" applyBorder="1" applyAlignment="1">
      <alignment horizontal="left"/>
    </xf>
    <xf numFmtId="0" fontId="1" fillId="22" borderId="1" xfId="0" applyFont="1" applyFill="1" applyBorder="1" applyAlignment="1">
      <alignment horizontal="left"/>
    </xf>
    <xf numFmtId="173" fontId="1" fillId="0" borderId="1" xfId="0" applyNumberFormat="1" applyFont="1" applyFill="1" applyBorder="1" applyAlignment="1">
      <alignment horizontal="center"/>
    </xf>
    <xf numFmtId="164" fontId="15" fillId="0" borderId="1" xfId="0" applyNumberFormat="1" applyFont="1" applyFill="1" applyBorder="1" applyAlignment="1">
      <alignment horizontal="center"/>
    </xf>
    <xf numFmtId="0" fontId="15" fillId="0" borderId="1" xfId="0" applyFont="1" applyFill="1" applyBorder="1" applyAlignment="1">
      <alignment horizontal="center"/>
    </xf>
    <xf numFmtId="0" fontId="0" fillId="0" borderId="0" xfId="0" applyAlignment="1">
      <alignment horizontal="right"/>
    </xf>
    <xf numFmtId="0" fontId="1" fillId="0" borderId="0" xfId="6" applyBorder="1"/>
    <xf numFmtId="0" fontId="2" fillId="0" borderId="1" xfId="0" applyFont="1" applyBorder="1" applyAlignment="1">
      <alignment horizontal="right"/>
    </xf>
    <xf numFmtId="3" fontId="0" fillId="0" borderId="1" xfId="0" applyNumberFormat="1" applyBorder="1" applyAlignment="1">
      <alignment horizontal="right"/>
    </xf>
    <xf numFmtId="164" fontId="0" fillId="0" borderId="1" xfId="0" applyNumberFormat="1" applyBorder="1" applyAlignment="1">
      <alignment horizontal="right"/>
    </xf>
    <xf numFmtId="0" fontId="1" fillId="0" borderId="1" xfId="6" applyBorder="1"/>
    <xf numFmtId="0" fontId="2" fillId="0" borderId="1" xfId="6" applyFont="1" applyBorder="1" applyAlignment="1">
      <alignment horizontal="right"/>
    </xf>
    <xf numFmtId="0" fontId="1" fillId="0" borderId="1" xfId="6" applyBorder="1" applyAlignment="1">
      <alignment horizontal="right"/>
    </xf>
    <xf numFmtId="0" fontId="2" fillId="0" borderId="1" xfId="6" applyFont="1" applyBorder="1"/>
    <xf numFmtId="3" fontId="1" fillId="0" borderId="1" xfId="6" applyNumberFormat="1" applyBorder="1"/>
    <xf numFmtId="164" fontId="1" fillId="0" borderId="1" xfId="6" applyNumberFormat="1" applyBorder="1"/>
    <xf numFmtId="3" fontId="1" fillId="0" borderId="1" xfId="6" applyNumberFormat="1" applyBorder="1" applyAlignment="1">
      <alignment horizontal="right"/>
    </xf>
    <xf numFmtId="164" fontId="1" fillId="0" borderId="1" xfId="6" applyNumberFormat="1" applyBorder="1" applyAlignment="1">
      <alignment horizontal="right"/>
    </xf>
    <xf numFmtId="3" fontId="1" fillId="0" borderId="0" xfId="6" applyNumberFormat="1" applyBorder="1"/>
    <xf numFmtId="164" fontId="1" fillId="0" borderId="0" xfId="6" applyNumberFormat="1" applyBorder="1"/>
    <xf numFmtId="0" fontId="1" fillId="0" borderId="0" xfId="6" applyBorder="1" applyAlignment="1">
      <alignment horizontal="right"/>
    </xf>
    <xf numFmtId="3" fontId="1" fillId="0" borderId="0" xfId="6" applyNumberFormat="1" applyBorder="1" applyAlignment="1">
      <alignment horizontal="right"/>
    </xf>
    <xf numFmtId="0" fontId="13" fillId="0" borderId="0" xfId="0" applyFont="1" applyFill="1" applyBorder="1" applyAlignment="1">
      <alignment horizontal="right"/>
    </xf>
    <xf numFmtId="3" fontId="11" fillId="0" borderId="0" xfId="0" applyNumberFormat="1" applyFont="1" applyFill="1" applyBorder="1" applyAlignment="1">
      <alignment horizontal="center"/>
    </xf>
    <xf numFmtId="0" fontId="6" fillId="0" borderId="0" xfId="0" applyFont="1" applyFill="1"/>
    <xf numFmtId="0" fontId="13" fillId="0" borderId="1" xfId="0" applyFont="1" applyFill="1" applyBorder="1" applyAlignment="1">
      <alignment horizontal="right"/>
    </xf>
    <xf numFmtId="3" fontId="11" fillId="0" borderId="1" xfId="0" applyNumberFormat="1" applyFont="1" applyFill="1" applyBorder="1" applyAlignment="1">
      <alignment horizontal="center"/>
    </xf>
    <xf numFmtId="0" fontId="6" fillId="0" borderId="0" xfId="0" applyFont="1" applyFill="1" applyBorder="1"/>
    <xf numFmtId="0" fontId="0" fillId="0" borderId="1" xfId="0" applyBorder="1" applyAlignment="1">
      <alignment horizontal="left"/>
    </xf>
    <xf numFmtId="3" fontId="0" fillId="0" borderId="0" xfId="0" applyNumberFormat="1" applyBorder="1"/>
    <xf numFmtId="0" fontId="0" fillId="0" borderId="0" xfId="0" applyBorder="1" applyAlignment="1">
      <alignment horizontal="right"/>
    </xf>
    <xf numFmtId="0" fontId="1" fillId="0" borderId="1" xfId="6" applyBorder="1" applyAlignment="1">
      <alignment horizontal="left"/>
    </xf>
    <xf numFmtId="0" fontId="0" fillId="0" borderId="0" xfId="0" applyFill="1" applyBorder="1" applyAlignment="1">
      <alignment horizontal="center"/>
    </xf>
    <xf numFmtId="15" fontId="0" fillId="0" borderId="1" xfId="0" applyNumberFormat="1" applyBorder="1"/>
    <xf numFmtId="15" fontId="0" fillId="0" borderId="1" xfId="0" applyNumberFormat="1" applyBorder="1" applyAlignment="1"/>
    <xf numFmtId="1" fontId="0" fillId="23" borderId="1" xfId="0" applyNumberFormat="1" applyFill="1" applyBorder="1"/>
    <xf numFmtId="170" fontId="0" fillId="23" borderId="1" xfId="1" applyNumberFormat="1" applyFont="1" applyFill="1" applyBorder="1"/>
    <xf numFmtId="0" fontId="2" fillId="23" borderId="1" xfId="0" applyFont="1" applyFill="1" applyBorder="1" applyAlignment="1">
      <alignment horizontal="left"/>
    </xf>
    <xf numFmtId="15" fontId="0" fillId="0" borderId="0" xfId="0" applyNumberFormat="1" applyBorder="1" applyAlignment="1"/>
    <xf numFmtId="0" fontId="56" fillId="2" borderId="1" xfId="0" applyFont="1" applyFill="1" applyBorder="1"/>
    <xf numFmtId="0" fontId="56" fillId="2" borderId="1" xfId="0" applyFont="1" applyFill="1" applyBorder="1" applyAlignment="1">
      <alignment horizontal="center"/>
    </xf>
    <xf numFmtId="0" fontId="31" fillId="0" borderId="1" xfId="0" applyFont="1" applyBorder="1" applyAlignment="1">
      <alignment wrapText="1"/>
    </xf>
    <xf numFmtId="164" fontId="31" fillId="0" borderId="1" xfId="0" applyNumberFormat="1" applyFont="1" applyBorder="1" applyAlignment="1">
      <alignment horizontal="center"/>
    </xf>
    <xf numFmtId="0" fontId="31" fillId="0" borderId="1" xfId="0" applyFont="1" applyBorder="1" applyAlignment="1">
      <alignment horizontal="center"/>
    </xf>
    <xf numFmtId="0" fontId="31" fillId="0" borderId="1" xfId="0" applyFont="1" applyFill="1" applyBorder="1" applyAlignment="1">
      <alignment horizontal="left"/>
    </xf>
    <xf numFmtId="0" fontId="58" fillId="0" borderId="1" xfId="6" applyFont="1" applyBorder="1"/>
    <xf numFmtId="0" fontId="58" fillId="0" borderId="1" xfId="0" applyFont="1" applyBorder="1"/>
    <xf numFmtId="3" fontId="31" fillId="0" borderId="1" xfId="0" applyNumberFormat="1" applyFont="1" applyBorder="1"/>
    <xf numFmtId="0" fontId="2" fillId="22" borderId="1" xfId="0" applyFont="1" applyFill="1" applyBorder="1" applyAlignment="1">
      <alignment wrapText="1"/>
    </xf>
    <xf numFmtId="1" fontId="0" fillId="0" borderId="1" xfId="0" applyNumberFormat="1" applyBorder="1" applyAlignment="1">
      <alignment horizontal="center" vertical="center"/>
    </xf>
    <xf numFmtId="1" fontId="0" fillId="0" borderId="0" xfId="0" applyNumberFormat="1" applyBorder="1" applyAlignment="1">
      <alignment horizontal="center" vertical="center"/>
    </xf>
    <xf numFmtId="0" fontId="1" fillId="0" borderId="0" xfId="0" applyFont="1" applyAlignment="1">
      <alignment horizontal="right"/>
    </xf>
    <xf numFmtId="0" fontId="1" fillId="0" borderId="0" xfId="0" applyFont="1" applyFill="1" applyBorder="1" applyAlignment="1">
      <alignment horizontal="right"/>
    </xf>
    <xf numFmtId="1" fontId="0" fillId="13" borderId="0" xfId="0" applyNumberFormat="1" applyFill="1" applyBorder="1" applyAlignment="1">
      <alignment horizontal="center" vertical="center"/>
    </xf>
    <xf numFmtId="0" fontId="13" fillId="0" borderId="0" xfId="0" applyFont="1" applyBorder="1"/>
    <xf numFmtId="164" fontId="2" fillId="0" borderId="0" xfId="0" applyNumberFormat="1" applyFont="1" applyBorder="1" applyAlignment="1">
      <alignment horizontal="center"/>
    </xf>
    <xf numFmtId="1" fontId="11" fillId="0" borderId="0" xfId="0" applyNumberFormat="1" applyFont="1" applyBorder="1" applyAlignment="1">
      <alignment horizontal="center"/>
    </xf>
    <xf numFmtId="164" fontId="2" fillId="2" borderId="0" xfId="0" applyNumberFormat="1" applyFont="1" applyFill="1" applyBorder="1" applyAlignment="1">
      <alignment horizontal="center"/>
    </xf>
    <xf numFmtId="0" fontId="13" fillId="2" borderId="3" xfId="0" applyFont="1" applyFill="1" applyBorder="1" applyAlignment="1">
      <alignment horizontal="right"/>
    </xf>
    <xf numFmtId="1" fontId="11" fillId="2" borderId="3" xfId="0" applyNumberFormat="1" applyFont="1" applyFill="1" applyBorder="1" applyAlignment="1">
      <alignment horizontal="center"/>
    </xf>
    <xf numFmtId="3" fontId="11" fillId="2" borderId="3" xfId="0" applyNumberFormat="1" applyFont="1" applyFill="1" applyBorder="1" applyAlignment="1">
      <alignment horizontal="center"/>
    </xf>
    <xf numFmtId="165" fontId="2" fillId="0" borderId="0" xfId="0" applyNumberFormat="1" applyFont="1" applyBorder="1"/>
    <xf numFmtId="0" fontId="32" fillId="4" borderId="1" xfId="0" applyFont="1" applyFill="1" applyBorder="1" applyAlignment="1">
      <alignment horizontal="center"/>
    </xf>
    <xf numFmtId="0" fontId="32" fillId="9" borderId="1" xfId="0" applyFont="1" applyFill="1" applyBorder="1" applyAlignment="1">
      <alignment horizontal="center"/>
    </xf>
    <xf numFmtId="0" fontId="31" fillId="9" borderId="1" xfId="0" applyFont="1" applyFill="1" applyBorder="1" applyAlignment="1">
      <alignment horizontal="center"/>
    </xf>
    <xf numFmtId="0" fontId="56" fillId="0" borderId="0" xfId="0" applyFont="1" applyAlignment="1">
      <alignment horizontal="center"/>
    </xf>
    <xf numFmtId="0" fontId="32" fillId="0" borderId="9" xfId="0" applyFont="1" applyFill="1" applyBorder="1" applyAlignment="1">
      <alignment horizontal="center" vertical="top"/>
    </xf>
    <xf numFmtId="0" fontId="32" fillId="0" borderId="11" xfId="0" applyFont="1" applyFill="1" applyBorder="1" applyAlignment="1">
      <alignment horizontal="center" vertical="top"/>
    </xf>
    <xf numFmtId="0" fontId="57" fillId="0" borderId="13" xfId="0" applyFont="1" applyBorder="1" applyAlignment="1">
      <alignment horizontal="center"/>
    </xf>
    <xf numFmtId="0" fontId="10" fillId="0" borderId="9" xfId="0" applyFont="1" applyBorder="1" applyAlignment="1">
      <alignment vertical="top" wrapText="1"/>
    </xf>
    <xf numFmtId="0" fontId="10" fillId="0" borderId="11" xfId="0" applyFont="1" applyBorder="1" applyAlignment="1">
      <alignment vertical="top" wrapText="1"/>
    </xf>
    <xf numFmtId="0" fontId="10" fillId="0" borderId="2" xfId="0" applyFont="1" applyBorder="1" applyAlignment="1">
      <alignment vertical="top" wrapText="1"/>
    </xf>
    <xf numFmtId="0" fontId="2" fillId="2" borderId="9" xfId="0" applyFont="1" applyFill="1" applyBorder="1" applyAlignment="1">
      <alignment horizontal="center" wrapText="1"/>
    </xf>
    <xf numFmtId="0" fontId="2" fillId="2" borderId="2" xfId="0" applyFont="1" applyFill="1" applyBorder="1" applyAlignment="1">
      <alignment horizontal="center" wrapText="1"/>
    </xf>
    <xf numFmtId="0" fontId="2" fillId="2" borderId="9" xfId="0" applyFont="1" applyFill="1" applyBorder="1" applyAlignment="1">
      <alignment horizontal="center"/>
    </xf>
    <xf numFmtId="0" fontId="2" fillId="2" borderId="2" xfId="0" applyFont="1" applyFill="1" applyBorder="1" applyAlignment="1">
      <alignment horizontal="center"/>
    </xf>
    <xf numFmtId="0" fontId="2" fillId="2" borderId="1" xfId="0" applyFont="1" applyFill="1" applyBorder="1" applyAlignment="1">
      <alignment horizontal="center"/>
    </xf>
    <xf numFmtId="0" fontId="10" fillId="0" borderId="9" xfId="0" applyFont="1" applyFill="1" applyBorder="1" applyAlignment="1">
      <alignment vertical="top" wrapText="1"/>
    </xf>
    <xf numFmtId="0" fontId="10" fillId="0" borderId="11" xfId="0" applyFont="1" applyFill="1" applyBorder="1" applyAlignment="1">
      <alignment vertical="top" wrapText="1"/>
    </xf>
    <xf numFmtId="0" fontId="10" fillId="0" borderId="2" xfId="0" applyFont="1" applyFill="1" applyBorder="1" applyAlignment="1">
      <alignment vertical="top" wrapText="1"/>
    </xf>
    <xf numFmtId="0" fontId="4" fillId="0" borderId="0" xfId="0" applyFont="1" applyBorder="1" applyAlignment="1">
      <alignment horizontal="center"/>
    </xf>
    <xf numFmtId="0" fontId="9" fillId="0" borderId="0" xfId="0" applyFont="1" applyBorder="1" applyAlignment="1">
      <alignment horizontal="center"/>
    </xf>
    <xf numFmtId="0" fontId="4" fillId="0" borderId="0" xfId="0" applyFont="1" applyAlignment="1">
      <alignment horizontal="center"/>
    </xf>
    <xf numFmtId="165" fontId="4" fillId="0" borderId="1" xfId="0" applyNumberFormat="1" applyFont="1" applyBorder="1" applyAlignment="1">
      <alignment horizontal="center"/>
    </xf>
    <xf numFmtId="0" fontId="2" fillId="0" borderId="0" xfId="0" applyFont="1" applyAlignment="1">
      <alignment horizontal="center"/>
    </xf>
    <xf numFmtId="2" fontId="2" fillId="0" borderId="0" xfId="0" applyNumberFormat="1" applyFont="1" applyAlignment="1">
      <alignment horizontal="center"/>
    </xf>
    <xf numFmtId="0" fontId="2" fillId="0" borderId="0" xfId="0" applyFont="1" applyAlignment="1">
      <alignment horizontal="left"/>
    </xf>
    <xf numFmtId="0" fontId="2" fillId="2" borderId="0" xfId="0" applyFont="1" applyFill="1" applyAlignment="1">
      <alignment horizontal="center"/>
    </xf>
    <xf numFmtId="165" fontId="4" fillId="0" borderId="13" xfId="0" applyNumberFormat="1" applyFont="1" applyBorder="1" applyAlignment="1">
      <alignment horizontal="center"/>
    </xf>
    <xf numFmtId="0" fontId="0" fillId="0" borderId="0" xfId="0" applyBorder="1" applyAlignment="1">
      <alignment horizontal="center" wrapText="1"/>
    </xf>
    <xf numFmtId="0" fontId="11" fillId="6" borderId="1" xfId="0" applyFont="1" applyFill="1" applyBorder="1" applyAlignment="1">
      <alignment horizontal="center" wrapText="1"/>
    </xf>
    <xf numFmtId="0" fontId="0" fillId="0" borderId="0" xfId="0" applyAlignment="1">
      <alignment horizontal="left"/>
    </xf>
    <xf numFmtId="0" fontId="2" fillId="0" borderId="13" xfId="0" applyFont="1" applyBorder="1" applyAlignment="1">
      <alignment horizontal="center"/>
    </xf>
    <xf numFmtId="15" fontId="0" fillId="0" borderId="1" xfId="0" applyNumberFormat="1" applyBorder="1" applyAlignment="1">
      <alignment horizontal="center"/>
    </xf>
    <xf numFmtId="15" fontId="1" fillId="0" borderId="1" xfId="6" applyNumberFormat="1" applyBorder="1" applyAlignment="1">
      <alignment horizontal="center"/>
    </xf>
    <xf numFmtId="0" fontId="2" fillId="0" borderId="4" xfId="0" applyFont="1" applyBorder="1" applyAlignment="1">
      <alignment horizontal="center"/>
    </xf>
    <xf numFmtId="0" fontId="2" fillId="0" borderId="0" xfId="0" applyFont="1" applyBorder="1" applyAlignment="1">
      <alignment horizontal="center"/>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3" fillId="0" borderId="11" xfId="0" applyFont="1" applyBorder="1" applyAlignment="1">
      <alignment horizontal="left" vertical="top" wrapText="1"/>
    </xf>
    <xf numFmtId="0" fontId="3" fillId="0" borderId="2" xfId="0" applyFont="1" applyBorder="1" applyAlignment="1">
      <alignment horizontal="left" vertical="top" wrapText="1"/>
    </xf>
    <xf numFmtId="0" fontId="0" fillId="0" borderId="11" xfId="0" applyBorder="1" applyAlignment="1">
      <alignment horizontal="left" vertical="top" wrapText="1"/>
    </xf>
    <xf numFmtId="0" fontId="0" fillId="0" borderId="2" xfId="0" applyBorder="1" applyAlignment="1">
      <alignment horizontal="left" vertical="top" wrapText="1"/>
    </xf>
    <xf numFmtId="0" fontId="1" fillId="9" borderId="9" xfId="0" applyFont="1" applyFill="1" applyBorder="1" applyAlignment="1">
      <alignment horizontal="left" vertical="top" wrapText="1"/>
    </xf>
    <xf numFmtId="0" fontId="0" fillId="9" borderId="11" xfId="0" applyFill="1" applyBorder="1" applyAlignment="1">
      <alignment horizontal="left" vertical="top" wrapText="1"/>
    </xf>
    <xf numFmtId="0" fontId="0" fillId="9" borderId="2" xfId="0" applyFill="1" applyBorder="1" applyAlignment="1">
      <alignment horizontal="left" vertical="top" wrapText="1"/>
    </xf>
    <xf numFmtId="0" fontId="7" fillId="0" borderId="9" xfId="0" applyFont="1" applyBorder="1" applyAlignment="1">
      <alignment horizontal="left" vertical="top" wrapText="1"/>
    </xf>
    <xf numFmtId="0" fontId="7" fillId="0" borderId="11"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center" vertical="center"/>
    </xf>
    <xf numFmtId="0" fontId="7" fillId="0" borderId="11" xfId="0" applyFont="1" applyBorder="1" applyAlignment="1">
      <alignment horizontal="center" vertical="center"/>
    </xf>
    <xf numFmtId="0" fontId="7" fillId="0" borderId="2" xfId="0" applyFont="1" applyBorder="1" applyAlignment="1">
      <alignment horizontal="center" vertical="center"/>
    </xf>
    <xf numFmtId="0" fontId="7" fillId="0" borderId="9" xfId="0" applyFont="1" applyBorder="1" applyAlignment="1">
      <alignment horizontal="center" vertical="top" wrapText="1"/>
    </xf>
    <xf numFmtId="0" fontId="7" fillId="0" borderId="11" xfId="0" applyFont="1" applyBorder="1" applyAlignment="1">
      <alignment horizontal="center" vertical="top" wrapText="1"/>
    </xf>
    <xf numFmtId="0" fontId="7" fillId="0" borderId="2" xfId="0" applyFont="1" applyBorder="1" applyAlignment="1">
      <alignment horizontal="center" vertical="top" wrapText="1"/>
    </xf>
    <xf numFmtId="0" fontId="15" fillId="0" borderId="1" xfId="0" applyFont="1" applyBorder="1" applyAlignment="1">
      <alignment horizontal="center"/>
    </xf>
    <xf numFmtId="0" fontId="15" fillId="0" borderId="7" xfId="0" applyFont="1" applyBorder="1" applyAlignment="1">
      <alignment horizontal="center"/>
    </xf>
    <xf numFmtId="0" fontId="7" fillId="0" borderId="1" xfId="0" applyFont="1" applyBorder="1" applyAlignment="1">
      <alignment horizontal="left"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xf>
    <xf numFmtId="0" fontId="7" fillId="0" borderId="7" xfId="0" applyFont="1" applyBorder="1" applyAlignment="1">
      <alignment horizontal="center" vertical="center"/>
    </xf>
    <xf numFmtId="0" fontId="7" fillId="0" borderId="5" xfId="0" applyFont="1" applyBorder="1" applyAlignment="1">
      <alignment horizontal="center" vertical="center"/>
    </xf>
    <xf numFmtId="0" fontId="0" fillId="0" borderId="7" xfId="0" applyBorder="1" applyAlignment="1">
      <alignment horizontal="center"/>
    </xf>
    <xf numFmtId="0" fontId="0" fillId="0" borderId="5" xfId="0" applyBorder="1" applyAlignment="1">
      <alignment horizontal="center"/>
    </xf>
    <xf numFmtId="171" fontId="15" fillId="0" borderId="1" xfId="0" applyNumberFormat="1" applyFont="1" applyBorder="1" applyAlignment="1">
      <alignment horizontal="center"/>
    </xf>
    <xf numFmtId="171" fontId="15" fillId="0" borderId="7" xfId="0" applyNumberFormat="1" applyFont="1" applyBorder="1" applyAlignment="1">
      <alignment horizontal="center"/>
    </xf>
    <xf numFmtId="0" fontId="35" fillId="9" borderId="1" xfId="0" applyFont="1" applyFill="1" applyBorder="1" applyAlignment="1">
      <alignment horizontal="center"/>
    </xf>
    <xf numFmtId="0" fontId="32" fillId="9" borderId="7" xfId="0" applyFont="1" applyFill="1" applyBorder="1" applyAlignment="1">
      <alignment horizontal="center"/>
    </xf>
    <xf numFmtId="0" fontId="32" fillId="9" borderId="15" xfId="0" applyFont="1" applyFill="1" applyBorder="1" applyAlignment="1">
      <alignment horizontal="center"/>
    </xf>
    <xf numFmtId="0" fontId="32" fillId="9" borderId="5" xfId="0" applyFont="1" applyFill="1" applyBorder="1" applyAlignment="1">
      <alignment horizontal="center"/>
    </xf>
    <xf numFmtId="0" fontId="13" fillId="0" borderId="7" xfId="0" applyFont="1" applyBorder="1" applyAlignment="1">
      <alignment horizontal="center"/>
    </xf>
    <xf numFmtId="0" fontId="13" fillId="0" borderId="15" xfId="0" applyFont="1" applyBorder="1" applyAlignment="1">
      <alignment horizontal="center"/>
    </xf>
    <xf numFmtId="0" fontId="13" fillId="0" borderId="5" xfId="0" applyFont="1" applyBorder="1" applyAlignment="1">
      <alignment horizontal="center"/>
    </xf>
    <xf numFmtId="0" fontId="13" fillId="9" borderId="1" xfId="0" applyFont="1" applyFill="1" applyBorder="1" applyAlignment="1">
      <alignment horizontal="center" vertical="center"/>
    </xf>
    <xf numFmtId="0" fontId="13" fillId="15" borderId="9" xfId="0" applyFont="1" applyFill="1" applyBorder="1" applyAlignment="1">
      <alignment horizontal="center" vertical="center" wrapText="1"/>
    </xf>
    <xf numFmtId="0" fontId="13" fillId="15" borderId="2" xfId="0" applyFont="1" applyFill="1" applyBorder="1" applyAlignment="1">
      <alignment horizontal="center" vertical="center" wrapText="1"/>
    </xf>
    <xf numFmtId="0" fontId="13" fillId="15" borderId="9" xfId="0" applyFont="1" applyFill="1" applyBorder="1" applyAlignment="1">
      <alignment horizontal="center" vertical="center"/>
    </xf>
    <xf numFmtId="0" fontId="13" fillId="15" borderId="2" xfId="0" applyFont="1" applyFill="1" applyBorder="1" applyAlignment="1">
      <alignment horizontal="center" vertical="center"/>
    </xf>
    <xf numFmtId="14" fontId="13" fillId="16" borderId="7" xfId="0" applyNumberFormat="1" applyFont="1" applyFill="1" applyBorder="1" applyAlignment="1">
      <alignment horizontal="center"/>
    </xf>
    <xf numFmtId="14" fontId="13" fillId="16" borderId="15" xfId="0" applyNumberFormat="1" applyFont="1" applyFill="1" applyBorder="1" applyAlignment="1">
      <alignment horizontal="center"/>
    </xf>
    <xf numFmtId="14" fontId="13" fillId="16" borderId="5" xfId="0" applyNumberFormat="1" applyFont="1" applyFill="1" applyBorder="1" applyAlignment="1">
      <alignment horizontal="center"/>
    </xf>
    <xf numFmtId="0" fontId="13" fillId="9" borderId="7" xfId="0" applyFont="1" applyFill="1" applyBorder="1" applyAlignment="1">
      <alignment horizontal="center" vertical="center"/>
    </xf>
    <xf numFmtId="0" fontId="13" fillId="9" borderId="15" xfId="0" applyFont="1" applyFill="1" applyBorder="1" applyAlignment="1">
      <alignment horizontal="center" vertical="center"/>
    </xf>
    <xf numFmtId="0" fontId="13" fillId="9" borderId="5" xfId="0" applyFont="1" applyFill="1" applyBorder="1" applyAlignment="1">
      <alignment horizontal="center" vertical="center"/>
    </xf>
    <xf numFmtId="0" fontId="13" fillId="9" borderId="7" xfId="0" applyFont="1" applyFill="1" applyBorder="1" applyAlignment="1">
      <alignment horizontal="center"/>
    </xf>
    <xf numFmtId="0" fontId="13" fillId="9" borderId="15" xfId="0" applyFont="1" applyFill="1" applyBorder="1" applyAlignment="1">
      <alignment horizontal="center"/>
    </xf>
    <xf numFmtId="0" fontId="13" fillId="9" borderId="5" xfId="0" applyFont="1" applyFill="1" applyBorder="1" applyAlignment="1">
      <alignment horizontal="center"/>
    </xf>
    <xf numFmtId="0" fontId="31" fillId="0" borderId="7" xfId="0" applyFont="1" applyBorder="1" applyAlignment="1">
      <alignment horizontal="center"/>
    </xf>
    <xf numFmtId="0" fontId="31" fillId="0" borderId="5" xfId="0" applyFont="1" applyBorder="1" applyAlignment="1">
      <alignment horizontal="center"/>
    </xf>
    <xf numFmtId="0" fontId="32" fillId="21" borderId="7" xfId="0" applyFont="1" applyFill="1" applyBorder="1" applyAlignment="1">
      <alignment horizontal="center"/>
    </xf>
    <xf numFmtId="0" fontId="32" fillId="21" borderId="15" xfId="0" applyFont="1" applyFill="1" applyBorder="1" applyAlignment="1">
      <alignment horizontal="center"/>
    </xf>
    <xf numFmtId="0" fontId="32" fillId="21" borderId="5" xfId="0" applyFont="1" applyFill="1" applyBorder="1" applyAlignment="1">
      <alignment horizontal="center"/>
    </xf>
    <xf numFmtId="0" fontId="32" fillId="21" borderId="1" xfId="0" applyFont="1" applyFill="1" applyBorder="1" applyAlignment="1">
      <alignment horizontal="center"/>
    </xf>
    <xf numFmtId="0" fontId="32" fillId="21" borderId="6" xfId="0" applyFont="1" applyFill="1" applyBorder="1" applyAlignment="1">
      <alignment horizontal="center"/>
    </xf>
    <xf numFmtId="0" fontId="32" fillId="21" borderId="13" xfId="0" applyFont="1" applyFill="1" applyBorder="1" applyAlignment="1">
      <alignment horizontal="center"/>
    </xf>
    <xf numFmtId="0" fontId="32" fillId="21" borderId="27" xfId="0" applyFont="1" applyFill="1" applyBorder="1" applyAlignment="1">
      <alignment horizontal="center"/>
    </xf>
    <xf numFmtId="49" fontId="33" fillId="0" borderId="11" xfId="0" applyNumberFormat="1" applyFont="1" applyBorder="1" applyAlignment="1">
      <alignment horizontal="center" vertical="top"/>
    </xf>
    <xf numFmtId="49" fontId="33" fillId="0" borderId="1" xfId="0" applyNumberFormat="1" applyFont="1" applyBorder="1" applyAlignment="1">
      <alignment horizontal="center" vertical="top"/>
    </xf>
    <xf numFmtId="0" fontId="33" fillId="0" borderId="13" xfId="0" applyFont="1" applyBorder="1" applyAlignment="1">
      <alignment horizontal="center"/>
    </xf>
    <xf numFmtId="0" fontId="32" fillId="0" borderId="13" xfId="0" applyFont="1" applyBorder="1" applyAlignment="1">
      <alignment horizontal="center"/>
    </xf>
    <xf numFmtId="0" fontId="33" fillId="0" borderId="1" xfId="0" applyFont="1" applyBorder="1" applyAlignment="1">
      <alignment horizontal="center" vertical="top"/>
    </xf>
    <xf numFmtId="0" fontId="33" fillId="0" borderId="11" xfId="0" applyFont="1" applyBorder="1" applyAlignment="1">
      <alignment horizontal="center" vertical="top"/>
    </xf>
    <xf numFmtId="0" fontId="33" fillId="0" borderId="2" xfId="0" applyFont="1" applyBorder="1" applyAlignment="1">
      <alignment horizontal="center" vertical="top"/>
    </xf>
    <xf numFmtId="0" fontId="1" fillId="9" borderId="1" xfId="0" applyFont="1" applyFill="1" applyBorder="1" applyAlignment="1">
      <alignment horizontal="center"/>
    </xf>
    <xf numFmtId="0" fontId="0" fillId="9" borderId="1" xfId="0" applyFill="1" applyBorder="1" applyAlignment="1">
      <alignment horizontal="center"/>
    </xf>
    <xf numFmtId="0" fontId="1" fillId="9" borderId="1" xfId="0" applyFont="1" applyFill="1" applyBorder="1" applyAlignment="1">
      <alignment horizontal="center" wrapText="1"/>
    </xf>
    <xf numFmtId="0" fontId="2" fillId="9" borderId="1" xfId="0" applyFont="1" applyFill="1" applyBorder="1" applyAlignment="1">
      <alignment horizontal="center" wrapText="1"/>
    </xf>
    <xf numFmtId="0" fontId="11" fillId="9" borderId="7" xfId="0" applyFont="1" applyFill="1" applyBorder="1" applyAlignment="1">
      <alignment horizontal="center"/>
    </xf>
    <xf numFmtId="0" fontId="11" fillId="9" borderId="15" xfId="0" applyFont="1" applyFill="1" applyBorder="1"/>
    <xf numFmtId="0" fontId="11" fillId="9" borderId="5" xfId="0" applyFont="1" applyFill="1" applyBorder="1"/>
    <xf numFmtId="0" fontId="1" fillId="10" borderId="7" xfId="0" applyFont="1" applyFill="1" applyBorder="1" applyAlignment="1">
      <alignment horizontal="center"/>
    </xf>
    <xf numFmtId="0" fontId="1" fillId="10" borderId="15" xfId="0" applyFont="1" applyFill="1" applyBorder="1" applyAlignment="1">
      <alignment horizontal="center"/>
    </xf>
    <xf numFmtId="0" fontId="1" fillId="10" borderId="5" xfId="0" applyFont="1" applyFill="1" applyBorder="1" applyAlignment="1">
      <alignment horizontal="center"/>
    </xf>
    <xf numFmtId="0" fontId="1" fillId="14" borderId="7" xfId="0" applyFont="1" applyFill="1" applyBorder="1" applyAlignment="1">
      <alignment horizontal="center"/>
    </xf>
    <xf numFmtId="0" fontId="1" fillId="14" borderId="15" xfId="0" applyFont="1" applyFill="1" applyBorder="1" applyAlignment="1">
      <alignment horizontal="center"/>
    </xf>
    <xf numFmtId="0" fontId="1" fillId="14" borderId="5" xfId="0" applyFont="1" applyFill="1" applyBorder="1" applyAlignment="1">
      <alignment horizontal="center"/>
    </xf>
    <xf numFmtId="0" fontId="2" fillId="9" borderId="1" xfId="0" applyFont="1" applyFill="1" applyBorder="1" applyAlignment="1">
      <alignment horizontal="center"/>
    </xf>
    <xf numFmtId="0" fontId="2" fillId="0" borderId="1" xfId="0" applyFont="1" applyFill="1" applyBorder="1" applyAlignment="1">
      <alignment horizontal="left" vertical="top"/>
    </xf>
    <xf numFmtId="0" fontId="2" fillId="9" borderId="1" xfId="0" applyFont="1" applyFill="1" applyBorder="1" applyAlignment="1">
      <alignment horizontal="left" vertical="top"/>
    </xf>
    <xf numFmtId="14" fontId="15" fillId="0" borderId="1" xfId="0" applyNumberFormat="1" applyFont="1" applyBorder="1" applyAlignment="1">
      <alignment horizontal="center"/>
    </xf>
    <xf numFmtId="14" fontId="15" fillId="0" borderId="9" xfId="0" applyNumberFormat="1" applyFont="1" applyBorder="1" applyAlignment="1">
      <alignment horizontal="center"/>
    </xf>
    <xf numFmtId="14" fontId="15" fillId="0" borderId="2" xfId="0" applyNumberFormat="1" applyFont="1" applyBorder="1" applyAlignment="1">
      <alignment horizontal="center"/>
    </xf>
    <xf numFmtId="0" fontId="9" fillId="0" borderId="1" xfId="0" applyFont="1" applyBorder="1" applyAlignment="1">
      <alignment horizontal="center" vertical="top" wrapText="1"/>
    </xf>
    <xf numFmtId="0" fontId="1" fillId="0" borderId="7" xfId="0" applyFont="1" applyBorder="1" applyAlignment="1">
      <alignment horizontal="center"/>
    </xf>
    <xf numFmtId="20" fontId="0" fillId="0" borderId="7" xfId="0" applyNumberFormat="1" applyBorder="1" applyAlignment="1">
      <alignment horizontal="center"/>
    </xf>
    <xf numFmtId="14" fontId="15" fillId="0" borderId="5" xfId="0" applyNumberFormat="1" applyFont="1" applyBorder="1" applyAlignment="1">
      <alignment horizontal="center"/>
    </xf>
    <xf numFmtId="0" fontId="2" fillId="11" borderId="7" xfId="0" applyFont="1" applyFill="1" applyBorder="1" applyAlignment="1">
      <alignment horizontal="center"/>
    </xf>
    <xf numFmtId="0" fontId="2" fillId="11" borderId="15" xfId="0" applyFont="1" applyFill="1" applyBorder="1" applyAlignment="1">
      <alignment horizontal="center"/>
    </xf>
    <xf numFmtId="0" fontId="2" fillId="11" borderId="5" xfId="0" applyFont="1" applyFill="1" applyBorder="1" applyAlignment="1">
      <alignment horizontal="center"/>
    </xf>
    <xf numFmtId="20" fontId="9" fillId="0" borderId="1" xfId="0" applyNumberFormat="1" applyFont="1" applyBorder="1" applyAlignment="1">
      <alignment horizontal="center"/>
    </xf>
    <xf numFmtId="0" fontId="2" fillId="11" borderId="1" xfId="0" applyFont="1" applyFill="1" applyBorder="1" applyAlignment="1">
      <alignment horizontal="center"/>
    </xf>
    <xf numFmtId="14" fontId="32" fillId="0" borderId="1" xfId="0" applyNumberFormat="1" applyFont="1" applyBorder="1" applyAlignment="1">
      <alignment horizontal="center"/>
    </xf>
    <xf numFmtId="20" fontId="9" fillId="0" borderId="7" xfId="0" applyNumberFormat="1" applyFont="1" applyBorder="1" applyAlignment="1">
      <alignment horizontal="center"/>
    </xf>
    <xf numFmtId="20" fontId="9" fillId="0" borderId="5" xfId="0" applyNumberFormat="1" applyFont="1" applyBorder="1" applyAlignment="1">
      <alignment horizontal="center"/>
    </xf>
    <xf numFmtId="0" fontId="19" fillId="0" borderId="7" xfId="0" applyFont="1" applyBorder="1" applyAlignment="1">
      <alignment horizontal="center"/>
    </xf>
    <xf numFmtId="0" fontId="19" fillId="0" borderId="5" xfId="0" applyFont="1" applyBorder="1" applyAlignment="1">
      <alignment horizontal="center"/>
    </xf>
    <xf numFmtId="0" fontId="9" fillId="0" borderId="7" xfId="0" applyFont="1" applyBorder="1" applyAlignment="1">
      <alignment horizontal="center" vertical="top" wrapText="1"/>
    </xf>
    <xf numFmtId="0" fontId="9" fillId="0" borderId="5" xfId="0" applyFont="1" applyBorder="1" applyAlignment="1">
      <alignment horizontal="center" vertical="top" wrapText="1"/>
    </xf>
    <xf numFmtId="0" fontId="4" fillId="0" borderId="7" xfId="0" applyFont="1" applyBorder="1" applyAlignment="1">
      <alignment horizontal="center"/>
    </xf>
    <xf numFmtId="0" fontId="4" fillId="0" borderId="5" xfId="0" applyFont="1" applyBorder="1" applyAlignment="1">
      <alignment horizontal="center"/>
    </xf>
    <xf numFmtId="0" fontId="4" fillId="11" borderId="15" xfId="0" applyFont="1" applyFill="1" applyBorder="1" applyAlignment="1">
      <alignment horizontal="center"/>
    </xf>
    <xf numFmtId="0" fontId="9" fillId="0" borderId="7" xfId="0" applyFont="1" applyBorder="1" applyAlignment="1">
      <alignment horizontal="left"/>
    </xf>
    <xf numFmtId="0" fontId="9" fillId="0" borderId="5" xfId="0" applyFont="1" applyBorder="1" applyAlignment="1">
      <alignment horizontal="left"/>
    </xf>
    <xf numFmtId="0" fontId="9" fillId="0" borderId="16" xfId="0" applyFont="1" applyBorder="1" applyAlignment="1">
      <alignment horizontal="center" vertical="top" wrapText="1"/>
    </xf>
    <xf numFmtId="0" fontId="4" fillId="11" borderId="15" xfId="0" applyFont="1" applyFill="1" applyBorder="1" applyAlignment="1">
      <alignment horizontal="left"/>
    </xf>
    <xf numFmtId="0" fontId="9" fillId="0" borderId="19" xfId="0" applyFont="1" applyBorder="1" applyAlignment="1">
      <alignment horizontal="center" vertical="top" wrapText="1"/>
    </xf>
    <xf numFmtId="0" fontId="11" fillId="11" borderId="7" xfId="0" applyFont="1" applyFill="1" applyBorder="1" applyAlignment="1">
      <alignment horizontal="center"/>
    </xf>
    <xf numFmtId="0" fontId="11" fillId="11" borderId="15" xfId="0" applyFont="1" applyFill="1" applyBorder="1" applyAlignment="1">
      <alignment horizontal="center"/>
    </xf>
    <xf numFmtId="0" fontId="11" fillId="11" borderId="5" xfId="0" applyFont="1" applyFill="1" applyBorder="1" applyAlignment="1">
      <alignment horizontal="center"/>
    </xf>
    <xf numFmtId="0" fontId="11" fillId="11" borderId="1" xfId="0" applyFont="1" applyFill="1" applyBorder="1" applyAlignment="1">
      <alignment horizontal="center"/>
    </xf>
    <xf numFmtId="0" fontId="6" fillId="0" borderId="1" xfId="0" applyFont="1" applyBorder="1" applyAlignment="1">
      <alignment horizontal="center" vertical="top" wrapText="1"/>
    </xf>
    <xf numFmtId="0" fontId="0" fillId="0" borderId="1" xfId="0" applyBorder="1" applyAlignment="1">
      <alignment horizontal="left"/>
    </xf>
    <xf numFmtId="0" fontId="0" fillId="0" borderId="9" xfId="0" applyBorder="1" applyAlignment="1">
      <alignment horizontal="center"/>
    </xf>
    <xf numFmtId="0" fontId="0" fillId="0" borderId="2" xfId="0" applyBorder="1" applyAlignment="1">
      <alignment horizontal="center"/>
    </xf>
    <xf numFmtId="0" fontId="0" fillId="0" borderId="9" xfId="0" applyBorder="1" applyAlignment="1">
      <alignment horizontal="center" vertical="center"/>
    </xf>
    <xf numFmtId="0" fontId="0" fillId="0" borderId="2" xfId="0" applyBorder="1" applyAlignment="1">
      <alignment horizontal="center" vertical="center"/>
    </xf>
    <xf numFmtId="0" fontId="0" fillId="9" borderId="9" xfId="0" applyFill="1" applyBorder="1" applyAlignment="1">
      <alignment horizontal="center" vertical="center"/>
    </xf>
    <xf numFmtId="0" fontId="0" fillId="9" borderId="2" xfId="0" applyFill="1" applyBorder="1" applyAlignment="1">
      <alignment horizontal="center" vertical="center"/>
    </xf>
    <xf numFmtId="0" fontId="0" fillId="9" borderId="18" xfId="0" applyFill="1" applyBorder="1" applyAlignment="1">
      <alignment horizontal="center"/>
    </xf>
    <xf numFmtId="0" fontId="0" fillId="9" borderId="6" xfId="0" applyFill="1" applyBorder="1" applyAlignment="1">
      <alignment horizontal="center"/>
    </xf>
    <xf numFmtId="0" fontId="0" fillId="0" borderId="11" xfId="0" applyBorder="1" applyAlignment="1">
      <alignment horizontal="center" vertical="center"/>
    </xf>
    <xf numFmtId="0" fontId="0" fillId="0" borderId="18" xfId="0" applyBorder="1" applyAlignment="1">
      <alignment horizontal="center"/>
    </xf>
    <xf numFmtId="0" fontId="0" fillId="0" borderId="6" xfId="0" applyBorder="1" applyAlignment="1">
      <alignment horizontal="center"/>
    </xf>
    <xf numFmtId="0" fontId="2" fillId="0" borderId="9" xfId="0" applyFont="1" applyBorder="1" applyAlignment="1">
      <alignment horizontal="center"/>
    </xf>
    <xf numFmtId="0" fontId="2" fillId="0" borderId="2" xfId="0" applyFont="1" applyBorder="1" applyAlignment="1">
      <alignment horizontal="center"/>
    </xf>
    <xf numFmtId="0" fontId="2" fillId="0" borderId="1" xfId="0" applyFont="1" applyBorder="1" applyAlignment="1">
      <alignment horizontal="center"/>
    </xf>
    <xf numFmtId="0" fontId="0" fillId="0" borderId="7" xfId="0" applyBorder="1" applyAlignment="1">
      <alignment horizontal="left"/>
    </xf>
    <xf numFmtId="0" fontId="0" fillId="0" borderId="15" xfId="0" applyBorder="1" applyAlignment="1">
      <alignment horizontal="left"/>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9" borderId="1" xfId="0" applyFont="1" applyFill="1" applyBorder="1" applyAlignment="1">
      <alignment horizontal="center" wrapText="1"/>
    </xf>
    <xf numFmtId="0" fontId="2" fillId="9" borderId="9" xfId="0" applyFont="1" applyFill="1" applyBorder="1" applyAlignment="1">
      <alignment horizontal="center"/>
    </xf>
    <xf numFmtId="0" fontId="2" fillId="9" borderId="2" xfId="0" applyFont="1" applyFill="1" applyBorder="1" applyAlignment="1">
      <alignment horizontal="center"/>
    </xf>
    <xf numFmtId="0" fontId="11" fillId="9" borderId="9" xfId="0" applyFont="1" applyFill="1" applyBorder="1" applyAlignment="1">
      <alignment horizontal="center"/>
    </xf>
    <xf numFmtId="0" fontId="11" fillId="9" borderId="2" xfId="0" applyFont="1" applyFill="1" applyBorder="1" applyAlignment="1">
      <alignment horizontal="center"/>
    </xf>
    <xf numFmtId="0" fontId="2" fillId="9" borderId="21" xfId="0" applyFont="1" applyFill="1" applyBorder="1" applyAlignment="1">
      <alignment horizontal="center"/>
    </xf>
    <xf numFmtId="0" fontId="2" fillId="9" borderId="27" xfId="0" applyFont="1" applyFill="1" applyBorder="1" applyAlignment="1">
      <alignment horizontal="center"/>
    </xf>
    <xf numFmtId="14" fontId="41" fillId="16" borderId="24" xfId="0" applyNumberFormat="1" applyFont="1" applyFill="1" applyBorder="1" applyAlignment="1">
      <alignment horizontal="center"/>
    </xf>
    <xf numFmtId="14" fontId="41" fillId="16" borderId="19" xfId="0" applyNumberFormat="1" applyFont="1" applyFill="1" applyBorder="1" applyAlignment="1">
      <alignment horizontal="center"/>
    </xf>
    <xf numFmtId="0" fontId="33" fillId="0" borderId="7" xfId="0" applyFont="1" applyBorder="1" applyAlignment="1">
      <alignment horizontal="left" vertical="top" wrapText="1"/>
    </xf>
    <xf numFmtId="0" fontId="33" fillId="0" borderId="15" xfId="0" applyFont="1" applyBorder="1" applyAlignment="1">
      <alignment horizontal="left" vertical="top" wrapText="1"/>
    </xf>
    <xf numFmtId="0" fontId="33" fillId="0" borderId="5" xfId="0" applyFont="1" applyBorder="1" applyAlignment="1">
      <alignment horizontal="left" vertical="top" wrapText="1"/>
    </xf>
    <xf numFmtId="0" fontId="33" fillId="0" borderId="1" xfId="0" applyFont="1" applyBorder="1" applyAlignment="1">
      <alignment horizontal="left" vertical="top" wrapText="1"/>
    </xf>
    <xf numFmtId="0" fontId="33" fillId="0" borderId="1" xfId="0" applyFont="1" applyBorder="1" applyAlignment="1">
      <alignment horizontal="center"/>
    </xf>
    <xf numFmtId="0" fontId="1" fillId="0" borderId="1" xfId="0" applyFont="1" applyBorder="1" applyAlignment="1">
      <alignment horizontal="center" vertical="top" wrapText="1"/>
    </xf>
    <xf numFmtId="0" fontId="2" fillId="11" borderId="1" xfId="0" applyFont="1" applyFill="1" applyBorder="1" applyAlignment="1">
      <alignment horizontal="left"/>
    </xf>
    <xf numFmtId="0" fontId="1" fillId="0" borderId="7" xfId="0" applyFont="1" applyBorder="1" applyAlignment="1">
      <alignment horizontal="center" vertical="top" wrapText="1"/>
    </xf>
    <xf numFmtId="0" fontId="1" fillId="0" borderId="5" xfId="0" applyFont="1" applyBorder="1" applyAlignment="1">
      <alignment horizontal="center" vertical="top" wrapText="1"/>
    </xf>
    <xf numFmtId="0" fontId="30" fillId="21" borderId="7" xfId="0" applyFont="1" applyFill="1" applyBorder="1" applyAlignment="1">
      <alignment horizontal="center"/>
    </xf>
    <xf numFmtId="0" fontId="30" fillId="21" borderId="15" xfId="0" applyFont="1" applyFill="1" applyBorder="1" applyAlignment="1">
      <alignment horizontal="center"/>
    </xf>
    <xf numFmtId="0" fontId="30" fillId="21" borderId="5" xfId="0" applyFont="1" applyFill="1" applyBorder="1" applyAlignment="1">
      <alignment horizontal="center"/>
    </xf>
    <xf numFmtId="0" fontId="30" fillId="21" borderId="1" xfId="0" applyFont="1" applyFill="1" applyBorder="1" applyAlignment="1">
      <alignment horizontal="center"/>
    </xf>
    <xf numFmtId="0" fontId="33" fillId="0" borderId="7" xfId="0" applyFont="1" applyBorder="1" applyAlignment="1">
      <alignment horizontal="center"/>
    </xf>
    <xf numFmtId="0" fontId="33" fillId="0" borderId="5" xfId="0" applyFont="1" applyBorder="1" applyAlignment="1">
      <alignment horizontal="center"/>
    </xf>
    <xf numFmtId="0" fontId="30" fillId="21" borderId="6" xfId="0" applyFont="1" applyFill="1" applyBorder="1" applyAlignment="1">
      <alignment horizontal="center"/>
    </xf>
    <xf numFmtId="0" fontId="30" fillId="21" borderId="13" xfId="0" applyFont="1" applyFill="1" applyBorder="1" applyAlignment="1">
      <alignment horizontal="center"/>
    </xf>
    <xf numFmtId="0" fontId="30" fillId="21" borderId="27" xfId="0" applyFont="1" applyFill="1" applyBorder="1" applyAlignment="1">
      <alignment horizontal="center"/>
    </xf>
    <xf numFmtId="0" fontId="1" fillId="0" borderId="0" xfId="0" applyFont="1" applyAlignment="1">
      <alignment horizontal="center" wrapText="1"/>
    </xf>
    <xf numFmtId="0" fontId="15" fillId="9" borderId="7" xfId="0" applyFont="1" applyFill="1" applyBorder="1" applyAlignment="1">
      <alignment horizontal="center"/>
    </xf>
    <xf numFmtId="0" fontId="15" fillId="9" borderId="15" xfId="0" applyFont="1" applyFill="1" applyBorder="1" applyAlignment="1">
      <alignment horizontal="center"/>
    </xf>
    <xf numFmtId="0" fontId="15" fillId="9" borderId="5" xfId="0" applyFont="1" applyFill="1" applyBorder="1" applyAlignment="1">
      <alignment horizontal="center"/>
    </xf>
    <xf numFmtId="0" fontId="2" fillId="9" borderId="1" xfId="0" applyFont="1" applyFill="1" applyBorder="1" applyAlignment="1">
      <alignment horizontal="center" vertical="center"/>
    </xf>
    <xf numFmtId="0" fontId="0" fillId="9" borderId="9" xfId="0" applyFill="1" applyBorder="1" applyAlignment="1">
      <alignment horizontal="center"/>
    </xf>
    <xf numFmtId="0" fontId="0" fillId="9" borderId="2" xfId="0" applyFill="1" applyBorder="1" applyAlignment="1">
      <alignment horizontal="center"/>
    </xf>
    <xf numFmtId="0" fontId="15" fillId="9" borderId="1" xfId="0" applyFont="1" applyFill="1" applyBorder="1" applyAlignment="1">
      <alignment horizontal="center"/>
    </xf>
    <xf numFmtId="0" fontId="1" fillId="0" borderId="18" xfId="0" applyFont="1" applyFill="1" applyBorder="1" applyAlignment="1">
      <alignment horizontal="left"/>
    </xf>
    <xf numFmtId="0" fontId="1" fillId="0" borderId="3" xfId="0" applyFont="1" applyFill="1" applyBorder="1" applyAlignment="1">
      <alignment horizontal="left"/>
    </xf>
    <xf numFmtId="0" fontId="2" fillId="0" borderId="0" xfId="0" applyFont="1" applyAlignment="1">
      <alignment horizontal="center" vertical="center" wrapText="1"/>
    </xf>
  </cellXfs>
  <cellStyles count="7">
    <cellStyle name="Comma" xfId="1" builtinId="3"/>
    <cellStyle name="Hyperlink" xfId="2" builtinId="8"/>
    <cellStyle name="Normal" xfId="0" builtinId="0"/>
    <cellStyle name="Normal 2" xfId="6" xr:uid="{00000000-0005-0000-0000-000003000000}"/>
    <cellStyle name="Normal_AnalyteLookUp" xfId="3" xr:uid="{00000000-0005-0000-0000-000004000000}"/>
    <cellStyle name="Normal_MethodLookUp" xfId="4" xr:uid="{00000000-0005-0000-0000-000005000000}"/>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1" i="0" u="none" strike="noStrike" baseline="0">
                <a:solidFill>
                  <a:srgbClr val="000000"/>
                </a:solidFill>
                <a:latin typeface="Arial"/>
                <a:ea typeface="Arial"/>
                <a:cs typeface="Arial"/>
              </a:defRPr>
            </a:pPr>
            <a:r>
              <a:rPr lang="en-US"/>
              <a:t>Bear Creek Reservoir Chlorophyll [ug/l] Trend</a:t>
            </a:r>
          </a:p>
        </c:rich>
      </c:tx>
      <c:layout>
        <c:manualLayout>
          <c:xMode val="edge"/>
          <c:yMode val="edge"/>
          <c:x val="0.24096385542168691"/>
          <c:y val="4.065040650406504E-2"/>
        </c:manualLayout>
      </c:layout>
      <c:overlay val="0"/>
      <c:spPr>
        <a:noFill/>
        <a:ln w="25400">
          <a:noFill/>
        </a:ln>
      </c:spPr>
    </c:title>
    <c:autoTitleDeleted val="0"/>
    <c:plotArea>
      <c:layout>
        <c:manualLayout>
          <c:layoutTarget val="inner"/>
          <c:xMode val="edge"/>
          <c:yMode val="edge"/>
          <c:x val="9.6385731178093584E-2"/>
          <c:y val="0.19105766902339388"/>
          <c:w val="0.89357604946357594"/>
          <c:h val="0.60569346137203661"/>
        </c:manualLayout>
      </c:layout>
      <c:barChart>
        <c:barDir val="col"/>
        <c:grouping val="clustered"/>
        <c:varyColors val="0"/>
        <c:ser>
          <c:idx val="0"/>
          <c:order val="0"/>
          <c:tx>
            <c:strRef>
              <c:f>'Annual Reservoir Trends'!$B$4</c:f>
              <c:strCache>
                <c:ptCount val="1"/>
                <c:pt idx="0">
                  <c:v>Top</c:v>
                </c:pt>
              </c:strCache>
            </c:strRef>
          </c:tx>
          <c:spPr>
            <a:solidFill>
              <a:srgbClr val="9999FF"/>
            </a:solidFill>
            <a:ln w="12700">
              <a:solidFill>
                <a:srgbClr val="000000"/>
              </a:solidFill>
              <a:prstDash val="solid"/>
            </a:ln>
          </c:spPr>
          <c:invertIfNegative val="0"/>
          <c:trendline>
            <c:spPr>
              <a:ln w="25400">
                <a:solidFill>
                  <a:srgbClr val="000000"/>
                </a:solidFill>
                <a:prstDash val="solid"/>
              </a:ln>
            </c:spPr>
            <c:trendlineType val="poly"/>
            <c:order val="6"/>
            <c:dispRSqr val="0"/>
            <c:dispEq val="0"/>
          </c:trendline>
          <c:cat>
            <c:numRef>
              <c:f>'Annual Reservoir Trends'!$C$3:$T$3</c:f>
              <c:numCache>
                <c:formatCode>General</c:formatCode>
                <c:ptCount val="1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numCache>
            </c:numRef>
          </c:cat>
          <c:val>
            <c:numRef>
              <c:f>'Annual Reservoir Trends'!$C$4:$T$4</c:f>
              <c:numCache>
                <c:formatCode>0.0</c:formatCode>
                <c:ptCount val="18"/>
                <c:pt idx="0">
                  <c:v>17.670000000000002</c:v>
                </c:pt>
                <c:pt idx="1">
                  <c:v>26.03</c:v>
                </c:pt>
                <c:pt idx="2">
                  <c:v>13.73</c:v>
                </c:pt>
                <c:pt idx="3">
                  <c:v>29.68</c:v>
                </c:pt>
                <c:pt idx="4">
                  <c:v>9.4</c:v>
                </c:pt>
                <c:pt idx="5">
                  <c:v>17.100000000000001</c:v>
                </c:pt>
                <c:pt idx="6">
                  <c:v>8.23</c:v>
                </c:pt>
                <c:pt idx="7">
                  <c:v>4.9000000000000004</c:v>
                </c:pt>
                <c:pt idx="8">
                  <c:v>6.2</c:v>
                </c:pt>
                <c:pt idx="9" formatCode="General">
                  <c:v>23.9</c:v>
                </c:pt>
                <c:pt idx="10" formatCode="General">
                  <c:v>24.6</c:v>
                </c:pt>
                <c:pt idx="11" formatCode="General">
                  <c:v>15.4</c:v>
                </c:pt>
                <c:pt idx="12" formatCode="General">
                  <c:v>14.8</c:v>
                </c:pt>
                <c:pt idx="13" formatCode="General">
                  <c:v>6.6</c:v>
                </c:pt>
                <c:pt idx="14" formatCode="General">
                  <c:v>15.4</c:v>
                </c:pt>
                <c:pt idx="15" formatCode="General">
                  <c:v>9.1</c:v>
                </c:pt>
                <c:pt idx="16" formatCode="General">
                  <c:v>9.3000000000000007</c:v>
                </c:pt>
                <c:pt idx="17" formatCode="General">
                  <c:v>17.3</c:v>
                </c:pt>
              </c:numCache>
            </c:numRef>
          </c:val>
          <c:extLst>
            <c:ext xmlns:c16="http://schemas.microsoft.com/office/drawing/2014/chart" uri="{C3380CC4-5D6E-409C-BE32-E72D297353CC}">
              <c16:uniqueId val="{00000001-5541-4956-809C-8CAE489FE954}"/>
            </c:ext>
          </c:extLst>
        </c:ser>
        <c:ser>
          <c:idx val="1"/>
          <c:order val="1"/>
          <c:tx>
            <c:strRef>
              <c:f>'Annual Reservoir Trends'!$B$5</c:f>
              <c:strCache>
                <c:ptCount val="1"/>
                <c:pt idx="0">
                  <c:v>Mid</c:v>
                </c:pt>
              </c:strCache>
            </c:strRef>
          </c:tx>
          <c:spPr>
            <a:solidFill>
              <a:srgbClr val="FFFFCC"/>
            </a:solidFill>
            <a:ln w="12700">
              <a:solidFill>
                <a:srgbClr val="000000"/>
              </a:solidFill>
              <a:prstDash val="solid"/>
            </a:ln>
          </c:spPr>
          <c:invertIfNegative val="0"/>
          <c:cat>
            <c:numRef>
              <c:f>'Annual Reservoir Trends'!$C$3:$R$3</c:f>
              <c:numCache>
                <c:formatCode>General</c:formatCode>
                <c:ptCount val="16"/>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numCache>
            </c:numRef>
          </c:cat>
          <c:val>
            <c:numRef>
              <c:f>'Annual Reservoir Trends'!$C$5:$M$5</c:f>
              <c:numCache>
                <c:formatCode>0.0</c:formatCode>
                <c:ptCount val="11"/>
                <c:pt idx="0">
                  <c:v>19.82</c:v>
                </c:pt>
                <c:pt idx="1">
                  <c:v>15.51</c:v>
                </c:pt>
                <c:pt idx="2">
                  <c:v>5.85</c:v>
                </c:pt>
                <c:pt idx="3">
                  <c:v>17.02</c:v>
                </c:pt>
                <c:pt idx="4">
                  <c:v>6.2</c:v>
                </c:pt>
                <c:pt idx="5">
                  <c:v>10.3</c:v>
                </c:pt>
                <c:pt idx="6">
                  <c:v>2.4300000000000002</c:v>
                </c:pt>
                <c:pt idx="7">
                  <c:v>5.4</c:v>
                </c:pt>
                <c:pt idx="8">
                  <c:v>5.5</c:v>
                </c:pt>
                <c:pt idx="9" formatCode="General">
                  <c:v>8.9</c:v>
                </c:pt>
                <c:pt idx="10" formatCode="General">
                  <c:v>6.3</c:v>
                </c:pt>
              </c:numCache>
            </c:numRef>
          </c:val>
          <c:extLst>
            <c:ext xmlns:c16="http://schemas.microsoft.com/office/drawing/2014/chart" uri="{C3380CC4-5D6E-409C-BE32-E72D297353CC}">
              <c16:uniqueId val="{00000002-5541-4956-809C-8CAE489FE954}"/>
            </c:ext>
          </c:extLst>
        </c:ser>
        <c:dLbls>
          <c:showLegendKey val="0"/>
          <c:showVal val="0"/>
          <c:showCatName val="0"/>
          <c:showSerName val="0"/>
          <c:showPercent val="0"/>
          <c:showBubbleSize val="0"/>
        </c:dLbls>
        <c:gapWidth val="150"/>
        <c:axId val="111180032"/>
        <c:axId val="118321152"/>
      </c:barChart>
      <c:catAx>
        <c:axId val="111180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Arial"/>
                <a:ea typeface="Arial"/>
                <a:cs typeface="Arial"/>
              </a:defRPr>
            </a:pPr>
            <a:endParaRPr lang="en-US"/>
          </a:p>
        </c:txPr>
        <c:crossAx val="118321152"/>
        <c:crosses val="autoZero"/>
        <c:auto val="1"/>
        <c:lblAlgn val="ctr"/>
        <c:lblOffset val="100"/>
        <c:tickLblSkip val="1"/>
        <c:tickMarkSkip val="1"/>
        <c:noMultiLvlLbl val="0"/>
      </c:catAx>
      <c:valAx>
        <c:axId val="118321152"/>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n-US"/>
          </a:p>
        </c:txPr>
        <c:crossAx val="111180032"/>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legend>
      <c:legendPos val="r"/>
      <c:legendEntry>
        <c:idx val="0"/>
        <c:txPr>
          <a:bodyPr/>
          <a:lstStyle/>
          <a:p>
            <a:pPr>
              <a:defRPr sz="620" b="0" i="0" u="none" strike="noStrike" baseline="0">
                <a:solidFill>
                  <a:srgbClr val="000000"/>
                </a:solidFill>
                <a:latin typeface="Arial"/>
                <a:ea typeface="Arial"/>
                <a:cs typeface="Arial"/>
              </a:defRPr>
            </a:pPr>
            <a:endParaRPr lang="en-US"/>
          </a:p>
        </c:txPr>
      </c:legendEntry>
      <c:legendEntry>
        <c:idx val="1"/>
        <c:txPr>
          <a:bodyPr/>
          <a:lstStyle/>
          <a:p>
            <a:pPr>
              <a:defRPr sz="620" b="0" i="0" u="none" strike="noStrike" baseline="0">
                <a:solidFill>
                  <a:srgbClr val="000000"/>
                </a:solidFill>
                <a:latin typeface="Arial"/>
                <a:ea typeface="Arial"/>
                <a:cs typeface="Arial"/>
              </a:defRPr>
            </a:pPr>
            <a:endParaRPr lang="en-US"/>
          </a:p>
        </c:txPr>
      </c:legendEntry>
      <c:layout>
        <c:manualLayout>
          <c:xMode val="edge"/>
          <c:yMode val="edge"/>
          <c:x val="0.74899745965492748"/>
          <c:y val="0.17479760151933288"/>
          <c:w val="0.23895624492722542"/>
          <c:h val="0.18292768282014549"/>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Bear Creek Reservoir - Nitrate Trends </a:t>
            </a:r>
          </a:p>
        </c:rich>
      </c:tx>
      <c:layout>
        <c:manualLayout>
          <c:xMode val="edge"/>
          <c:yMode val="edge"/>
          <c:x val="0.27966607036375496"/>
          <c:y val="4.1431261770244816E-2"/>
        </c:manualLayout>
      </c:layout>
      <c:overlay val="0"/>
      <c:spPr>
        <a:noFill/>
        <a:ln w="25400">
          <a:noFill/>
        </a:ln>
      </c:spPr>
    </c:title>
    <c:autoTitleDeleted val="0"/>
    <c:plotArea>
      <c:layout>
        <c:manualLayout>
          <c:layoutTarget val="inner"/>
          <c:xMode val="edge"/>
          <c:yMode val="edge"/>
          <c:x val="0.14490173658820382"/>
          <c:y val="0.12994386129463856"/>
          <c:w val="0.83005439230768563"/>
          <c:h val="0.70056690437109459"/>
        </c:manualLayout>
      </c:layout>
      <c:lineChart>
        <c:grouping val="standard"/>
        <c:varyColors val="0"/>
        <c:ser>
          <c:idx val="0"/>
          <c:order val="0"/>
          <c:tx>
            <c:strRef>
              <c:f>'Nitrate Trends'!$A$95</c:f>
              <c:strCache>
                <c:ptCount val="1"/>
                <c:pt idx="0">
                  <c:v>Average Inflow</c:v>
                </c:pt>
              </c:strCache>
            </c:strRef>
          </c:tx>
          <c:spPr>
            <a:ln w="38100">
              <a:solidFill>
                <a:srgbClr val="000080"/>
              </a:solidFill>
              <a:prstDash val="solid"/>
            </a:ln>
          </c:spPr>
          <c:marker>
            <c:symbol val="diamond"/>
            <c:size val="9"/>
            <c:spPr>
              <a:solidFill>
                <a:srgbClr val="000080"/>
              </a:solidFill>
              <a:ln>
                <a:solidFill>
                  <a:srgbClr val="000080"/>
                </a:solidFill>
                <a:prstDash val="solid"/>
              </a:ln>
            </c:spPr>
          </c:marker>
          <c:cat>
            <c:numRef>
              <c:f>'Nitrate Trends'!$B$96:$B$116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'Nitrate Trends'!$C$96:$C$116</c:f>
              <c:numCache>
                <c:formatCode>0</c:formatCode>
                <c:ptCount val="21"/>
                <c:pt idx="0">
                  <c:v>1334</c:v>
                </c:pt>
                <c:pt idx="1">
                  <c:v>1936</c:v>
                </c:pt>
                <c:pt idx="2">
                  <c:v>1238.5</c:v>
                </c:pt>
                <c:pt idx="3">
                  <c:v>1217.5</c:v>
                </c:pt>
                <c:pt idx="4">
                  <c:v>1204</c:v>
                </c:pt>
                <c:pt idx="5">
                  <c:v>992.875</c:v>
                </c:pt>
                <c:pt idx="6">
                  <c:v>609.06218750000005</c:v>
                </c:pt>
                <c:pt idx="7">
                  <c:v>530.5</c:v>
                </c:pt>
                <c:pt idx="8">
                  <c:v>356.5</c:v>
                </c:pt>
                <c:pt idx="9">
                  <c:v>1143</c:v>
                </c:pt>
                <c:pt idx="10">
                  <c:v>730</c:v>
                </c:pt>
                <c:pt idx="11">
                  <c:v>2500</c:v>
                </c:pt>
                <c:pt idx="12">
                  <c:v>1260.5</c:v>
                </c:pt>
                <c:pt idx="13">
                  <c:v>414.5</c:v>
                </c:pt>
                <c:pt idx="14">
                  <c:v>790.5</c:v>
                </c:pt>
                <c:pt idx="15">
                  <c:v>994.5</c:v>
                </c:pt>
                <c:pt idx="16">
                  <c:v>578.5</c:v>
                </c:pt>
                <c:pt idx="17">
                  <c:v>882</c:v>
                </c:pt>
                <c:pt idx="18">
                  <c:v>670</c:v>
                </c:pt>
                <c:pt idx="19">
                  <c:v>932.5</c:v>
                </c:pt>
                <c:pt idx="20">
                  <c:v>596.5</c:v>
                </c:pt>
              </c:numCache>
            </c:numRef>
          </c:val>
          <c:smooth val="0"/>
          <c:extLst>
            <c:ext xmlns:c16="http://schemas.microsoft.com/office/drawing/2014/chart" uri="{C3380CC4-5D6E-409C-BE32-E72D297353CC}">
              <c16:uniqueId val="{00000000-1960-4332-B165-5C7B9FF1FFE5}"/>
            </c:ext>
          </c:extLst>
        </c:ser>
        <c:ser>
          <c:idx val="1"/>
          <c:order val="1"/>
          <c:tx>
            <c:strRef>
              <c:f>'Nitrate Trends'!$E$72</c:f>
              <c:strCache>
                <c:ptCount val="1"/>
                <c:pt idx="0">
                  <c:v>Reservoir Outflow</c:v>
                </c:pt>
              </c:strCache>
            </c:strRef>
          </c:tx>
          <c:spPr>
            <a:ln w="28575">
              <a:solidFill>
                <a:srgbClr val="FF00FF"/>
              </a:solidFill>
              <a:prstDash val="solid"/>
            </a:ln>
          </c:spPr>
          <c:marker>
            <c:symbol val="square"/>
            <c:size val="5"/>
            <c:spPr>
              <a:solidFill>
                <a:srgbClr val="FF00FF"/>
              </a:solidFill>
              <a:ln>
                <a:solidFill>
                  <a:srgbClr val="FF00FF"/>
                </a:solidFill>
                <a:prstDash val="solid"/>
              </a:ln>
            </c:spPr>
          </c:marker>
          <c:cat>
            <c:numRef>
              <c:f>'Nitrate Trends'!$B$96:$B$116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'Nitrate Trends'!$G$72:$G$92</c:f>
              <c:numCache>
                <c:formatCode>0</c:formatCode>
                <c:ptCount val="21"/>
                <c:pt idx="0">
                  <c:v>589</c:v>
                </c:pt>
                <c:pt idx="1">
                  <c:v>325</c:v>
                </c:pt>
                <c:pt idx="2">
                  <c:v>431</c:v>
                </c:pt>
                <c:pt idx="3">
                  <c:v>351</c:v>
                </c:pt>
                <c:pt idx="4">
                  <c:v>491</c:v>
                </c:pt>
                <c:pt idx="5">
                  <c:v>579.375</c:v>
                </c:pt>
                <c:pt idx="6">
                  <c:v>520.40125</c:v>
                </c:pt>
                <c:pt idx="7">
                  <c:v>405</c:v>
                </c:pt>
                <c:pt idx="8">
                  <c:v>226</c:v>
                </c:pt>
                <c:pt idx="9">
                  <c:v>437</c:v>
                </c:pt>
                <c:pt idx="10">
                  <c:v>388</c:v>
                </c:pt>
                <c:pt idx="11">
                  <c:v>280</c:v>
                </c:pt>
                <c:pt idx="12">
                  <c:v>268</c:v>
                </c:pt>
                <c:pt idx="13">
                  <c:v>247</c:v>
                </c:pt>
                <c:pt idx="14">
                  <c:v>233</c:v>
                </c:pt>
                <c:pt idx="15">
                  <c:v>196</c:v>
                </c:pt>
                <c:pt idx="16">
                  <c:v>261</c:v>
                </c:pt>
                <c:pt idx="17">
                  <c:v>220</c:v>
                </c:pt>
                <c:pt idx="18">
                  <c:v>280</c:v>
                </c:pt>
                <c:pt idx="19">
                  <c:v>278</c:v>
                </c:pt>
                <c:pt idx="20">
                  <c:v>173</c:v>
                </c:pt>
              </c:numCache>
            </c:numRef>
          </c:val>
          <c:smooth val="0"/>
          <c:extLst>
            <c:ext xmlns:c16="http://schemas.microsoft.com/office/drawing/2014/chart" uri="{C3380CC4-5D6E-409C-BE32-E72D297353CC}">
              <c16:uniqueId val="{00000001-1960-4332-B165-5C7B9FF1FFE5}"/>
            </c:ext>
          </c:extLst>
        </c:ser>
        <c:ser>
          <c:idx val="2"/>
          <c:order val="2"/>
          <c:tx>
            <c:strRef>
              <c:f>'Nitrate Trends'!$E$95</c:f>
              <c:strCache>
                <c:ptCount val="1"/>
                <c:pt idx="0">
                  <c:v>Retained in Reservoir</c:v>
                </c:pt>
              </c:strCache>
            </c:strRef>
          </c:tx>
          <c:spPr>
            <a:ln w="38100">
              <a:solidFill>
                <a:srgbClr val="FF0000"/>
              </a:solidFill>
              <a:prstDash val="solid"/>
            </a:ln>
          </c:spPr>
          <c:marker>
            <c:symbol val="triangle"/>
            <c:size val="6"/>
            <c:spPr>
              <a:solidFill>
                <a:srgbClr val="FF0000"/>
              </a:solidFill>
              <a:ln>
                <a:solidFill>
                  <a:srgbClr val="FF0000"/>
                </a:solidFill>
                <a:prstDash val="solid"/>
              </a:ln>
            </c:spPr>
          </c:marker>
          <c:cat>
            <c:numRef>
              <c:f>'Nitrate Trends'!$B$96:$B$116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'Nitrate Trends'!$G$95:$G$115</c:f>
              <c:numCache>
                <c:formatCode>0</c:formatCode>
                <c:ptCount val="21"/>
                <c:pt idx="0">
                  <c:v>745</c:v>
                </c:pt>
                <c:pt idx="1">
                  <c:v>1611</c:v>
                </c:pt>
                <c:pt idx="2">
                  <c:v>807.5</c:v>
                </c:pt>
                <c:pt idx="3">
                  <c:v>866.5</c:v>
                </c:pt>
                <c:pt idx="4">
                  <c:v>713</c:v>
                </c:pt>
                <c:pt idx="5">
                  <c:v>413.5</c:v>
                </c:pt>
                <c:pt idx="6">
                  <c:v>88.660937500000045</c:v>
                </c:pt>
                <c:pt idx="7">
                  <c:v>125.5</c:v>
                </c:pt>
                <c:pt idx="8">
                  <c:v>130.5</c:v>
                </c:pt>
                <c:pt idx="9">
                  <c:v>706</c:v>
                </c:pt>
                <c:pt idx="10">
                  <c:v>342</c:v>
                </c:pt>
                <c:pt idx="11">
                  <c:v>2220</c:v>
                </c:pt>
                <c:pt idx="12">
                  <c:v>992.5</c:v>
                </c:pt>
                <c:pt idx="13">
                  <c:v>167.5</c:v>
                </c:pt>
                <c:pt idx="14">
                  <c:v>557.5</c:v>
                </c:pt>
                <c:pt idx="15">
                  <c:v>798.5</c:v>
                </c:pt>
                <c:pt idx="16">
                  <c:v>317.5</c:v>
                </c:pt>
                <c:pt idx="17">
                  <c:v>662</c:v>
                </c:pt>
                <c:pt idx="18">
                  <c:v>390</c:v>
                </c:pt>
                <c:pt idx="19">
                  <c:v>654.5</c:v>
                </c:pt>
                <c:pt idx="20">
                  <c:v>423.5</c:v>
                </c:pt>
              </c:numCache>
            </c:numRef>
          </c:val>
          <c:smooth val="0"/>
          <c:extLst>
            <c:ext xmlns:c16="http://schemas.microsoft.com/office/drawing/2014/chart" uri="{C3380CC4-5D6E-409C-BE32-E72D297353CC}">
              <c16:uniqueId val="{00000002-1960-4332-B165-5C7B9FF1FFE5}"/>
            </c:ext>
          </c:extLst>
        </c:ser>
        <c:dLbls>
          <c:showLegendKey val="0"/>
          <c:showVal val="0"/>
          <c:showCatName val="0"/>
          <c:showSerName val="0"/>
          <c:showPercent val="0"/>
          <c:showBubbleSize val="0"/>
        </c:dLbls>
        <c:marker val="1"/>
        <c:smooth val="0"/>
        <c:axId val="89492096"/>
        <c:axId val="89498368"/>
      </c:lineChart>
      <c:catAx>
        <c:axId val="89492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0000"/>
                </a:solidFill>
                <a:latin typeface="Arial"/>
                <a:ea typeface="Arial"/>
                <a:cs typeface="Arial"/>
              </a:defRPr>
            </a:pPr>
            <a:endParaRPr lang="en-US"/>
          </a:p>
        </c:txPr>
        <c:crossAx val="89498368"/>
        <c:crossesAt val="-500"/>
        <c:auto val="1"/>
        <c:lblAlgn val="ctr"/>
        <c:lblOffset val="100"/>
        <c:tickLblSkip val="1"/>
        <c:tickMarkSkip val="1"/>
        <c:noMultiLvlLbl val="0"/>
      </c:catAx>
      <c:valAx>
        <c:axId val="89498368"/>
        <c:scaling>
          <c:orientation val="minMax"/>
        </c:scaling>
        <c:delete val="0"/>
        <c:axPos val="l"/>
        <c:majorGridlines>
          <c:spPr>
            <a:ln w="3175">
              <a:solidFill>
                <a:srgbClr val="000000"/>
              </a:solidFill>
              <a:prstDash val="solid"/>
            </a:ln>
          </c:spPr>
        </c:majorGridlines>
        <c:minorGridlines/>
        <c:title>
          <c:tx>
            <c:rich>
              <a:bodyPr/>
              <a:lstStyle/>
              <a:p>
                <a:pPr>
                  <a:defRPr sz="975" b="1" i="0" u="none" strike="noStrike" baseline="0">
                    <a:solidFill>
                      <a:srgbClr val="000000"/>
                    </a:solidFill>
                    <a:latin typeface="Arial"/>
                    <a:ea typeface="Arial"/>
                    <a:cs typeface="Arial"/>
                  </a:defRPr>
                </a:pPr>
                <a:r>
                  <a:rPr lang="en-US"/>
                  <a:t>Nitrate (ug/l)</a:t>
                </a:r>
              </a:p>
            </c:rich>
          </c:tx>
          <c:layout>
            <c:manualLayout>
              <c:xMode val="edge"/>
              <c:yMode val="edge"/>
              <c:x val="3.7567084078711989E-2"/>
              <c:y val="0.364407669380328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89492096"/>
        <c:crosses val="autoZero"/>
        <c:crossBetween val="between"/>
      </c:valAx>
      <c:spPr>
        <a:solidFill>
          <a:schemeClr val="bg1"/>
        </a:solidFill>
        <a:ln w="12700">
          <a:solidFill>
            <a:srgbClr val="808080"/>
          </a:solidFill>
          <a:prstDash val="solid"/>
        </a:ln>
      </c:spPr>
    </c:plotArea>
    <c:legend>
      <c:legendPos val="r"/>
      <c:layout>
        <c:manualLayout>
          <c:xMode val="edge"/>
          <c:yMode val="edge"/>
          <c:x val="0.18604668309591096"/>
          <c:y val="0.15470088037360469"/>
          <c:w val="0.35241540245751934"/>
          <c:h val="0.14044268989537106"/>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8/8/2011</a:t>
            </a:r>
          </a:p>
        </c:rich>
      </c:tx>
      <c:overlay val="0"/>
    </c:title>
    <c:autoTitleDeleted val="0"/>
    <c:plotArea>
      <c:layout/>
      <c:lineChart>
        <c:grouping val="standard"/>
        <c:varyColors val="0"/>
        <c:ser>
          <c:idx val="0"/>
          <c:order val="0"/>
          <c:tx>
            <c:strRef>
              <c:f>'8-8-11'!$B$7</c:f>
              <c:strCache>
                <c:ptCount val="1"/>
                <c:pt idx="0">
                  <c:v>Site 40 (CP)</c:v>
                </c:pt>
              </c:strCache>
            </c:strRef>
          </c:tx>
          <c:cat>
            <c:strRef>
              <c:f>'8-8-11'!$A$8:$A$22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'8-8-11'!$F$8:$F$22</c:f>
              <c:numCache>
                <c:formatCode>General</c:formatCode>
                <c:ptCount val="15"/>
                <c:pt idx="0">
                  <c:v>8.17</c:v>
                </c:pt>
                <c:pt idx="1">
                  <c:v>8.17</c:v>
                </c:pt>
                <c:pt idx="2">
                  <c:v>8.14</c:v>
                </c:pt>
                <c:pt idx="3">
                  <c:v>8.14</c:v>
                </c:pt>
                <c:pt idx="4">
                  <c:v>8.11</c:v>
                </c:pt>
                <c:pt idx="5">
                  <c:v>8.11</c:v>
                </c:pt>
                <c:pt idx="6">
                  <c:v>8.07</c:v>
                </c:pt>
                <c:pt idx="7">
                  <c:v>8.0500000000000007</c:v>
                </c:pt>
                <c:pt idx="8">
                  <c:v>8.01</c:v>
                </c:pt>
                <c:pt idx="9">
                  <c:v>8.01</c:v>
                </c:pt>
                <c:pt idx="10">
                  <c:v>7.91</c:v>
                </c:pt>
                <c:pt idx="11">
                  <c:v>7.83</c:v>
                </c:pt>
                <c:pt idx="12">
                  <c:v>7.83</c:v>
                </c:pt>
                <c:pt idx="13">
                  <c:v>7.81</c:v>
                </c:pt>
                <c:pt idx="14">
                  <c:v>7.76</c:v>
                </c:pt>
              </c:numCache>
            </c:numRef>
          </c:val>
          <c:smooth val="0"/>
          <c:extLst>
            <c:ext xmlns:c16="http://schemas.microsoft.com/office/drawing/2014/chart" uri="{C3380CC4-5D6E-409C-BE32-E72D297353CC}">
              <c16:uniqueId val="{00000000-2D3F-4DB6-A528-54BF3430626F}"/>
            </c:ext>
          </c:extLst>
        </c:ser>
        <c:ser>
          <c:idx val="1"/>
          <c:order val="1"/>
          <c:tx>
            <c:strRef>
              <c:f>'8-8-11'!$A$44</c:f>
              <c:strCache>
                <c:ptCount val="1"/>
                <c:pt idx="0">
                  <c:v>Site 41 (1)</c:v>
                </c:pt>
              </c:strCache>
            </c:strRef>
          </c:tx>
          <c:val>
            <c:numRef>
              <c:f>'8-8-11'!$F$45:$F$54</c:f>
              <c:numCache>
                <c:formatCode>General</c:formatCode>
                <c:ptCount val="10"/>
                <c:pt idx="0">
                  <c:v>8.26</c:v>
                </c:pt>
                <c:pt idx="1">
                  <c:v>8.25</c:v>
                </c:pt>
                <c:pt idx="2">
                  <c:v>8.2200000000000006</c:v>
                </c:pt>
                <c:pt idx="3">
                  <c:v>8.16</c:v>
                </c:pt>
                <c:pt idx="4">
                  <c:v>8.07</c:v>
                </c:pt>
                <c:pt idx="5">
                  <c:v>8.0299999999999994</c:v>
                </c:pt>
                <c:pt idx="6">
                  <c:v>7.99</c:v>
                </c:pt>
                <c:pt idx="7">
                  <c:v>7.96</c:v>
                </c:pt>
                <c:pt idx="8">
                  <c:v>7.94</c:v>
                </c:pt>
                <c:pt idx="9">
                  <c:v>7.73</c:v>
                </c:pt>
              </c:numCache>
            </c:numRef>
          </c:val>
          <c:smooth val="0"/>
          <c:extLst>
            <c:ext xmlns:c16="http://schemas.microsoft.com/office/drawing/2014/chart" uri="{C3380CC4-5D6E-409C-BE32-E72D297353CC}">
              <c16:uniqueId val="{00000001-2D3F-4DB6-A528-54BF3430626F}"/>
            </c:ext>
          </c:extLst>
        </c:ser>
        <c:ser>
          <c:idx val="2"/>
          <c:order val="2"/>
          <c:tx>
            <c:strRef>
              <c:f>'8-8-11'!$A$58</c:f>
              <c:strCache>
                <c:ptCount val="1"/>
                <c:pt idx="0">
                  <c:v>Site 42 (3)</c:v>
                </c:pt>
              </c:strCache>
            </c:strRef>
          </c:tx>
          <c:val>
            <c:numRef>
              <c:f>'8-8-11'!$F$59:$F$67</c:f>
              <c:numCache>
                <c:formatCode>General</c:formatCode>
                <c:ptCount val="9"/>
                <c:pt idx="0">
                  <c:v>8.09</c:v>
                </c:pt>
                <c:pt idx="1">
                  <c:v>8.1300000000000008</c:v>
                </c:pt>
                <c:pt idx="2">
                  <c:v>8.1999999999999993</c:v>
                </c:pt>
                <c:pt idx="3">
                  <c:v>8.24</c:v>
                </c:pt>
                <c:pt idx="4">
                  <c:v>8.1</c:v>
                </c:pt>
                <c:pt idx="5">
                  <c:v>8.1300000000000008</c:v>
                </c:pt>
                <c:pt idx="6">
                  <c:v>8.1199999999999992</c:v>
                </c:pt>
                <c:pt idx="7">
                  <c:v>8.1199999999999992</c:v>
                </c:pt>
                <c:pt idx="8">
                  <c:v>8.07</c:v>
                </c:pt>
              </c:numCache>
            </c:numRef>
          </c:val>
          <c:smooth val="0"/>
          <c:extLst>
            <c:ext xmlns:c16="http://schemas.microsoft.com/office/drawing/2014/chart" uri="{C3380CC4-5D6E-409C-BE32-E72D297353CC}">
              <c16:uniqueId val="{00000002-2D3F-4DB6-A528-54BF3430626F}"/>
            </c:ext>
          </c:extLst>
        </c:ser>
        <c:ser>
          <c:idx val="3"/>
          <c:order val="3"/>
          <c:tx>
            <c:strRef>
              <c:f>'8-8-11'!$A$72</c:f>
              <c:strCache>
                <c:ptCount val="1"/>
                <c:pt idx="0">
                  <c:v>Site 43 (4)</c:v>
                </c:pt>
              </c:strCache>
            </c:strRef>
          </c:tx>
          <c:val>
            <c:numRef>
              <c:f>'8-8-11'!$F$73:$F$80</c:f>
              <c:numCache>
                <c:formatCode>General</c:formatCode>
                <c:ptCount val="8"/>
                <c:pt idx="0">
                  <c:v>8.56</c:v>
                </c:pt>
                <c:pt idx="1">
                  <c:v>8.56</c:v>
                </c:pt>
                <c:pt idx="2">
                  <c:v>8.5</c:v>
                </c:pt>
                <c:pt idx="3">
                  <c:v>8.48</c:v>
                </c:pt>
                <c:pt idx="4">
                  <c:v>8.43</c:v>
                </c:pt>
                <c:pt idx="5">
                  <c:v>8.43</c:v>
                </c:pt>
                <c:pt idx="6">
                  <c:v>8.4600000000000009</c:v>
                </c:pt>
                <c:pt idx="7">
                  <c:v>8.44</c:v>
                </c:pt>
              </c:numCache>
            </c:numRef>
          </c:val>
          <c:smooth val="0"/>
          <c:extLst>
            <c:ext xmlns:c16="http://schemas.microsoft.com/office/drawing/2014/chart" uri="{C3380CC4-5D6E-409C-BE32-E72D297353CC}">
              <c16:uniqueId val="{00000003-2D3F-4DB6-A528-54BF3430626F}"/>
            </c:ext>
          </c:extLst>
        </c:ser>
        <c:ser>
          <c:idx val="4"/>
          <c:order val="4"/>
          <c:tx>
            <c:strRef>
              <c:f>'8-8-11'!$A$83</c:f>
              <c:strCache>
                <c:ptCount val="1"/>
                <c:pt idx="0">
                  <c:v>Site 44 (5)</c:v>
                </c:pt>
              </c:strCache>
            </c:strRef>
          </c:tx>
          <c:val>
            <c:numRef>
              <c:f>'8-8-11'!$F$84:$F$94</c:f>
              <c:numCache>
                <c:formatCode>General</c:formatCode>
                <c:ptCount val="11"/>
                <c:pt idx="0">
                  <c:v>8.23</c:v>
                </c:pt>
                <c:pt idx="1">
                  <c:v>8.2200000000000006</c:v>
                </c:pt>
                <c:pt idx="2">
                  <c:v>8.2200000000000006</c:v>
                </c:pt>
                <c:pt idx="3">
                  <c:v>8.2100000000000009</c:v>
                </c:pt>
                <c:pt idx="4">
                  <c:v>8.08</c:v>
                </c:pt>
                <c:pt idx="5">
                  <c:v>8.15</c:v>
                </c:pt>
                <c:pt idx="6">
                  <c:v>8.09</c:v>
                </c:pt>
                <c:pt idx="7">
                  <c:v>8.0299999999999994</c:v>
                </c:pt>
                <c:pt idx="8">
                  <c:v>8.0299999999999994</c:v>
                </c:pt>
                <c:pt idx="9">
                  <c:v>8.0399999999999991</c:v>
                </c:pt>
                <c:pt idx="10">
                  <c:v>7.93</c:v>
                </c:pt>
              </c:numCache>
            </c:numRef>
          </c:val>
          <c:smooth val="0"/>
          <c:extLst>
            <c:ext xmlns:c16="http://schemas.microsoft.com/office/drawing/2014/chart" uri="{C3380CC4-5D6E-409C-BE32-E72D297353CC}">
              <c16:uniqueId val="{00000004-2D3F-4DB6-A528-54BF3430626F}"/>
            </c:ext>
          </c:extLst>
        </c:ser>
        <c:dLbls>
          <c:showLegendKey val="0"/>
          <c:showVal val="0"/>
          <c:showCatName val="0"/>
          <c:showSerName val="0"/>
          <c:showPercent val="0"/>
          <c:showBubbleSize val="0"/>
        </c:dLbls>
        <c:marker val="1"/>
        <c:smooth val="0"/>
        <c:axId val="155347584"/>
        <c:axId val="155361664"/>
      </c:lineChart>
      <c:catAx>
        <c:axId val="155347584"/>
        <c:scaling>
          <c:orientation val="minMax"/>
        </c:scaling>
        <c:delete val="0"/>
        <c:axPos val="b"/>
        <c:numFmt formatCode="General" sourceLinked="0"/>
        <c:majorTickMark val="none"/>
        <c:minorTickMark val="none"/>
        <c:tickLblPos val="nextTo"/>
        <c:crossAx val="155361664"/>
        <c:crosses val="autoZero"/>
        <c:auto val="1"/>
        <c:lblAlgn val="ctr"/>
        <c:lblOffset val="100"/>
        <c:noMultiLvlLbl val="0"/>
      </c:catAx>
      <c:valAx>
        <c:axId val="155361664"/>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55347584"/>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(8/22/2011)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922"/>
        </c:manualLayout>
      </c:layout>
      <c:lineChart>
        <c:grouping val="standard"/>
        <c:varyColors val="0"/>
        <c:ser>
          <c:idx val="0"/>
          <c:order val="0"/>
          <c:tx>
            <c:strRef>
              <c:f>'8-22-11'!$D$3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'8-22-11'!$D$8:$D$22</c:f>
              <c:numCache>
                <c:formatCode>General</c:formatCode>
                <c:ptCount val="15"/>
                <c:pt idx="0">
                  <c:v>7.35</c:v>
                </c:pt>
                <c:pt idx="1">
                  <c:v>7.49</c:v>
                </c:pt>
                <c:pt idx="2">
                  <c:v>7.51</c:v>
                </c:pt>
                <c:pt idx="3">
                  <c:v>7.47</c:v>
                </c:pt>
                <c:pt idx="4">
                  <c:v>7.13</c:v>
                </c:pt>
                <c:pt idx="5">
                  <c:v>7.24</c:v>
                </c:pt>
                <c:pt idx="6">
                  <c:v>7.21</c:v>
                </c:pt>
                <c:pt idx="7">
                  <c:v>7.18</c:v>
                </c:pt>
                <c:pt idx="8">
                  <c:v>7.17</c:v>
                </c:pt>
                <c:pt idx="9" formatCode="0.00">
                  <c:v>6.95</c:v>
                </c:pt>
                <c:pt idx="10" formatCode="0.00">
                  <c:v>6.96</c:v>
                </c:pt>
                <c:pt idx="11" formatCode="0.00">
                  <c:v>6.56</c:v>
                </c:pt>
                <c:pt idx="12" formatCode="0.00">
                  <c:v>6.55</c:v>
                </c:pt>
                <c:pt idx="13" formatCode="0.00">
                  <c:v>6.24</c:v>
                </c:pt>
                <c:pt idx="14">
                  <c:v>6.42</c:v>
                </c:pt>
              </c:numCache>
            </c:numRef>
          </c:val>
          <c:smooth val="0"/>
          <c:extLst>
            <c:ext xmlns:c16="http://schemas.microsoft.com/office/drawing/2014/chart" uri="{C3380CC4-5D6E-409C-BE32-E72D297353CC}">
              <c16:uniqueId val="{00000000-58E9-47E5-A08A-4063E7830022}"/>
            </c:ext>
          </c:extLst>
        </c:ser>
        <c:ser>
          <c:idx val="1"/>
          <c:order val="1"/>
          <c:tx>
            <c:strRef>
              <c:f>'8-22-11'!$E$3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'8-22-11'!$E$8:$E$22</c:f>
              <c:numCache>
                <c:formatCode>General</c:formatCode>
                <c:ptCount val="15"/>
                <c:pt idx="0">
                  <c:v>22.4</c:v>
                </c:pt>
                <c:pt idx="1">
                  <c:v>22.3</c:v>
                </c:pt>
                <c:pt idx="2">
                  <c:v>22.2</c:v>
                </c:pt>
                <c:pt idx="3">
                  <c:v>22.2</c:v>
                </c:pt>
                <c:pt idx="4">
                  <c:v>22.2</c:v>
                </c:pt>
                <c:pt idx="5">
                  <c:v>22.2</c:v>
                </c:pt>
                <c:pt idx="6">
                  <c:v>22.2</c:v>
                </c:pt>
                <c:pt idx="7">
                  <c:v>22.2</c:v>
                </c:pt>
                <c:pt idx="8">
                  <c:v>22.2</c:v>
                </c:pt>
                <c:pt idx="9">
                  <c:v>22.2</c:v>
                </c:pt>
                <c:pt idx="10">
                  <c:v>22.2</c:v>
                </c:pt>
                <c:pt idx="11">
                  <c:v>22.1</c:v>
                </c:pt>
                <c:pt idx="12">
                  <c:v>22</c:v>
                </c:pt>
                <c:pt idx="13">
                  <c:v>21.9</c:v>
                </c:pt>
                <c:pt idx="14">
                  <c:v>21.5</c:v>
                </c:pt>
              </c:numCache>
            </c:numRef>
          </c:val>
          <c:smooth val="0"/>
          <c:extLst>
            <c:ext xmlns:c16="http://schemas.microsoft.com/office/drawing/2014/chart" uri="{C3380CC4-5D6E-409C-BE32-E72D297353CC}">
              <c16:uniqueId val="{00000001-58E9-47E5-A08A-4063E7830022}"/>
            </c:ext>
          </c:extLst>
        </c:ser>
        <c:dLbls>
          <c:showLegendKey val="0"/>
          <c:showVal val="0"/>
          <c:showCatName val="0"/>
          <c:showSerName val="0"/>
          <c:showPercent val="0"/>
          <c:showBubbleSize val="0"/>
        </c:dLbls>
        <c:smooth val="0"/>
        <c:axId val="156218880"/>
        <c:axId val="156220416"/>
      </c:lineChart>
      <c:catAx>
        <c:axId val="156218880"/>
        <c:scaling>
          <c:orientation val="minMax"/>
        </c:scaling>
        <c:delete val="0"/>
        <c:axPos val="b"/>
        <c:minorGridlines/>
        <c:numFmt formatCode="General" sourceLinked="0"/>
        <c:majorTickMark val="out"/>
        <c:minorTickMark val="none"/>
        <c:tickLblPos val="nextTo"/>
        <c:crossAx val="156220416"/>
        <c:crosses val="autoZero"/>
        <c:auto val="1"/>
        <c:lblAlgn val="ctr"/>
        <c:lblOffset val="100"/>
        <c:noMultiLvlLbl val="0"/>
      </c:catAx>
      <c:valAx>
        <c:axId val="156220416"/>
        <c:scaling>
          <c:orientation val="minMax"/>
        </c:scaling>
        <c:delete val="0"/>
        <c:axPos val="l"/>
        <c:majorGridlines/>
        <c:minorGridlines/>
        <c:numFmt formatCode="General" sourceLinked="1"/>
        <c:majorTickMark val="out"/>
        <c:minorTickMark val="none"/>
        <c:tickLblPos val="nextTo"/>
        <c:crossAx val="156218880"/>
        <c:crosses val="autoZero"/>
        <c:crossBetween val="midCat"/>
      </c:valAx>
    </c:plotArea>
    <c:legend>
      <c:legendPos val="r"/>
      <c:layout>
        <c:manualLayout>
          <c:xMode val="edge"/>
          <c:yMode val="edge"/>
          <c:x val="9.7378256810132499E-2"/>
          <c:y val="0.35401311655403489"/>
          <c:w val="0.1474862204724488"/>
          <c:h val="0.15758530183727931"/>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465" l="0.70000000000000062" r="0.70000000000000062" t="0.7500000000000146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8/22/2011</a:t>
            </a:r>
          </a:p>
        </c:rich>
      </c:tx>
      <c:overlay val="0"/>
    </c:title>
    <c:autoTitleDeleted val="0"/>
    <c:plotArea>
      <c:layout/>
      <c:lineChart>
        <c:grouping val="standard"/>
        <c:varyColors val="0"/>
        <c:ser>
          <c:idx val="0"/>
          <c:order val="0"/>
          <c:tx>
            <c:strRef>
              <c:f>'8-22-11'!$B$7</c:f>
              <c:strCache>
                <c:ptCount val="1"/>
                <c:pt idx="0">
                  <c:v>Site 40 (CP)</c:v>
                </c:pt>
              </c:strCache>
            </c:strRef>
          </c:tx>
          <c:cat>
            <c:strRef>
              <c:f>'8-22-11'!$A$8:$A$22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'8-22-11'!$D$8:$D$22</c:f>
              <c:numCache>
                <c:formatCode>General</c:formatCode>
                <c:ptCount val="15"/>
                <c:pt idx="0">
                  <c:v>7.35</c:v>
                </c:pt>
                <c:pt idx="1">
                  <c:v>7.49</c:v>
                </c:pt>
                <c:pt idx="2">
                  <c:v>7.51</c:v>
                </c:pt>
                <c:pt idx="3">
                  <c:v>7.47</c:v>
                </c:pt>
                <c:pt idx="4">
                  <c:v>7.13</c:v>
                </c:pt>
                <c:pt idx="5">
                  <c:v>7.24</c:v>
                </c:pt>
                <c:pt idx="6">
                  <c:v>7.21</c:v>
                </c:pt>
                <c:pt idx="7">
                  <c:v>7.18</c:v>
                </c:pt>
                <c:pt idx="8">
                  <c:v>7.17</c:v>
                </c:pt>
                <c:pt idx="9" formatCode="0.00">
                  <c:v>6.95</c:v>
                </c:pt>
                <c:pt idx="10" formatCode="0.00">
                  <c:v>6.96</c:v>
                </c:pt>
                <c:pt idx="11" formatCode="0.00">
                  <c:v>6.56</c:v>
                </c:pt>
                <c:pt idx="12" formatCode="0.00">
                  <c:v>6.55</c:v>
                </c:pt>
                <c:pt idx="13" formatCode="0.00">
                  <c:v>6.24</c:v>
                </c:pt>
                <c:pt idx="14">
                  <c:v>6.42</c:v>
                </c:pt>
              </c:numCache>
            </c:numRef>
          </c:val>
          <c:smooth val="0"/>
          <c:extLst>
            <c:ext xmlns:c16="http://schemas.microsoft.com/office/drawing/2014/chart" uri="{C3380CC4-5D6E-409C-BE32-E72D297353CC}">
              <c16:uniqueId val="{00000000-FB8A-4C7F-A15F-D76B4209CFDE}"/>
            </c:ext>
          </c:extLst>
        </c:ser>
        <c:ser>
          <c:idx val="1"/>
          <c:order val="1"/>
          <c:tx>
            <c:strRef>
              <c:f>'8-22-11'!$A$44</c:f>
              <c:strCache>
                <c:ptCount val="1"/>
                <c:pt idx="0">
                  <c:v>Site 41 (1)</c:v>
                </c:pt>
              </c:strCache>
            </c:strRef>
          </c:tx>
          <c:val>
            <c:numRef>
              <c:f>'8-22-11'!$D$45:$D$56</c:f>
              <c:numCache>
                <c:formatCode>General</c:formatCode>
                <c:ptCount val="12"/>
                <c:pt idx="0">
                  <c:v>7.54</c:v>
                </c:pt>
                <c:pt idx="1">
                  <c:v>7.4</c:v>
                </c:pt>
                <c:pt idx="2">
                  <c:v>6.99</c:v>
                </c:pt>
                <c:pt idx="3">
                  <c:v>7.38</c:v>
                </c:pt>
                <c:pt idx="4">
                  <c:v>6.97</c:v>
                </c:pt>
                <c:pt idx="5">
                  <c:v>6.9</c:v>
                </c:pt>
                <c:pt idx="6">
                  <c:v>6.9</c:v>
                </c:pt>
                <c:pt idx="7">
                  <c:v>6.91</c:v>
                </c:pt>
                <c:pt idx="8">
                  <c:v>6.87</c:v>
                </c:pt>
                <c:pt idx="9">
                  <c:v>6.44</c:v>
                </c:pt>
                <c:pt idx="10">
                  <c:v>6.21</c:v>
                </c:pt>
                <c:pt idx="11">
                  <c:v>5.0999999999999996</c:v>
                </c:pt>
              </c:numCache>
            </c:numRef>
          </c:val>
          <c:smooth val="0"/>
          <c:extLst>
            <c:ext xmlns:c16="http://schemas.microsoft.com/office/drawing/2014/chart" uri="{C3380CC4-5D6E-409C-BE32-E72D297353CC}">
              <c16:uniqueId val="{00000001-FB8A-4C7F-A15F-D76B4209CFDE}"/>
            </c:ext>
          </c:extLst>
        </c:ser>
        <c:ser>
          <c:idx val="2"/>
          <c:order val="2"/>
          <c:tx>
            <c:strRef>
              <c:f>'8-22-11'!$A$58</c:f>
              <c:strCache>
                <c:ptCount val="1"/>
                <c:pt idx="0">
                  <c:v>Site 42 (3)</c:v>
                </c:pt>
              </c:strCache>
            </c:strRef>
          </c:tx>
          <c:val>
            <c:numRef>
              <c:f>'8-22-11'!$D$59:$D$67</c:f>
              <c:numCache>
                <c:formatCode>General</c:formatCode>
                <c:ptCount val="9"/>
                <c:pt idx="0">
                  <c:v>7.74</c:v>
                </c:pt>
                <c:pt idx="1">
                  <c:v>7.4</c:v>
                </c:pt>
                <c:pt idx="2">
                  <c:v>7.45</c:v>
                </c:pt>
                <c:pt idx="3">
                  <c:v>6.75</c:v>
                </c:pt>
                <c:pt idx="4">
                  <c:v>6.9</c:v>
                </c:pt>
                <c:pt idx="5">
                  <c:v>6.82</c:v>
                </c:pt>
                <c:pt idx="6">
                  <c:v>6.7</c:v>
                </c:pt>
                <c:pt idx="7">
                  <c:v>6.58</c:v>
                </c:pt>
                <c:pt idx="8">
                  <c:v>6.17</c:v>
                </c:pt>
              </c:numCache>
            </c:numRef>
          </c:val>
          <c:smooth val="0"/>
          <c:extLst>
            <c:ext xmlns:c16="http://schemas.microsoft.com/office/drawing/2014/chart" uri="{C3380CC4-5D6E-409C-BE32-E72D297353CC}">
              <c16:uniqueId val="{00000002-FB8A-4C7F-A15F-D76B4209CFDE}"/>
            </c:ext>
          </c:extLst>
        </c:ser>
        <c:ser>
          <c:idx val="3"/>
          <c:order val="3"/>
          <c:tx>
            <c:strRef>
              <c:f>'8-22-11'!$A$72</c:f>
              <c:strCache>
                <c:ptCount val="1"/>
                <c:pt idx="0">
                  <c:v>Site 43 (4)</c:v>
                </c:pt>
              </c:strCache>
            </c:strRef>
          </c:tx>
          <c:val>
            <c:numRef>
              <c:f>'8-22-11'!$D$73:$D$79</c:f>
              <c:numCache>
                <c:formatCode>General</c:formatCode>
                <c:ptCount val="7"/>
                <c:pt idx="0">
                  <c:v>7.88</c:v>
                </c:pt>
                <c:pt idx="1">
                  <c:v>7.16</c:v>
                </c:pt>
                <c:pt idx="2">
                  <c:v>8.1999999999999993</c:v>
                </c:pt>
                <c:pt idx="3">
                  <c:v>7.72</c:v>
                </c:pt>
                <c:pt idx="4">
                  <c:v>7.61</c:v>
                </c:pt>
                <c:pt idx="5">
                  <c:v>7.69</c:v>
                </c:pt>
                <c:pt idx="6">
                  <c:v>6.27</c:v>
                </c:pt>
              </c:numCache>
            </c:numRef>
          </c:val>
          <c:smooth val="0"/>
          <c:extLst>
            <c:ext xmlns:c16="http://schemas.microsoft.com/office/drawing/2014/chart" uri="{C3380CC4-5D6E-409C-BE32-E72D297353CC}">
              <c16:uniqueId val="{00000003-FB8A-4C7F-A15F-D76B4209CFDE}"/>
            </c:ext>
          </c:extLst>
        </c:ser>
        <c:ser>
          <c:idx val="4"/>
          <c:order val="4"/>
          <c:tx>
            <c:strRef>
              <c:f>'8-22-11'!$A$83</c:f>
              <c:strCache>
                <c:ptCount val="1"/>
                <c:pt idx="0">
                  <c:v>Site 44 (5)</c:v>
                </c:pt>
              </c:strCache>
            </c:strRef>
          </c:tx>
          <c:val>
            <c:numRef>
              <c:f>'8-22-11'!$D$84:$D$93</c:f>
              <c:numCache>
                <c:formatCode>0.00</c:formatCode>
                <c:ptCount val="10"/>
                <c:pt idx="0">
                  <c:v>8</c:v>
                </c:pt>
                <c:pt idx="1">
                  <c:v>7.65</c:v>
                </c:pt>
                <c:pt idx="2">
                  <c:v>7.38</c:v>
                </c:pt>
                <c:pt idx="3">
                  <c:v>7.54</c:v>
                </c:pt>
                <c:pt idx="4">
                  <c:v>7.53</c:v>
                </c:pt>
                <c:pt idx="5">
                  <c:v>7.55</c:v>
                </c:pt>
                <c:pt idx="6">
                  <c:v>7.62</c:v>
                </c:pt>
                <c:pt idx="7">
                  <c:v>7.6</c:v>
                </c:pt>
                <c:pt idx="8">
                  <c:v>7.37</c:v>
                </c:pt>
                <c:pt idx="9">
                  <c:v>6.81</c:v>
                </c:pt>
              </c:numCache>
            </c:numRef>
          </c:val>
          <c:smooth val="0"/>
          <c:extLst>
            <c:ext xmlns:c16="http://schemas.microsoft.com/office/drawing/2014/chart" uri="{C3380CC4-5D6E-409C-BE32-E72D297353CC}">
              <c16:uniqueId val="{00000004-FB8A-4C7F-A15F-D76B4209CFDE}"/>
            </c:ext>
          </c:extLst>
        </c:ser>
        <c:dLbls>
          <c:showLegendKey val="0"/>
          <c:showVal val="0"/>
          <c:showCatName val="0"/>
          <c:showSerName val="0"/>
          <c:showPercent val="0"/>
          <c:showBubbleSize val="0"/>
        </c:dLbls>
        <c:marker val="1"/>
        <c:smooth val="0"/>
        <c:axId val="156493696"/>
        <c:axId val="156495232"/>
      </c:lineChart>
      <c:catAx>
        <c:axId val="156493696"/>
        <c:scaling>
          <c:orientation val="minMax"/>
        </c:scaling>
        <c:delete val="0"/>
        <c:axPos val="b"/>
        <c:numFmt formatCode="General" sourceLinked="0"/>
        <c:majorTickMark val="none"/>
        <c:minorTickMark val="none"/>
        <c:tickLblPos val="nextTo"/>
        <c:crossAx val="156495232"/>
        <c:crosses val="autoZero"/>
        <c:auto val="1"/>
        <c:lblAlgn val="ctr"/>
        <c:lblOffset val="100"/>
        <c:noMultiLvlLbl val="0"/>
      </c:catAx>
      <c:valAx>
        <c:axId val="156495232"/>
        <c:scaling>
          <c:orientation val="minMax"/>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56493696"/>
        <c:crosses val="autoZero"/>
        <c:crossBetween val="between"/>
      </c:valAx>
    </c:plotArea>
    <c:legend>
      <c:legendPos val="r"/>
      <c:layout>
        <c:manualLayout>
          <c:xMode val="edge"/>
          <c:yMode val="edge"/>
          <c:x val="0.80383606722756107"/>
          <c:y val="0.22371135899679526"/>
          <c:w val="0.18321943083608877"/>
          <c:h val="0.4342678526855612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Conductance Profiles 8/22/2011</a:t>
            </a:r>
          </a:p>
        </c:rich>
      </c:tx>
      <c:layout>
        <c:manualLayout>
          <c:xMode val="edge"/>
          <c:yMode val="edge"/>
          <c:x val="0.14230270671238793"/>
          <c:y val="2.4084778420038592E-2"/>
        </c:manualLayout>
      </c:layout>
      <c:overlay val="0"/>
    </c:title>
    <c:autoTitleDeleted val="0"/>
    <c:plotArea>
      <c:layout/>
      <c:lineChart>
        <c:grouping val="standard"/>
        <c:varyColors val="0"/>
        <c:ser>
          <c:idx val="0"/>
          <c:order val="0"/>
          <c:tx>
            <c:strRef>
              <c:f>'8-22-11'!$B$7</c:f>
              <c:strCache>
                <c:ptCount val="1"/>
                <c:pt idx="0">
                  <c:v>Site 40 (CP)</c:v>
                </c:pt>
              </c:strCache>
            </c:strRef>
          </c:tx>
          <c:cat>
            <c:strRef>
              <c:f>'8-22-11'!$A$8:$A$22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'8-22-11'!$C$8:$C$22</c:f>
              <c:numCache>
                <c:formatCode>General</c:formatCode>
                <c:ptCount val="15"/>
                <c:pt idx="0">
                  <c:v>0.28789999999999999</c:v>
                </c:pt>
                <c:pt idx="1">
                  <c:v>0.28860000000000002</c:v>
                </c:pt>
                <c:pt idx="2">
                  <c:v>0.28860000000000002</c:v>
                </c:pt>
                <c:pt idx="3">
                  <c:v>0.28939999999999999</c:v>
                </c:pt>
                <c:pt idx="4">
                  <c:v>0.28939999999999999</c:v>
                </c:pt>
                <c:pt idx="5">
                  <c:v>0.28960000000000002</c:v>
                </c:pt>
                <c:pt idx="6">
                  <c:v>0.28910000000000002</c:v>
                </c:pt>
                <c:pt idx="7">
                  <c:v>0.28939999999999999</c:v>
                </c:pt>
                <c:pt idx="8">
                  <c:v>0.28939999999999999</c:v>
                </c:pt>
                <c:pt idx="9">
                  <c:v>0.28939999999999999</c:v>
                </c:pt>
                <c:pt idx="10">
                  <c:v>0.28960000000000002</c:v>
                </c:pt>
                <c:pt idx="11">
                  <c:v>0.28970000000000001</c:v>
                </c:pt>
                <c:pt idx="12">
                  <c:v>0.28849999999999998</c:v>
                </c:pt>
                <c:pt idx="13">
                  <c:v>0.28689999999999999</c:v>
                </c:pt>
                <c:pt idx="14">
                  <c:v>0.28210000000000002</c:v>
                </c:pt>
              </c:numCache>
            </c:numRef>
          </c:val>
          <c:smooth val="0"/>
          <c:extLst>
            <c:ext xmlns:c16="http://schemas.microsoft.com/office/drawing/2014/chart" uri="{C3380CC4-5D6E-409C-BE32-E72D297353CC}">
              <c16:uniqueId val="{00000000-F9F5-478E-8939-4FF7B93A702A}"/>
            </c:ext>
          </c:extLst>
        </c:ser>
        <c:ser>
          <c:idx val="1"/>
          <c:order val="1"/>
          <c:tx>
            <c:strRef>
              <c:f>'8-22-11'!$A$44</c:f>
              <c:strCache>
                <c:ptCount val="1"/>
                <c:pt idx="0">
                  <c:v>Site 41 (1)</c:v>
                </c:pt>
              </c:strCache>
            </c:strRef>
          </c:tx>
          <c:val>
            <c:numRef>
              <c:f>'8-22-11'!$C$45:$C$56</c:f>
              <c:numCache>
                <c:formatCode>General</c:formatCode>
                <c:ptCount val="12"/>
                <c:pt idx="0">
                  <c:v>0.29099999999999998</c:v>
                </c:pt>
                <c:pt idx="1">
                  <c:v>0.29060000000000002</c:v>
                </c:pt>
                <c:pt idx="2">
                  <c:v>0.2908</c:v>
                </c:pt>
                <c:pt idx="3">
                  <c:v>0.29099999999999998</c:v>
                </c:pt>
                <c:pt idx="4">
                  <c:v>0.2908</c:v>
                </c:pt>
                <c:pt idx="5">
                  <c:v>0.2908</c:v>
                </c:pt>
                <c:pt idx="6">
                  <c:v>0.29099999999999998</c:v>
                </c:pt>
                <c:pt idx="7">
                  <c:v>0.29120000000000001</c:v>
                </c:pt>
                <c:pt idx="8">
                  <c:v>0.29099999999999998</c:v>
                </c:pt>
                <c:pt idx="9">
                  <c:v>0.29220000000000002</c:v>
                </c:pt>
                <c:pt idx="10">
                  <c:v>0.29320000000000002</c:v>
                </c:pt>
                <c:pt idx="11">
                  <c:v>0.29320000000000002</c:v>
                </c:pt>
              </c:numCache>
            </c:numRef>
          </c:val>
          <c:smooth val="0"/>
          <c:extLst>
            <c:ext xmlns:c16="http://schemas.microsoft.com/office/drawing/2014/chart" uri="{C3380CC4-5D6E-409C-BE32-E72D297353CC}">
              <c16:uniqueId val="{00000001-F9F5-478E-8939-4FF7B93A702A}"/>
            </c:ext>
          </c:extLst>
        </c:ser>
        <c:ser>
          <c:idx val="2"/>
          <c:order val="2"/>
          <c:tx>
            <c:strRef>
              <c:f>'8-22-11'!$A$58</c:f>
              <c:strCache>
                <c:ptCount val="1"/>
                <c:pt idx="0">
                  <c:v>Site 42 (3)</c:v>
                </c:pt>
              </c:strCache>
            </c:strRef>
          </c:tx>
          <c:val>
            <c:numRef>
              <c:f>'8-22-11'!$C$59:$C$67</c:f>
              <c:numCache>
                <c:formatCode>General</c:formatCode>
                <c:ptCount val="9"/>
                <c:pt idx="0">
                  <c:v>0.2908</c:v>
                </c:pt>
                <c:pt idx="1">
                  <c:v>0.29049999999999998</c:v>
                </c:pt>
                <c:pt idx="2">
                  <c:v>0.2903</c:v>
                </c:pt>
                <c:pt idx="3">
                  <c:v>0.29039999999999999</c:v>
                </c:pt>
                <c:pt idx="4">
                  <c:v>0.29099999999999998</c:v>
                </c:pt>
                <c:pt idx="5">
                  <c:v>0.29039999999999999</c:v>
                </c:pt>
                <c:pt idx="6">
                  <c:v>0.29020000000000001</c:v>
                </c:pt>
                <c:pt idx="7">
                  <c:v>0.29049999999999998</c:v>
                </c:pt>
                <c:pt idx="8">
                  <c:v>0.29010000000000002</c:v>
                </c:pt>
              </c:numCache>
            </c:numRef>
          </c:val>
          <c:smooth val="0"/>
          <c:extLst>
            <c:ext xmlns:c16="http://schemas.microsoft.com/office/drawing/2014/chart" uri="{C3380CC4-5D6E-409C-BE32-E72D297353CC}">
              <c16:uniqueId val="{00000002-F9F5-478E-8939-4FF7B93A702A}"/>
            </c:ext>
          </c:extLst>
        </c:ser>
        <c:ser>
          <c:idx val="3"/>
          <c:order val="3"/>
          <c:tx>
            <c:strRef>
              <c:f>'8-22-11'!$A$72</c:f>
              <c:strCache>
                <c:ptCount val="1"/>
                <c:pt idx="0">
                  <c:v>Site 43 (4)</c:v>
                </c:pt>
              </c:strCache>
            </c:strRef>
          </c:tx>
          <c:val>
            <c:numRef>
              <c:f>'8-22-11'!$C$73:$C$79</c:f>
              <c:numCache>
                <c:formatCode>General</c:formatCode>
                <c:ptCount val="7"/>
                <c:pt idx="0">
                  <c:v>0.29049999999999998</c:v>
                </c:pt>
                <c:pt idx="1">
                  <c:v>0.29020000000000001</c:v>
                </c:pt>
                <c:pt idx="2">
                  <c:v>0.29039999999999999</c:v>
                </c:pt>
                <c:pt idx="3">
                  <c:v>0.29039999999999999</c:v>
                </c:pt>
                <c:pt idx="4">
                  <c:v>0.2903</c:v>
                </c:pt>
                <c:pt idx="5">
                  <c:v>0.29060000000000002</c:v>
                </c:pt>
                <c:pt idx="6">
                  <c:v>0.29149999999999998</c:v>
                </c:pt>
              </c:numCache>
            </c:numRef>
          </c:val>
          <c:smooth val="0"/>
          <c:extLst>
            <c:ext xmlns:c16="http://schemas.microsoft.com/office/drawing/2014/chart" uri="{C3380CC4-5D6E-409C-BE32-E72D297353CC}">
              <c16:uniqueId val="{00000003-F9F5-478E-8939-4FF7B93A702A}"/>
            </c:ext>
          </c:extLst>
        </c:ser>
        <c:ser>
          <c:idx val="4"/>
          <c:order val="4"/>
          <c:tx>
            <c:strRef>
              <c:f>'8-22-11'!$A$83</c:f>
              <c:strCache>
                <c:ptCount val="1"/>
                <c:pt idx="0">
                  <c:v>Site 44 (5)</c:v>
                </c:pt>
              </c:strCache>
            </c:strRef>
          </c:tx>
          <c:val>
            <c:numRef>
              <c:f>'8-22-11'!$C$84:$C$93</c:f>
              <c:numCache>
                <c:formatCode>General</c:formatCode>
                <c:ptCount val="10"/>
                <c:pt idx="0">
                  <c:v>0.2903</c:v>
                </c:pt>
                <c:pt idx="1">
                  <c:v>0.2898</c:v>
                </c:pt>
                <c:pt idx="2">
                  <c:v>0.28960000000000002</c:v>
                </c:pt>
                <c:pt idx="3">
                  <c:v>0.28960000000000002</c:v>
                </c:pt>
                <c:pt idx="4">
                  <c:v>0.28989999999999999</c:v>
                </c:pt>
                <c:pt idx="5">
                  <c:v>0.2898</c:v>
                </c:pt>
                <c:pt idx="6">
                  <c:v>0.2898</c:v>
                </c:pt>
                <c:pt idx="7">
                  <c:v>0.28939999999999999</c:v>
                </c:pt>
                <c:pt idx="8">
                  <c:v>0.28939999999999999</c:v>
                </c:pt>
                <c:pt idx="9">
                  <c:v>0.28939999999999999</c:v>
                </c:pt>
              </c:numCache>
            </c:numRef>
          </c:val>
          <c:smooth val="0"/>
          <c:extLst>
            <c:ext xmlns:c16="http://schemas.microsoft.com/office/drawing/2014/chart" uri="{C3380CC4-5D6E-409C-BE32-E72D297353CC}">
              <c16:uniqueId val="{00000004-F9F5-478E-8939-4FF7B93A702A}"/>
            </c:ext>
          </c:extLst>
        </c:ser>
        <c:dLbls>
          <c:showLegendKey val="0"/>
          <c:showVal val="0"/>
          <c:showCatName val="0"/>
          <c:showSerName val="0"/>
          <c:showPercent val="0"/>
          <c:showBubbleSize val="0"/>
        </c:dLbls>
        <c:marker val="1"/>
        <c:smooth val="0"/>
        <c:axId val="156936832"/>
        <c:axId val="156946816"/>
      </c:lineChart>
      <c:catAx>
        <c:axId val="156936832"/>
        <c:scaling>
          <c:orientation val="minMax"/>
        </c:scaling>
        <c:delete val="0"/>
        <c:axPos val="b"/>
        <c:numFmt formatCode="General" sourceLinked="0"/>
        <c:majorTickMark val="none"/>
        <c:minorTickMark val="none"/>
        <c:tickLblPos val="nextTo"/>
        <c:crossAx val="156946816"/>
        <c:crosses val="autoZero"/>
        <c:auto val="1"/>
        <c:lblAlgn val="ctr"/>
        <c:lblOffset val="100"/>
        <c:noMultiLvlLbl val="0"/>
      </c:catAx>
      <c:valAx>
        <c:axId val="156946816"/>
        <c:scaling>
          <c:orientation val="minMax"/>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56936832"/>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8/22/2011</a:t>
            </a:r>
          </a:p>
        </c:rich>
      </c:tx>
      <c:overlay val="0"/>
    </c:title>
    <c:autoTitleDeleted val="0"/>
    <c:plotArea>
      <c:layout/>
      <c:lineChart>
        <c:grouping val="standard"/>
        <c:varyColors val="0"/>
        <c:ser>
          <c:idx val="0"/>
          <c:order val="0"/>
          <c:tx>
            <c:strRef>
              <c:f>'8-22-11'!$B$7</c:f>
              <c:strCache>
                <c:ptCount val="1"/>
                <c:pt idx="0">
                  <c:v>Site 40 (CP)</c:v>
                </c:pt>
              </c:strCache>
            </c:strRef>
          </c:tx>
          <c:cat>
            <c:strRef>
              <c:f>'8-22-11'!$A$8:$A$22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'8-22-11'!$F$8:$F$22</c:f>
              <c:numCache>
                <c:formatCode>General</c:formatCode>
                <c:ptCount val="15"/>
                <c:pt idx="0">
                  <c:v>8.7100000000000009</c:v>
                </c:pt>
                <c:pt idx="1">
                  <c:v>8.69</c:v>
                </c:pt>
                <c:pt idx="2">
                  <c:v>8.69</c:v>
                </c:pt>
                <c:pt idx="3">
                  <c:v>8.68</c:v>
                </c:pt>
                <c:pt idx="4">
                  <c:v>8.69</c:v>
                </c:pt>
                <c:pt idx="5">
                  <c:v>8.68</c:v>
                </c:pt>
                <c:pt idx="6">
                  <c:v>8.68</c:v>
                </c:pt>
                <c:pt idx="7">
                  <c:v>8.67</c:v>
                </c:pt>
                <c:pt idx="8">
                  <c:v>8.67</c:v>
                </c:pt>
                <c:pt idx="9">
                  <c:v>8.66</c:v>
                </c:pt>
                <c:pt idx="10">
                  <c:v>8.6199999999999992</c:v>
                </c:pt>
                <c:pt idx="11">
                  <c:v>8.57</c:v>
                </c:pt>
                <c:pt idx="12">
                  <c:v>8.5500000000000007</c:v>
                </c:pt>
                <c:pt idx="13">
                  <c:v>8.5</c:v>
                </c:pt>
                <c:pt idx="14">
                  <c:v>8.5</c:v>
                </c:pt>
              </c:numCache>
            </c:numRef>
          </c:val>
          <c:smooth val="0"/>
          <c:extLst>
            <c:ext xmlns:c16="http://schemas.microsoft.com/office/drawing/2014/chart" uri="{C3380CC4-5D6E-409C-BE32-E72D297353CC}">
              <c16:uniqueId val="{00000000-0FA2-4483-8A14-69DF8A187DE5}"/>
            </c:ext>
          </c:extLst>
        </c:ser>
        <c:ser>
          <c:idx val="1"/>
          <c:order val="1"/>
          <c:tx>
            <c:strRef>
              <c:f>'8-22-11'!$A$44</c:f>
              <c:strCache>
                <c:ptCount val="1"/>
                <c:pt idx="0">
                  <c:v>Site 41 (1)</c:v>
                </c:pt>
              </c:strCache>
            </c:strRef>
          </c:tx>
          <c:val>
            <c:numRef>
              <c:f>'8-22-11'!$F$45:$F$56</c:f>
              <c:numCache>
                <c:formatCode>General</c:formatCode>
                <c:ptCount val="12"/>
                <c:pt idx="0">
                  <c:v>8.8000000000000007</c:v>
                </c:pt>
                <c:pt idx="1">
                  <c:v>8.7799999999999994</c:v>
                </c:pt>
                <c:pt idx="2">
                  <c:v>8.76</c:v>
                </c:pt>
                <c:pt idx="3">
                  <c:v>8.7200000000000006</c:v>
                </c:pt>
                <c:pt idx="4">
                  <c:v>8.6999999999999993</c:v>
                </c:pt>
                <c:pt idx="5">
                  <c:v>8.67</c:v>
                </c:pt>
                <c:pt idx="6">
                  <c:v>8.66</c:v>
                </c:pt>
                <c:pt idx="7">
                  <c:v>8.66</c:v>
                </c:pt>
                <c:pt idx="8">
                  <c:v>8.69</c:v>
                </c:pt>
                <c:pt idx="9">
                  <c:v>8.69</c:v>
                </c:pt>
                <c:pt idx="10">
                  <c:v>8.61</c:v>
                </c:pt>
                <c:pt idx="11">
                  <c:v>8.17</c:v>
                </c:pt>
              </c:numCache>
            </c:numRef>
          </c:val>
          <c:smooth val="0"/>
          <c:extLst>
            <c:ext xmlns:c16="http://schemas.microsoft.com/office/drawing/2014/chart" uri="{C3380CC4-5D6E-409C-BE32-E72D297353CC}">
              <c16:uniqueId val="{00000001-0FA2-4483-8A14-69DF8A187DE5}"/>
            </c:ext>
          </c:extLst>
        </c:ser>
        <c:ser>
          <c:idx val="2"/>
          <c:order val="2"/>
          <c:tx>
            <c:strRef>
              <c:f>'8-22-11'!$A$58</c:f>
              <c:strCache>
                <c:ptCount val="1"/>
                <c:pt idx="0">
                  <c:v>Site 42 (3)</c:v>
                </c:pt>
              </c:strCache>
            </c:strRef>
          </c:tx>
          <c:val>
            <c:numRef>
              <c:f>'8-22-11'!$F$59:$F$67</c:f>
              <c:numCache>
                <c:formatCode>General</c:formatCode>
                <c:ptCount val="9"/>
                <c:pt idx="0">
                  <c:v>8.8699999999999992</c:v>
                </c:pt>
                <c:pt idx="1">
                  <c:v>8.77</c:v>
                </c:pt>
                <c:pt idx="2">
                  <c:v>8.6999999999999993</c:v>
                </c:pt>
                <c:pt idx="3">
                  <c:v>8.69</c:v>
                </c:pt>
                <c:pt idx="4">
                  <c:v>8.6999999999999993</c:v>
                </c:pt>
                <c:pt idx="5">
                  <c:v>8.68</c:v>
                </c:pt>
                <c:pt idx="6">
                  <c:v>8.6300000000000008</c:v>
                </c:pt>
                <c:pt idx="7">
                  <c:v>8.64</c:v>
                </c:pt>
                <c:pt idx="8">
                  <c:v>8.5500000000000007</c:v>
                </c:pt>
              </c:numCache>
            </c:numRef>
          </c:val>
          <c:smooth val="0"/>
          <c:extLst>
            <c:ext xmlns:c16="http://schemas.microsoft.com/office/drawing/2014/chart" uri="{C3380CC4-5D6E-409C-BE32-E72D297353CC}">
              <c16:uniqueId val="{00000002-0FA2-4483-8A14-69DF8A187DE5}"/>
            </c:ext>
          </c:extLst>
        </c:ser>
        <c:ser>
          <c:idx val="3"/>
          <c:order val="3"/>
          <c:tx>
            <c:strRef>
              <c:f>'8-22-11'!$A$72</c:f>
              <c:strCache>
                <c:ptCount val="1"/>
                <c:pt idx="0">
                  <c:v>Site 43 (4)</c:v>
                </c:pt>
              </c:strCache>
            </c:strRef>
          </c:tx>
          <c:val>
            <c:numRef>
              <c:f>'8-22-11'!$F$73:$F$79</c:f>
              <c:numCache>
                <c:formatCode>General</c:formatCode>
                <c:ptCount val="7"/>
                <c:pt idx="0">
                  <c:v>8.84</c:v>
                </c:pt>
                <c:pt idx="1">
                  <c:v>8.85</c:v>
                </c:pt>
                <c:pt idx="2">
                  <c:v>8.84</c:v>
                </c:pt>
                <c:pt idx="3">
                  <c:v>8.85</c:v>
                </c:pt>
                <c:pt idx="4">
                  <c:v>8.84</c:v>
                </c:pt>
                <c:pt idx="5">
                  <c:v>8.82</c:v>
                </c:pt>
                <c:pt idx="6">
                  <c:v>8.5500000000000007</c:v>
                </c:pt>
              </c:numCache>
            </c:numRef>
          </c:val>
          <c:smooth val="0"/>
          <c:extLst>
            <c:ext xmlns:c16="http://schemas.microsoft.com/office/drawing/2014/chart" uri="{C3380CC4-5D6E-409C-BE32-E72D297353CC}">
              <c16:uniqueId val="{00000003-0FA2-4483-8A14-69DF8A187DE5}"/>
            </c:ext>
          </c:extLst>
        </c:ser>
        <c:ser>
          <c:idx val="4"/>
          <c:order val="4"/>
          <c:tx>
            <c:strRef>
              <c:f>'8-22-11'!$A$83</c:f>
              <c:strCache>
                <c:ptCount val="1"/>
                <c:pt idx="0">
                  <c:v>Site 44 (5)</c:v>
                </c:pt>
              </c:strCache>
            </c:strRef>
          </c:tx>
          <c:val>
            <c:numRef>
              <c:f>'8-22-11'!$F$84:$F$93</c:f>
              <c:numCache>
                <c:formatCode>0.00</c:formatCode>
                <c:ptCount val="10"/>
                <c:pt idx="0">
                  <c:v>8.7899999999999991</c:v>
                </c:pt>
                <c:pt idx="1">
                  <c:v>8.7799999999999994</c:v>
                </c:pt>
                <c:pt idx="2">
                  <c:v>8.81</c:v>
                </c:pt>
                <c:pt idx="3">
                  <c:v>8.8000000000000007</c:v>
                </c:pt>
                <c:pt idx="4">
                  <c:v>8.82</c:v>
                </c:pt>
                <c:pt idx="5">
                  <c:v>8.82</c:v>
                </c:pt>
                <c:pt idx="6">
                  <c:v>8.83</c:v>
                </c:pt>
                <c:pt idx="7">
                  <c:v>8.83</c:v>
                </c:pt>
                <c:pt idx="8">
                  <c:v>8.85</c:v>
                </c:pt>
                <c:pt idx="9">
                  <c:v>8.7799999999999994</c:v>
                </c:pt>
              </c:numCache>
            </c:numRef>
          </c:val>
          <c:smooth val="0"/>
          <c:extLst>
            <c:ext xmlns:c16="http://schemas.microsoft.com/office/drawing/2014/chart" uri="{C3380CC4-5D6E-409C-BE32-E72D297353CC}">
              <c16:uniqueId val="{00000004-0FA2-4483-8A14-69DF8A187DE5}"/>
            </c:ext>
          </c:extLst>
        </c:ser>
        <c:dLbls>
          <c:showLegendKey val="0"/>
          <c:showVal val="0"/>
          <c:showCatName val="0"/>
          <c:showSerName val="0"/>
          <c:showPercent val="0"/>
          <c:showBubbleSize val="0"/>
        </c:dLbls>
        <c:marker val="1"/>
        <c:smooth val="0"/>
        <c:axId val="157007232"/>
        <c:axId val="157353088"/>
      </c:lineChart>
      <c:catAx>
        <c:axId val="157007232"/>
        <c:scaling>
          <c:orientation val="minMax"/>
        </c:scaling>
        <c:delete val="0"/>
        <c:axPos val="b"/>
        <c:numFmt formatCode="General" sourceLinked="0"/>
        <c:majorTickMark val="none"/>
        <c:minorTickMark val="none"/>
        <c:tickLblPos val="nextTo"/>
        <c:crossAx val="157353088"/>
        <c:crosses val="autoZero"/>
        <c:auto val="1"/>
        <c:lblAlgn val="ctr"/>
        <c:lblOffset val="100"/>
        <c:noMultiLvlLbl val="0"/>
      </c:catAx>
      <c:valAx>
        <c:axId val="157353088"/>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57007232"/>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(9/12/2011)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922"/>
        </c:manualLayout>
      </c:layout>
      <c:lineChart>
        <c:grouping val="standard"/>
        <c:varyColors val="0"/>
        <c:ser>
          <c:idx val="0"/>
          <c:order val="0"/>
          <c:tx>
            <c:strRef>
              <c:f>'9-12-11'!$D$3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'9-12-11'!$D$8:$D$22</c:f>
              <c:numCache>
                <c:formatCode>General</c:formatCode>
                <c:ptCount val="15"/>
                <c:pt idx="0">
                  <c:v>7.46</c:v>
                </c:pt>
                <c:pt idx="1">
                  <c:v>7.22</c:v>
                </c:pt>
                <c:pt idx="2">
                  <c:v>7.16</c:v>
                </c:pt>
                <c:pt idx="3">
                  <c:v>7.1</c:v>
                </c:pt>
                <c:pt idx="4">
                  <c:v>7</c:v>
                </c:pt>
                <c:pt idx="5">
                  <c:v>6.94</c:v>
                </c:pt>
                <c:pt idx="6">
                  <c:v>7.04</c:v>
                </c:pt>
                <c:pt idx="7">
                  <c:v>7.17</c:v>
                </c:pt>
                <c:pt idx="8">
                  <c:v>7.1</c:v>
                </c:pt>
                <c:pt idx="9" formatCode="0.00">
                  <c:v>7.14</c:v>
                </c:pt>
                <c:pt idx="10" formatCode="0.00">
                  <c:v>7.1</c:v>
                </c:pt>
                <c:pt idx="11" formatCode="0.00">
                  <c:v>6.88</c:v>
                </c:pt>
                <c:pt idx="12" formatCode="0.00">
                  <c:v>6.9</c:v>
                </c:pt>
                <c:pt idx="13" formatCode="0.00">
                  <c:v>6.23</c:v>
                </c:pt>
                <c:pt idx="14">
                  <c:v>6.22</c:v>
                </c:pt>
              </c:numCache>
            </c:numRef>
          </c:val>
          <c:smooth val="0"/>
          <c:extLst>
            <c:ext xmlns:c16="http://schemas.microsoft.com/office/drawing/2014/chart" uri="{C3380CC4-5D6E-409C-BE32-E72D297353CC}">
              <c16:uniqueId val="{00000000-9C87-4A72-9474-FFFE815BBEB9}"/>
            </c:ext>
          </c:extLst>
        </c:ser>
        <c:ser>
          <c:idx val="1"/>
          <c:order val="1"/>
          <c:tx>
            <c:strRef>
              <c:f>'9-12-11'!$E$3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'9-12-11'!$E$8:$E$22</c:f>
              <c:numCache>
                <c:formatCode>General</c:formatCode>
                <c:ptCount val="15"/>
                <c:pt idx="0">
                  <c:v>19.899999999999999</c:v>
                </c:pt>
                <c:pt idx="1">
                  <c:v>19.8</c:v>
                </c:pt>
                <c:pt idx="2">
                  <c:v>19.8</c:v>
                </c:pt>
                <c:pt idx="3">
                  <c:v>19.77</c:v>
                </c:pt>
                <c:pt idx="4">
                  <c:v>19.760000000000002</c:v>
                </c:pt>
                <c:pt idx="5">
                  <c:v>19.72</c:v>
                </c:pt>
                <c:pt idx="6">
                  <c:v>19.71</c:v>
                </c:pt>
                <c:pt idx="7">
                  <c:v>19.690000000000001</c:v>
                </c:pt>
                <c:pt idx="8">
                  <c:v>19.68</c:v>
                </c:pt>
                <c:pt idx="9">
                  <c:v>19.66</c:v>
                </c:pt>
                <c:pt idx="10">
                  <c:v>19.64</c:v>
                </c:pt>
                <c:pt idx="11">
                  <c:v>19.61</c:v>
                </c:pt>
                <c:pt idx="12">
                  <c:v>19.37</c:v>
                </c:pt>
                <c:pt idx="13">
                  <c:v>19.18</c:v>
                </c:pt>
                <c:pt idx="14">
                  <c:v>19.13</c:v>
                </c:pt>
              </c:numCache>
            </c:numRef>
          </c:val>
          <c:smooth val="0"/>
          <c:extLst>
            <c:ext xmlns:c16="http://schemas.microsoft.com/office/drawing/2014/chart" uri="{C3380CC4-5D6E-409C-BE32-E72D297353CC}">
              <c16:uniqueId val="{00000001-9C87-4A72-9474-FFFE815BBEB9}"/>
            </c:ext>
          </c:extLst>
        </c:ser>
        <c:dLbls>
          <c:showLegendKey val="0"/>
          <c:showVal val="0"/>
          <c:showCatName val="0"/>
          <c:showSerName val="0"/>
          <c:showPercent val="0"/>
          <c:showBubbleSize val="0"/>
        </c:dLbls>
        <c:smooth val="0"/>
        <c:axId val="157439872"/>
        <c:axId val="157441408"/>
      </c:lineChart>
      <c:catAx>
        <c:axId val="157439872"/>
        <c:scaling>
          <c:orientation val="minMax"/>
        </c:scaling>
        <c:delete val="0"/>
        <c:axPos val="b"/>
        <c:minorGridlines/>
        <c:numFmt formatCode="General" sourceLinked="0"/>
        <c:majorTickMark val="out"/>
        <c:minorTickMark val="none"/>
        <c:tickLblPos val="nextTo"/>
        <c:crossAx val="157441408"/>
        <c:crosses val="autoZero"/>
        <c:auto val="1"/>
        <c:lblAlgn val="ctr"/>
        <c:lblOffset val="100"/>
        <c:noMultiLvlLbl val="0"/>
      </c:catAx>
      <c:valAx>
        <c:axId val="157441408"/>
        <c:scaling>
          <c:orientation val="minMax"/>
        </c:scaling>
        <c:delete val="0"/>
        <c:axPos val="l"/>
        <c:majorGridlines/>
        <c:minorGridlines/>
        <c:numFmt formatCode="General" sourceLinked="1"/>
        <c:majorTickMark val="out"/>
        <c:minorTickMark val="none"/>
        <c:tickLblPos val="nextTo"/>
        <c:crossAx val="157439872"/>
        <c:crosses val="autoZero"/>
        <c:crossBetween val="midCat"/>
      </c:valAx>
    </c:plotArea>
    <c:legend>
      <c:legendPos val="r"/>
      <c:layout>
        <c:manualLayout>
          <c:xMode val="edge"/>
          <c:yMode val="edge"/>
          <c:x val="0.12201487159183012"/>
          <c:y val="0.37129920125585297"/>
          <c:w val="0.1474862204724488"/>
          <c:h val="0.15758530183727931"/>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9/12/2011</a:t>
            </a:r>
          </a:p>
        </c:rich>
      </c:tx>
      <c:overlay val="0"/>
    </c:title>
    <c:autoTitleDeleted val="0"/>
    <c:plotArea>
      <c:layout/>
      <c:lineChart>
        <c:grouping val="standard"/>
        <c:varyColors val="0"/>
        <c:ser>
          <c:idx val="0"/>
          <c:order val="0"/>
          <c:tx>
            <c:strRef>
              <c:f>'9-12-11'!$B$7</c:f>
              <c:strCache>
                <c:ptCount val="1"/>
                <c:pt idx="0">
                  <c:v>Site 40 (CP)</c:v>
                </c:pt>
              </c:strCache>
            </c:strRef>
          </c:tx>
          <c:cat>
            <c:strRef>
              <c:f>'9-12-11'!$A$8:$A$22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'9-12-11'!$D$8:$D$22</c:f>
              <c:numCache>
                <c:formatCode>General</c:formatCode>
                <c:ptCount val="15"/>
                <c:pt idx="0">
                  <c:v>7.46</c:v>
                </c:pt>
                <c:pt idx="1">
                  <c:v>7.22</c:v>
                </c:pt>
                <c:pt idx="2">
                  <c:v>7.16</c:v>
                </c:pt>
                <c:pt idx="3">
                  <c:v>7.1</c:v>
                </c:pt>
                <c:pt idx="4">
                  <c:v>7</c:v>
                </c:pt>
                <c:pt idx="5">
                  <c:v>6.94</c:v>
                </c:pt>
                <c:pt idx="6">
                  <c:v>7.04</c:v>
                </c:pt>
                <c:pt idx="7">
                  <c:v>7.17</c:v>
                </c:pt>
                <c:pt idx="8">
                  <c:v>7.1</c:v>
                </c:pt>
                <c:pt idx="9" formatCode="0.00">
                  <c:v>7.14</c:v>
                </c:pt>
                <c:pt idx="10" formatCode="0.00">
                  <c:v>7.1</c:v>
                </c:pt>
                <c:pt idx="11" formatCode="0.00">
                  <c:v>6.88</c:v>
                </c:pt>
                <c:pt idx="12" formatCode="0.00">
                  <c:v>6.9</c:v>
                </c:pt>
                <c:pt idx="13" formatCode="0.00">
                  <c:v>6.23</c:v>
                </c:pt>
                <c:pt idx="14">
                  <c:v>6.22</c:v>
                </c:pt>
              </c:numCache>
            </c:numRef>
          </c:val>
          <c:smooth val="0"/>
          <c:extLst>
            <c:ext xmlns:c16="http://schemas.microsoft.com/office/drawing/2014/chart" uri="{C3380CC4-5D6E-409C-BE32-E72D297353CC}">
              <c16:uniqueId val="{00000000-3F61-4817-B232-F068D4EB6E29}"/>
            </c:ext>
          </c:extLst>
        </c:ser>
        <c:ser>
          <c:idx val="1"/>
          <c:order val="1"/>
          <c:tx>
            <c:strRef>
              <c:f>'9-12-11'!$A$44</c:f>
              <c:strCache>
                <c:ptCount val="1"/>
                <c:pt idx="0">
                  <c:v>Site 41 (1)</c:v>
                </c:pt>
              </c:strCache>
            </c:strRef>
          </c:tx>
          <c:val>
            <c:numRef>
              <c:f>'9-12-11'!$D$45:$D$53</c:f>
              <c:numCache>
                <c:formatCode>General</c:formatCode>
                <c:ptCount val="9"/>
                <c:pt idx="0">
                  <c:v>7.7</c:v>
                </c:pt>
                <c:pt idx="1">
                  <c:v>7.28</c:v>
                </c:pt>
                <c:pt idx="2">
                  <c:v>7.16</c:v>
                </c:pt>
                <c:pt idx="3">
                  <c:v>7.11</c:v>
                </c:pt>
                <c:pt idx="4">
                  <c:v>7.02</c:v>
                </c:pt>
                <c:pt idx="5">
                  <c:v>7.1</c:v>
                </c:pt>
                <c:pt idx="6">
                  <c:v>6.91</c:v>
                </c:pt>
                <c:pt idx="7">
                  <c:v>6.9</c:v>
                </c:pt>
                <c:pt idx="8">
                  <c:v>6.92</c:v>
                </c:pt>
              </c:numCache>
            </c:numRef>
          </c:val>
          <c:smooth val="0"/>
          <c:extLst>
            <c:ext xmlns:c16="http://schemas.microsoft.com/office/drawing/2014/chart" uri="{C3380CC4-5D6E-409C-BE32-E72D297353CC}">
              <c16:uniqueId val="{00000001-3F61-4817-B232-F068D4EB6E29}"/>
            </c:ext>
          </c:extLst>
        </c:ser>
        <c:ser>
          <c:idx val="2"/>
          <c:order val="2"/>
          <c:tx>
            <c:strRef>
              <c:f>'9-12-11'!$A$58</c:f>
              <c:strCache>
                <c:ptCount val="1"/>
                <c:pt idx="0">
                  <c:v>Site 42 (3)</c:v>
                </c:pt>
              </c:strCache>
            </c:strRef>
          </c:tx>
          <c:val>
            <c:numRef>
              <c:f>'9-12-11'!$D$59:$D$67</c:f>
              <c:numCache>
                <c:formatCode>General</c:formatCode>
                <c:ptCount val="9"/>
                <c:pt idx="0">
                  <c:v>7.35</c:v>
                </c:pt>
                <c:pt idx="1">
                  <c:v>7.06</c:v>
                </c:pt>
                <c:pt idx="2">
                  <c:v>7.12</c:v>
                </c:pt>
                <c:pt idx="3">
                  <c:v>7.22</c:v>
                </c:pt>
                <c:pt idx="4">
                  <c:v>7.13</c:v>
                </c:pt>
                <c:pt idx="5">
                  <c:v>7.3</c:v>
                </c:pt>
                <c:pt idx="6">
                  <c:v>7.42</c:v>
                </c:pt>
                <c:pt idx="7">
                  <c:v>7.45</c:v>
                </c:pt>
                <c:pt idx="8">
                  <c:v>7.19</c:v>
                </c:pt>
              </c:numCache>
            </c:numRef>
          </c:val>
          <c:smooth val="0"/>
          <c:extLst>
            <c:ext xmlns:c16="http://schemas.microsoft.com/office/drawing/2014/chart" uri="{C3380CC4-5D6E-409C-BE32-E72D297353CC}">
              <c16:uniqueId val="{00000002-3F61-4817-B232-F068D4EB6E29}"/>
            </c:ext>
          </c:extLst>
        </c:ser>
        <c:ser>
          <c:idx val="3"/>
          <c:order val="3"/>
          <c:tx>
            <c:strRef>
              <c:f>'9-12-11'!$A$72</c:f>
              <c:strCache>
                <c:ptCount val="1"/>
                <c:pt idx="0">
                  <c:v>Site 43 (4)</c:v>
                </c:pt>
              </c:strCache>
            </c:strRef>
          </c:tx>
          <c:val>
            <c:numRef>
              <c:f>'9-12-11'!$D$73:$D$80</c:f>
              <c:numCache>
                <c:formatCode>General</c:formatCode>
                <c:ptCount val="8"/>
                <c:pt idx="0">
                  <c:v>7.34</c:v>
                </c:pt>
                <c:pt idx="1">
                  <c:v>7.3</c:v>
                </c:pt>
                <c:pt idx="2">
                  <c:v>7.32</c:v>
                </c:pt>
                <c:pt idx="3">
                  <c:v>7.3</c:v>
                </c:pt>
                <c:pt idx="4">
                  <c:v>7.32</c:v>
                </c:pt>
                <c:pt idx="5">
                  <c:v>7.24</c:v>
                </c:pt>
                <c:pt idx="6">
                  <c:v>7.17</c:v>
                </c:pt>
                <c:pt idx="7">
                  <c:v>6.79</c:v>
                </c:pt>
              </c:numCache>
            </c:numRef>
          </c:val>
          <c:smooth val="0"/>
          <c:extLst>
            <c:ext xmlns:c16="http://schemas.microsoft.com/office/drawing/2014/chart" uri="{C3380CC4-5D6E-409C-BE32-E72D297353CC}">
              <c16:uniqueId val="{00000003-3F61-4817-B232-F068D4EB6E29}"/>
            </c:ext>
          </c:extLst>
        </c:ser>
        <c:ser>
          <c:idx val="4"/>
          <c:order val="4"/>
          <c:tx>
            <c:strRef>
              <c:f>'9-12-11'!$A$83</c:f>
              <c:strCache>
                <c:ptCount val="1"/>
                <c:pt idx="0">
                  <c:v>Site 44 (5)</c:v>
                </c:pt>
              </c:strCache>
            </c:strRef>
          </c:tx>
          <c:val>
            <c:numRef>
              <c:f>'9-12-11'!$D$84:$D$93</c:f>
              <c:numCache>
                <c:formatCode>0.00</c:formatCode>
                <c:ptCount val="10"/>
                <c:pt idx="0">
                  <c:v>7.54</c:v>
                </c:pt>
                <c:pt idx="1">
                  <c:v>7.55</c:v>
                </c:pt>
                <c:pt idx="2">
                  <c:v>7.33</c:v>
                </c:pt>
                <c:pt idx="3">
                  <c:v>7.33</c:v>
                </c:pt>
                <c:pt idx="4">
                  <c:v>7.33</c:v>
                </c:pt>
                <c:pt idx="5">
                  <c:v>7.24</c:v>
                </c:pt>
                <c:pt idx="6">
                  <c:v>7.27</c:v>
                </c:pt>
                <c:pt idx="7">
                  <c:v>7.04</c:v>
                </c:pt>
                <c:pt idx="8">
                  <c:v>6.97</c:v>
                </c:pt>
                <c:pt idx="9">
                  <c:v>6.87</c:v>
                </c:pt>
              </c:numCache>
            </c:numRef>
          </c:val>
          <c:smooth val="0"/>
          <c:extLst>
            <c:ext xmlns:c16="http://schemas.microsoft.com/office/drawing/2014/chart" uri="{C3380CC4-5D6E-409C-BE32-E72D297353CC}">
              <c16:uniqueId val="{00000004-3F61-4817-B232-F068D4EB6E29}"/>
            </c:ext>
          </c:extLst>
        </c:ser>
        <c:dLbls>
          <c:showLegendKey val="0"/>
          <c:showVal val="0"/>
          <c:showCatName val="0"/>
          <c:showSerName val="0"/>
          <c:showPercent val="0"/>
          <c:showBubbleSize val="0"/>
        </c:dLbls>
        <c:marker val="1"/>
        <c:smooth val="0"/>
        <c:axId val="157554944"/>
        <c:axId val="157560832"/>
      </c:lineChart>
      <c:catAx>
        <c:axId val="157554944"/>
        <c:scaling>
          <c:orientation val="minMax"/>
        </c:scaling>
        <c:delete val="0"/>
        <c:axPos val="b"/>
        <c:numFmt formatCode="General" sourceLinked="0"/>
        <c:majorTickMark val="none"/>
        <c:minorTickMark val="none"/>
        <c:tickLblPos val="nextTo"/>
        <c:crossAx val="157560832"/>
        <c:crosses val="autoZero"/>
        <c:auto val="1"/>
        <c:lblAlgn val="ctr"/>
        <c:lblOffset val="100"/>
        <c:noMultiLvlLbl val="0"/>
      </c:catAx>
      <c:valAx>
        <c:axId val="157560832"/>
        <c:scaling>
          <c:orientation val="minMax"/>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57554944"/>
        <c:crosses val="autoZero"/>
        <c:crossBetween val="between"/>
      </c:valAx>
    </c:plotArea>
    <c:legend>
      <c:legendPos val="r"/>
      <c:layout>
        <c:manualLayout>
          <c:xMode val="edge"/>
          <c:yMode val="edge"/>
          <c:x val="0.80383606722756107"/>
          <c:y val="0.22371135899679526"/>
          <c:w val="0.18321943083608877"/>
          <c:h val="0.4342678526855612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Conductance Profiles 9/12/2011</a:t>
            </a:r>
          </a:p>
        </c:rich>
      </c:tx>
      <c:layout>
        <c:manualLayout>
          <c:xMode val="edge"/>
          <c:yMode val="edge"/>
          <c:x val="0.14230270671238793"/>
          <c:y val="2.4084778420038592E-2"/>
        </c:manualLayout>
      </c:layout>
      <c:overlay val="0"/>
    </c:title>
    <c:autoTitleDeleted val="0"/>
    <c:plotArea>
      <c:layout/>
      <c:lineChart>
        <c:grouping val="standard"/>
        <c:varyColors val="0"/>
        <c:ser>
          <c:idx val="0"/>
          <c:order val="0"/>
          <c:tx>
            <c:strRef>
              <c:f>'9-12-11'!$B$7</c:f>
              <c:strCache>
                <c:ptCount val="1"/>
                <c:pt idx="0">
                  <c:v>Site 40 (CP)</c:v>
                </c:pt>
              </c:strCache>
            </c:strRef>
          </c:tx>
          <c:cat>
            <c:strRef>
              <c:f>'9-12-11'!$A$8:$A$22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'9-12-11'!$C$8:$C$22</c:f>
              <c:numCache>
                <c:formatCode>General</c:formatCode>
                <c:ptCount val="15"/>
                <c:pt idx="0">
                  <c:v>0.28599999999999998</c:v>
                </c:pt>
                <c:pt idx="1">
                  <c:v>0.28599999999999998</c:v>
                </c:pt>
                <c:pt idx="2">
                  <c:v>0.28599999999999998</c:v>
                </c:pt>
                <c:pt idx="3">
                  <c:v>0.28599999999999998</c:v>
                </c:pt>
                <c:pt idx="4">
                  <c:v>0.28599999999999998</c:v>
                </c:pt>
                <c:pt idx="5">
                  <c:v>0.28599999999999998</c:v>
                </c:pt>
                <c:pt idx="6">
                  <c:v>0.28599999999999998</c:v>
                </c:pt>
                <c:pt idx="7">
                  <c:v>0.28599999999999998</c:v>
                </c:pt>
                <c:pt idx="8">
                  <c:v>0.28599999999999998</c:v>
                </c:pt>
                <c:pt idx="9">
                  <c:v>0.28599999999999998</c:v>
                </c:pt>
                <c:pt idx="10">
                  <c:v>0.28599999999999998</c:v>
                </c:pt>
                <c:pt idx="11">
                  <c:v>0.28699999999999998</c:v>
                </c:pt>
                <c:pt idx="12">
                  <c:v>0.28499999999999998</c:v>
                </c:pt>
                <c:pt idx="13">
                  <c:v>0.28299999999999997</c:v>
                </c:pt>
                <c:pt idx="14">
                  <c:v>0.28199999999999997</c:v>
                </c:pt>
              </c:numCache>
            </c:numRef>
          </c:val>
          <c:smooth val="0"/>
          <c:extLst>
            <c:ext xmlns:c16="http://schemas.microsoft.com/office/drawing/2014/chart" uri="{C3380CC4-5D6E-409C-BE32-E72D297353CC}">
              <c16:uniqueId val="{00000000-F424-4D28-A249-A9E4B1F7D890}"/>
            </c:ext>
          </c:extLst>
        </c:ser>
        <c:ser>
          <c:idx val="1"/>
          <c:order val="1"/>
          <c:tx>
            <c:strRef>
              <c:f>'9-12-11'!$A$44</c:f>
              <c:strCache>
                <c:ptCount val="1"/>
                <c:pt idx="0">
                  <c:v>Site 41 (1)</c:v>
                </c:pt>
              </c:strCache>
            </c:strRef>
          </c:tx>
          <c:val>
            <c:numRef>
              <c:f>'9-12-11'!$C$45:$C$53</c:f>
              <c:numCache>
                <c:formatCode>General</c:formatCode>
                <c:ptCount val="9"/>
                <c:pt idx="0">
                  <c:v>0.28599999999999998</c:v>
                </c:pt>
                <c:pt idx="1">
                  <c:v>0.28599999999999998</c:v>
                </c:pt>
                <c:pt idx="2">
                  <c:v>0.28599999999999998</c:v>
                </c:pt>
                <c:pt idx="3">
                  <c:v>0.28599999999999998</c:v>
                </c:pt>
                <c:pt idx="4">
                  <c:v>0.28599999999999998</c:v>
                </c:pt>
                <c:pt idx="5">
                  <c:v>0.28599999999999998</c:v>
                </c:pt>
                <c:pt idx="6">
                  <c:v>0.28599999999999998</c:v>
                </c:pt>
                <c:pt idx="7">
                  <c:v>0.28599999999999998</c:v>
                </c:pt>
                <c:pt idx="8">
                  <c:v>0.28599999999999998</c:v>
                </c:pt>
              </c:numCache>
            </c:numRef>
          </c:val>
          <c:smooth val="0"/>
          <c:extLst>
            <c:ext xmlns:c16="http://schemas.microsoft.com/office/drawing/2014/chart" uri="{C3380CC4-5D6E-409C-BE32-E72D297353CC}">
              <c16:uniqueId val="{00000001-F424-4D28-A249-A9E4B1F7D890}"/>
            </c:ext>
          </c:extLst>
        </c:ser>
        <c:ser>
          <c:idx val="2"/>
          <c:order val="2"/>
          <c:tx>
            <c:strRef>
              <c:f>'9-12-11'!$A$58</c:f>
              <c:strCache>
                <c:ptCount val="1"/>
                <c:pt idx="0">
                  <c:v>Site 42 (3)</c:v>
                </c:pt>
              </c:strCache>
            </c:strRef>
          </c:tx>
          <c:val>
            <c:numRef>
              <c:f>'9-12-11'!$C$59:$C$67</c:f>
              <c:numCache>
                <c:formatCode>General</c:formatCode>
                <c:ptCount val="9"/>
                <c:pt idx="0">
                  <c:v>0.28599999999999998</c:v>
                </c:pt>
                <c:pt idx="1">
                  <c:v>0.28599999999999998</c:v>
                </c:pt>
                <c:pt idx="2">
                  <c:v>0.28599999999999998</c:v>
                </c:pt>
                <c:pt idx="3">
                  <c:v>0.28599999999999998</c:v>
                </c:pt>
                <c:pt idx="4">
                  <c:v>0.28599999999999998</c:v>
                </c:pt>
                <c:pt idx="5">
                  <c:v>0.28599999999999998</c:v>
                </c:pt>
                <c:pt idx="6">
                  <c:v>0.28599999999999998</c:v>
                </c:pt>
                <c:pt idx="7">
                  <c:v>0.28599999999999998</c:v>
                </c:pt>
                <c:pt idx="8">
                  <c:v>0.28599999999999998</c:v>
                </c:pt>
              </c:numCache>
            </c:numRef>
          </c:val>
          <c:smooth val="0"/>
          <c:extLst>
            <c:ext xmlns:c16="http://schemas.microsoft.com/office/drawing/2014/chart" uri="{C3380CC4-5D6E-409C-BE32-E72D297353CC}">
              <c16:uniqueId val="{00000002-F424-4D28-A249-A9E4B1F7D890}"/>
            </c:ext>
          </c:extLst>
        </c:ser>
        <c:ser>
          <c:idx val="3"/>
          <c:order val="3"/>
          <c:tx>
            <c:strRef>
              <c:f>'9-12-11'!$A$72</c:f>
              <c:strCache>
                <c:ptCount val="1"/>
                <c:pt idx="0">
                  <c:v>Site 43 (4)</c:v>
                </c:pt>
              </c:strCache>
            </c:strRef>
          </c:tx>
          <c:val>
            <c:numRef>
              <c:f>'9-12-11'!$C$73:$C$80</c:f>
              <c:numCache>
                <c:formatCode>General</c:formatCode>
                <c:ptCount val="8"/>
                <c:pt idx="0">
                  <c:v>0.28699999999999998</c:v>
                </c:pt>
                <c:pt idx="1">
                  <c:v>0.28599999999999998</c:v>
                </c:pt>
                <c:pt idx="2">
                  <c:v>0.28599999999999998</c:v>
                </c:pt>
                <c:pt idx="3">
                  <c:v>0.28599999999999998</c:v>
                </c:pt>
                <c:pt idx="4">
                  <c:v>0.28599999999999998</c:v>
                </c:pt>
                <c:pt idx="5">
                  <c:v>0.28599999999999998</c:v>
                </c:pt>
                <c:pt idx="6">
                  <c:v>0.28699999999999998</c:v>
                </c:pt>
                <c:pt idx="7">
                  <c:v>0.28799999999999998</c:v>
                </c:pt>
              </c:numCache>
            </c:numRef>
          </c:val>
          <c:smooth val="0"/>
          <c:extLst>
            <c:ext xmlns:c16="http://schemas.microsoft.com/office/drawing/2014/chart" uri="{C3380CC4-5D6E-409C-BE32-E72D297353CC}">
              <c16:uniqueId val="{00000003-F424-4D28-A249-A9E4B1F7D890}"/>
            </c:ext>
          </c:extLst>
        </c:ser>
        <c:ser>
          <c:idx val="4"/>
          <c:order val="4"/>
          <c:tx>
            <c:strRef>
              <c:f>'9-12-11'!$A$83</c:f>
              <c:strCache>
                <c:ptCount val="1"/>
                <c:pt idx="0">
                  <c:v>Site 44 (5)</c:v>
                </c:pt>
              </c:strCache>
            </c:strRef>
          </c:tx>
          <c:val>
            <c:numRef>
              <c:f>'9-12-11'!$C$84:$C$93</c:f>
              <c:numCache>
                <c:formatCode>General</c:formatCode>
                <c:ptCount val="10"/>
                <c:pt idx="0">
                  <c:v>0.28599999999999998</c:v>
                </c:pt>
                <c:pt idx="1">
                  <c:v>0.28599999999999998</c:v>
                </c:pt>
                <c:pt idx="2">
                  <c:v>0.28599999999999998</c:v>
                </c:pt>
                <c:pt idx="3">
                  <c:v>0.28599999999999998</c:v>
                </c:pt>
                <c:pt idx="4">
                  <c:v>0.28599999999999998</c:v>
                </c:pt>
                <c:pt idx="5">
                  <c:v>0.28599999999999998</c:v>
                </c:pt>
                <c:pt idx="6">
                  <c:v>0.28599999999999998</c:v>
                </c:pt>
                <c:pt idx="7">
                  <c:v>0.28699999999999998</c:v>
                </c:pt>
                <c:pt idx="8">
                  <c:v>0.28499999999999998</c:v>
                </c:pt>
                <c:pt idx="9">
                  <c:v>0.28199999999999997</c:v>
                </c:pt>
              </c:numCache>
            </c:numRef>
          </c:val>
          <c:smooth val="0"/>
          <c:extLst>
            <c:ext xmlns:c16="http://schemas.microsoft.com/office/drawing/2014/chart" uri="{C3380CC4-5D6E-409C-BE32-E72D297353CC}">
              <c16:uniqueId val="{00000004-F424-4D28-A249-A9E4B1F7D890}"/>
            </c:ext>
          </c:extLst>
        </c:ser>
        <c:dLbls>
          <c:showLegendKey val="0"/>
          <c:showVal val="0"/>
          <c:showCatName val="0"/>
          <c:showSerName val="0"/>
          <c:showPercent val="0"/>
          <c:showBubbleSize val="0"/>
        </c:dLbls>
        <c:marker val="1"/>
        <c:smooth val="0"/>
        <c:axId val="157588480"/>
        <c:axId val="157606656"/>
      </c:lineChart>
      <c:catAx>
        <c:axId val="157588480"/>
        <c:scaling>
          <c:orientation val="minMax"/>
        </c:scaling>
        <c:delete val="0"/>
        <c:axPos val="b"/>
        <c:numFmt formatCode="General" sourceLinked="0"/>
        <c:majorTickMark val="none"/>
        <c:minorTickMark val="none"/>
        <c:tickLblPos val="nextTo"/>
        <c:crossAx val="157606656"/>
        <c:crosses val="autoZero"/>
        <c:auto val="1"/>
        <c:lblAlgn val="ctr"/>
        <c:lblOffset val="100"/>
        <c:noMultiLvlLbl val="0"/>
      </c:catAx>
      <c:valAx>
        <c:axId val="157606656"/>
        <c:scaling>
          <c:orientation val="minMax"/>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57588480"/>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9/12/2011</a:t>
            </a:r>
          </a:p>
        </c:rich>
      </c:tx>
      <c:overlay val="0"/>
    </c:title>
    <c:autoTitleDeleted val="0"/>
    <c:plotArea>
      <c:layout/>
      <c:lineChart>
        <c:grouping val="standard"/>
        <c:varyColors val="0"/>
        <c:ser>
          <c:idx val="0"/>
          <c:order val="0"/>
          <c:tx>
            <c:strRef>
              <c:f>'9-12-11'!$B$7</c:f>
              <c:strCache>
                <c:ptCount val="1"/>
                <c:pt idx="0">
                  <c:v>Site 40 (CP)</c:v>
                </c:pt>
              </c:strCache>
            </c:strRef>
          </c:tx>
          <c:cat>
            <c:strRef>
              <c:f>'9-12-11'!$A$8:$A$22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'9-12-11'!$F$8:$F$22</c:f>
              <c:numCache>
                <c:formatCode>General</c:formatCode>
                <c:ptCount val="15"/>
                <c:pt idx="0">
                  <c:v>8.32</c:v>
                </c:pt>
                <c:pt idx="1">
                  <c:v>8.32</c:v>
                </c:pt>
                <c:pt idx="2">
                  <c:v>8.33</c:v>
                </c:pt>
                <c:pt idx="3">
                  <c:v>8.34</c:v>
                </c:pt>
                <c:pt idx="4">
                  <c:v>8.33</c:v>
                </c:pt>
                <c:pt idx="5">
                  <c:v>8.3000000000000007</c:v>
                </c:pt>
                <c:pt idx="6">
                  <c:v>8.35</c:v>
                </c:pt>
                <c:pt idx="7">
                  <c:v>8.3800000000000008</c:v>
                </c:pt>
                <c:pt idx="8">
                  <c:v>8.3699999999999992</c:v>
                </c:pt>
                <c:pt idx="9">
                  <c:v>8.4600000000000009</c:v>
                </c:pt>
                <c:pt idx="10">
                  <c:v>8.41</c:v>
                </c:pt>
                <c:pt idx="11">
                  <c:v>8.41</c:v>
                </c:pt>
                <c:pt idx="12">
                  <c:v>8.34</c:v>
                </c:pt>
                <c:pt idx="13">
                  <c:v>8.1300000000000008</c:v>
                </c:pt>
                <c:pt idx="14">
                  <c:v>8.1199999999999992</c:v>
                </c:pt>
              </c:numCache>
            </c:numRef>
          </c:val>
          <c:smooth val="0"/>
          <c:extLst>
            <c:ext xmlns:c16="http://schemas.microsoft.com/office/drawing/2014/chart" uri="{C3380CC4-5D6E-409C-BE32-E72D297353CC}">
              <c16:uniqueId val="{00000000-33AE-4D1D-A95E-C7410F90708B}"/>
            </c:ext>
          </c:extLst>
        </c:ser>
        <c:ser>
          <c:idx val="1"/>
          <c:order val="1"/>
          <c:tx>
            <c:strRef>
              <c:f>'9-12-11'!$A$44</c:f>
              <c:strCache>
                <c:ptCount val="1"/>
                <c:pt idx="0">
                  <c:v>Site 41 (1)</c:v>
                </c:pt>
              </c:strCache>
            </c:strRef>
          </c:tx>
          <c:val>
            <c:numRef>
              <c:f>'9-12-11'!$F$45:$F$53</c:f>
              <c:numCache>
                <c:formatCode>General</c:formatCode>
                <c:ptCount val="9"/>
                <c:pt idx="0">
                  <c:v>8.4</c:v>
                </c:pt>
                <c:pt idx="1">
                  <c:v>8.4</c:v>
                </c:pt>
                <c:pt idx="2">
                  <c:v>8.4</c:v>
                </c:pt>
                <c:pt idx="3">
                  <c:v>8.3699999999999992</c:v>
                </c:pt>
                <c:pt idx="4">
                  <c:v>8.39</c:v>
                </c:pt>
                <c:pt idx="5">
                  <c:v>8.39</c:v>
                </c:pt>
                <c:pt idx="6">
                  <c:v>8.3800000000000008</c:v>
                </c:pt>
                <c:pt idx="7">
                  <c:v>8.41</c:v>
                </c:pt>
                <c:pt idx="8">
                  <c:v>8.26</c:v>
                </c:pt>
              </c:numCache>
            </c:numRef>
          </c:val>
          <c:smooth val="0"/>
          <c:extLst>
            <c:ext xmlns:c16="http://schemas.microsoft.com/office/drawing/2014/chart" uri="{C3380CC4-5D6E-409C-BE32-E72D297353CC}">
              <c16:uniqueId val="{00000001-33AE-4D1D-A95E-C7410F90708B}"/>
            </c:ext>
          </c:extLst>
        </c:ser>
        <c:ser>
          <c:idx val="2"/>
          <c:order val="2"/>
          <c:tx>
            <c:strRef>
              <c:f>'9-12-11'!$A$58</c:f>
              <c:strCache>
                <c:ptCount val="1"/>
                <c:pt idx="0">
                  <c:v>Site 42 (3)</c:v>
                </c:pt>
              </c:strCache>
            </c:strRef>
          </c:tx>
          <c:val>
            <c:numRef>
              <c:f>'9-12-11'!$F$59:$F$67</c:f>
              <c:numCache>
                <c:formatCode>General</c:formatCode>
                <c:ptCount val="9"/>
                <c:pt idx="0">
                  <c:v>8.56</c:v>
                </c:pt>
                <c:pt idx="1">
                  <c:v>8.6199999999999992</c:v>
                </c:pt>
                <c:pt idx="2">
                  <c:v>8.69</c:v>
                </c:pt>
                <c:pt idx="3">
                  <c:v>8.7100000000000009</c:v>
                </c:pt>
                <c:pt idx="4">
                  <c:v>8.68</c:v>
                </c:pt>
                <c:pt idx="5">
                  <c:v>8.7200000000000006</c:v>
                </c:pt>
                <c:pt idx="6">
                  <c:v>8.8000000000000007</c:v>
                </c:pt>
                <c:pt idx="7">
                  <c:v>8.77</c:v>
                </c:pt>
                <c:pt idx="8">
                  <c:v>8.7200000000000006</c:v>
                </c:pt>
              </c:numCache>
            </c:numRef>
          </c:val>
          <c:smooth val="0"/>
          <c:extLst>
            <c:ext xmlns:c16="http://schemas.microsoft.com/office/drawing/2014/chart" uri="{C3380CC4-5D6E-409C-BE32-E72D297353CC}">
              <c16:uniqueId val="{00000002-33AE-4D1D-A95E-C7410F90708B}"/>
            </c:ext>
          </c:extLst>
        </c:ser>
        <c:ser>
          <c:idx val="3"/>
          <c:order val="3"/>
          <c:tx>
            <c:strRef>
              <c:f>'9-12-11'!$A$72</c:f>
              <c:strCache>
                <c:ptCount val="1"/>
                <c:pt idx="0">
                  <c:v>Site 43 (4)</c:v>
                </c:pt>
              </c:strCache>
            </c:strRef>
          </c:tx>
          <c:val>
            <c:numRef>
              <c:f>'9-12-11'!$F$73:$F$80</c:f>
              <c:numCache>
                <c:formatCode>General</c:formatCode>
                <c:ptCount val="8"/>
                <c:pt idx="0">
                  <c:v>8.6999999999999993</c:v>
                </c:pt>
                <c:pt idx="1">
                  <c:v>8.76</c:v>
                </c:pt>
                <c:pt idx="2">
                  <c:v>8.73</c:v>
                </c:pt>
                <c:pt idx="3">
                  <c:v>8.81</c:v>
                </c:pt>
                <c:pt idx="4">
                  <c:v>8.81</c:v>
                </c:pt>
                <c:pt idx="5">
                  <c:v>8.7899999999999991</c:v>
                </c:pt>
                <c:pt idx="6">
                  <c:v>8.76</c:v>
                </c:pt>
                <c:pt idx="7">
                  <c:v>8.6999999999999993</c:v>
                </c:pt>
              </c:numCache>
            </c:numRef>
          </c:val>
          <c:smooth val="0"/>
          <c:extLst>
            <c:ext xmlns:c16="http://schemas.microsoft.com/office/drawing/2014/chart" uri="{C3380CC4-5D6E-409C-BE32-E72D297353CC}">
              <c16:uniqueId val="{00000003-33AE-4D1D-A95E-C7410F90708B}"/>
            </c:ext>
          </c:extLst>
        </c:ser>
        <c:ser>
          <c:idx val="4"/>
          <c:order val="4"/>
          <c:tx>
            <c:strRef>
              <c:f>'9-12-11'!$A$83</c:f>
              <c:strCache>
                <c:ptCount val="1"/>
                <c:pt idx="0">
                  <c:v>Site 44 (5)</c:v>
                </c:pt>
              </c:strCache>
            </c:strRef>
          </c:tx>
          <c:val>
            <c:numRef>
              <c:f>'9-12-11'!$F$84:$F$93</c:f>
              <c:numCache>
                <c:formatCode>0.00</c:formatCode>
                <c:ptCount val="10"/>
                <c:pt idx="0">
                  <c:v>8.7799999999999994</c:v>
                </c:pt>
                <c:pt idx="1">
                  <c:v>8.81</c:v>
                </c:pt>
                <c:pt idx="2">
                  <c:v>8.84</c:v>
                </c:pt>
                <c:pt idx="3">
                  <c:v>8.81</c:v>
                </c:pt>
                <c:pt idx="4">
                  <c:v>8.91</c:v>
                </c:pt>
                <c:pt idx="5">
                  <c:v>8.8800000000000008</c:v>
                </c:pt>
                <c:pt idx="6">
                  <c:v>8.86</c:v>
                </c:pt>
                <c:pt idx="7">
                  <c:v>8.8800000000000008</c:v>
                </c:pt>
                <c:pt idx="8">
                  <c:v>8.9</c:v>
                </c:pt>
                <c:pt idx="9">
                  <c:v>8.7100000000000009</c:v>
                </c:pt>
              </c:numCache>
            </c:numRef>
          </c:val>
          <c:smooth val="0"/>
          <c:extLst>
            <c:ext xmlns:c16="http://schemas.microsoft.com/office/drawing/2014/chart" uri="{C3380CC4-5D6E-409C-BE32-E72D297353CC}">
              <c16:uniqueId val="{00000004-33AE-4D1D-A95E-C7410F90708B}"/>
            </c:ext>
          </c:extLst>
        </c:ser>
        <c:dLbls>
          <c:showLegendKey val="0"/>
          <c:showVal val="0"/>
          <c:showCatName val="0"/>
          <c:showSerName val="0"/>
          <c:showPercent val="0"/>
          <c:showBubbleSize val="0"/>
        </c:dLbls>
        <c:marker val="1"/>
        <c:smooth val="0"/>
        <c:axId val="161861632"/>
        <c:axId val="161863168"/>
      </c:lineChart>
      <c:catAx>
        <c:axId val="161861632"/>
        <c:scaling>
          <c:orientation val="minMax"/>
        </c:scaling>
        <c:delete val="0"/>
        <c:axPos val="b"/>
        <c:numFmt formatCode="General" sourceLinked="0"/>
        <c:majorTickMark val="none"/>
        <c:minorTickMark val="none"/>
        <c:tickLblPos val="nextTo"/>
        <c:crossAx val="161863168"/>
        <c:crosses val="autoZero"/>
        <c:auto val="1"/>
        <c:lblAlgn val="ctr"/>
        <c:lblOffset val="100"/>
        <c:noMultiLvlLbl val="0"/>
      </c:catAx>
      <c:valAx>
        <c:axId val="161863168"/>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61861632"/>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(9/26/2011)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922"/>
        </c:manualLayout>
      </c:layout>
      <c:lineChart>
        <c:grouping val="standard"/>
        <c:varyColors val="0"/>
        <c:ser>
          <c:idx val="0"/>
          <c:order val="0"/>
          <c:tx>
            <c:strRef>
              <c:f>'9-26-11'!$D$3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'9-26-11'!$D$8:$D$22</c:f>
              <c:numCache>
                <c:formatCode>General</c:formatCode>
                <c:ptCount val="15"/>
                <c:pt idx="0">
                  <c:v>7.02</c:v>
                </c:pt>
                <c:pt idx="1">
                  <c:v>6.96</c:v>
                </c:pt>
                <c:pt idx="2">
                  <c:v>6.81</c:v>
                </c:pt>
                <c:pt idx="3">
                  <c:v>6.79</c:v>
                </c:pt>
                <c:pt idx="4">
                  <c:v>6.8</c:v>
                </c:pt>
                <c:pt idx="5">
                  <c:v>6.78</c:v>
                </c:pt>
                <c:pt idx="6">
                  <c:v>6.91</c:v>
                </c:pt>
                <c:pt idx="7">
                  <c:v>6.84</c:v>
                </c:pt>
                <c:pt idx="8">
                  <c:v>7.04</c:v>
                </c:pt>
                <c:pt idx="9" formatCode="0.00">
                  <c:v>6.73</c:v>
                </c:pt>
                <c:pt idx="10" formatCode="0.00">
                  <c:v>6.47</c:v>
                </c:pt>
                <c:pt idx="11" formatCode="0.00">
                  <c:v>6.89</c:v>
                </c:pt>
                <c:pt idx="12" formatCode="0.00">
                  <c:v>6.74</c:v>
                </c:pt>
                <c:pt idx="13" formatCode="0.00">
                  <c:v>6.32</c:v>
                </c:pt>
                <c:pt idx="14">
                  <c:v>6.24</c:v>
                </c:pt>
              </c:numCache>
            </c:numRef>
          </c:val>
          <c:smooth val="0"/>
          <c:extLst>
            <c:ext xmlns:c16="http://schemas.microsoft.com/office/drawing/2014/chart" uri="{C3380CC4-5D6E-409C-BE32-E72D297353CC}">
              <c16:uniqueId val="{00000000-3C56-4F62-8B68-F67A389BC932}"/>
            </c:ext>
          </c:extLst>
        </c:ser>
        <c:ser>
          <c:idx val="1"/>
          <c:order val="1"/>
          <c:tx>
            <c:strRef>
              <c:f>'9-26-11'!$E$3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'9-26-11'!$E$8:$E$22</c:f>
              <c:numCache>
                <c:formatCode>General</c:formatCode>
                <c:ptCount val="15"/>
                <c:pt idx="0">
                  <c:v>17.8</c:v>
                </c:pt>
                <c:pt idx="1">
                  <c:v>17.8</c:v>
                </c:pt>
                <c:pt idx="2">
                  <c:v>17.8</c:v>
                </c:pt>
                <c:pt idx="3">
                  <c:v>17.8</c:v>
                </c:pt>
                <c:pt idx="4">
                  <c:v>17.7</c:v>
                </c:pt>
                <c:pt idx="5">
                  <c:v>17.7</c:v>
                </c:pt>
                <c:pt idx="6">
                  <c:v>17.7</c:v>
                </c:pt>
                <c:pt idx="7">
                  <c:v>17.7</c:v>
                </c:pt>
                <c:pt idx="8">
                  <c:v>17.7</c:v>
                </c:pt>
                <c:pt idx="9">
                  <c:v>17.7</c:v>
                </c:pt>
                <c:pt idx="10">
                  <c:v>17.7</c:v>
                </c:pt>
                <c:pt idx="11">
                  <c:v>17.7</c:v>
                </c:pt>
                <c:pt idx="12">
                  <c:v>17.600000000000001</c:v>
                </c:pt>
                <c:pt idx="13">
                  <c:v>17.2</c:v>
                </c:pt>
                <c:pt idx="14">
                  <c:v>17.2</c:v>
                </c:pt>
              </c:numCache>
            </c:numRef>
          </c:val>
          <c:smooth val="0"/>
          <c:extLst>
            <c:ext xmlns:c16="http://schemas.microsoft.com/office/drawing/2014/chart" uri="{C3380CC4-5D6E-409C-BE32-E72D297353CC}">
              <c16:uniqueId val="{00000001-3C56-4F62-8B68-F67A389BC932}"/>
            </c:ext>
          </c:extLst>
        </c:ser>
        <c:dLbls>
          <c:showLegendKey val="0"/>
          <c:showVal val="0"/>
          <c:showCatName val="0"/>
          <c:showSerName val="0"/>
          <c:showPercent val="0"/>
          <c:showBubbleSize val="0"/>
        </c:dLbls>
        <c:smooth val="0"/>
        <c:axId val="163101312"/>
        <c:axId val="163111296"/>
      </c:lineChart>
      <c:catAx>
        <c:axId val="163101312"/>
        <c:scaling>
          <c:orientation val="minMax"/>
        </c:scaling>
        <c:delete val="0"/>
        <c:axPos val="b"/>
        <c:minorGridlines/>
        <c:numFmt formatCode="General" sourceLinked="0"/>
        <c:majorTickMark val="out"/>
        <c:minorTickMark val="none"/>
        <c:tickLblPos val="nextTo"/>
        <c:crossAx val="163111296"/>
        <c:crosses val="autoZero"/>
        <c:auto val="1"/>
        <c:lblAlgn val="ctr"/>
        <c:lblOffset val="100"/>
        <c:noMultiLvlLbl val="0"/>
      </c:catAx>
      <c:valAx>
        <c:axId val="163111296"/>
        <c:scaling>
          <c:orientation val="minMax"/>
        </c:scaling>
        <c:delete val="0"/>
        <c:axPos val="l"/>
        <c:majorGridlines/>
        <c:minorGridlines/>
        <c:numFmt formatCode="General" sourceLinked="1"/>
        <c:majorTickMark val="out"/>
        <c:minorTickMark val="none"/>
        <c:tickLblPos val="nextTo"/>
        <c:crossAx val="163101312"/>
        <c:crosses val="autoZero"/>
        <c:crossBetween val="midCat"/>
      </c:valAx>
    </c:plotArea>
    <c:legend>
      <c:legendPos val="r"/>
      <c:layout>
        <c:manualLayout>
          <c:xMode val="edge"/>
          <c:yMode val="edge"/>
          <c:x val="0.10969656420098242"/>
          <c:y val="0.32520297538434934"/>
          <c:w val="0.1474862204724488"/>
          <c:h val="0.15758530183727931"/>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Nitrate Distribution In Water Column</a:t>
            </a:r>
          </a:p>
        </c:rich>
      </c:tx>
      <c:layout>
        <c:manualLayout>
          <c:xMode val="edge"/>
          <c:yMode val="edge"/>
          <c:x val="0.23166023166023444"/>
          <c:y val="3.333333333333334E-2"/>
        </c:manualLayout>
      </c:layout>
      <c:overlay val="0"/>
      <c:spPr>
        <a:noFill/>
        <a:ln w="25400">
          <a:noFill/>
        </a:ln>
      </c:spPr>
    </c:title>
    <c:autoTitleDeleted val="0"/>
    <c:plotArea>
      <c:layout>
        <c:manualLayout>
          <c:layoutTarget val="inner"/>
          <c:xMode val="edge"/>
          <c:yMode val="edge"/>
          <c:x val="0.16023166023166022"/>
          <c:y val="0.12820566659936741"/>
          <c:w val="0.81274131274133365"/>
          <c:h val="0.71795033313143564"/>
        </c:manualLayout>
      </c:layout>
      <c:barChart>
        <c:barDir val="col"/>
        <c:grouping val="stacked"/>
        <c:varyColors val="0"/>
        <c:ser>
          <c:idx val="0"/>
          <c:order val="0"/>
          <c:tx>
            <c:strRef>
              <c:f>'Nitrate Trends'!$E$3</c:f>
              <c:strCache>
                <c:ptCount val="1"/>
                <c:pt idx="0">
                  <c:v>Reservoir Top</c:v>
                </c:pt>
              </c:strCache>
            </c:strRef>
          </c:tx>
          <c:spPr>
            <a:solidFill>
              <a:srgbClr val="9999FF"/>
            </a:solidFill>
            <a:ln w="12700">
              <a:solidFill>
                <a:srgbClr val="000000"/>
              </a:solidFill>
              <a:prstDash val="solid"/>
            </a:ln>
          </c:spPr>
          <c:invertIfNegative val="0"/>
          <c:cat>
            <c:numRef>
              <c:f>'Nitrate Trends'!$F$3:$F$23</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'Nitrate Trends'!$G$3:$G$23</c:f>
              <c:numCache>
                <c:formatCode>0</c:formatCode>
                <c:ptCount val="21"/>
                <c:pt idx="0">
                  <c:v>442</c:v>
                </c:pt>
                <c:pt idx="1">
                  <c:v>288</c:v>
                </c:pt>
                <c:pt idx="2">
                  <c:v>504</c:v>
                </c:pt>
                <c:pt idx="3">
                  <c:v>382</c:v>
                </c:pt>
                <c:pt idx="4">
                  <c:v>474</c:v>
                </c:pt>
                <c:pt idx="5">
                  <c:v>577.75</c:v>
                </c:pt>
                <c:pt idx="6">
                  <c:v>392.83071428571424</c:v>
                </c:pt>
                <c:pt idx="7">
                  <c:v>388</c:v>
                </c:pt>
                <c:pt idx="8">
                  <c:v>224</c:v>
                </c:pt>
                <c:pt idx="9">
                  <c:v>431</c:v>
                </c:pt>
                <c:pt idx="10">
                  <c:v>401</c:v>
                </c:pt>
                <c:pt idx="11">
                  <c:v>289</c:v>
                </c:pt>
                <c:pt idx="12">
                  <c:v>268</c:v>
                </c:pt>
                <c:pt idx="13">
                  <c:v>268</c:v>
                </c:pt>
                <c:pt idx="14">
                  <c:v>186</c:v>
                </c:pt>
                <c:pt idx="15">
                  <c:v>158</c:v>
                </c:pt>
                <c:pt idx="16">
                  <c:v>222</c:v>
                </c:pt>
                <c:pt idx="17">
                  <c:v>233</c:v>
                </c:pt>
                <c:pt idx="18">
                  <c:v>291</c:v>
                </c:pt>
                <c:pt idx="19">
                  <c:v>287</c:v>
                </c:pt>
                <c:pt idx="20">
                  <c:v>158</c:v>
                </c:pt>
              </c:numCache>
            </c:numRef>
          </c:val>
          <c:extLst>
            <c:ext xmlns:c16="http://schemas.microsoft.com/office/drawing/2014/chart" uri="{C3380CC4-5D6E-409C-BE32-E72D297353CC}">
              <c16:uniqueId val="{00000000-9F23-4602-BAE8-63FDF3910945}"/>
            </c:ext>
          </c:extLst>
        </c:ser>
        <c:ser>
          <c:idx val="2"/>
          <c:order val="1"/>
          <c:tx>
            <c:strRef>
              <c:f>'Nitrate Trends'!$E$47</c:f>
              <c:strCache>
                <c:ptCount val="1"/>
                <c:pt idx="0">
                  <c:v>Reservoir Bottom</c:v>
                </c:pt>
              </c:strCache>
            </c:strRef>
          </c:tx>
          <c:spPr>
            <a:solidFill>
              <a:schemeClr val="accent3">
                <a:lumMod val="60000"/>
                <a:lumOff val="40000"/>
              </a:schemeClr>
            </a:solidFill>
            <a:ln w="12700">
              <a:solidFill>
                <a:srgbClr val="000000"/>
              </a:solidFill>
              <a:prstDash val="solid"/>
            </a:ln>
          </c:spPr>
          <c:invertIfNegative val="0"/>
          <c:cat>
            <c:numRef>
              <c:f>'Nitrate Trends'!$F$3:$F$23</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'Nitrate Trends'!$G$47:$G$67</c:f>
              <c:numCache>
                <c:formatCode>0</c:formatCode>
                <c:ptCount val="21"/>
                <c:pt idx="0">
                  <c:v>341</c:v>
                </c:pt>
                <c:pt idx="1">
                  <c:v>228</c:v>
                </c:pt>
                <c:pt idx="2">
                  <c:v>332</c:v>
                </c:pt>
                <c:pt idx="3">
                  <c:v>308</c:v>
                </c:pt>
                <c:pt idx="4">
                  <c:v>503</c:v>
                </c:pt>
                <c:pt idx="5">
                  <c:v>560.9375</c:v>
                </c:pt>
                <c:pt idx="6">
                  <c:v>340.9935714285715</c:v>
                </c:pt>
                <c:pt idx="7">
                  <c:v>342</c:v>
                </c:pt>
                <c:pt idx="8">
                  <c:v>231</c:v>
                </c:pt>
                <c:pt idx="9">
                  <c:v>483</c:v>
                </c:pt>
                <c:pt idx="10">
                  <c:v>390</c:v>
                </c:pt>
                <c:pt idx="11">
                  <c:v>268</c:v>
                </c:pt>
                <c:pt idx="12">
                  <c:v>259</c:v>
                </c:pt>
                <c:pt idx="13">
                  <c:v>224</c:v>
                </c:pt>
                <c:pt idx="14">
                  <c:v>210</c:v>
                </c:pt>
                <c:pt idx="15">
                  <c:v>151</c:v>
                </c:pt>
                <c:pt idx="16">
                  <c:v>232</c:v>
                </c:pt>
                <c:pt idx="17">
                  <c:v>230</c:v>
                </c:pt>
                <c:pt idx="18">
                  <c:v>244</c:v>
                </c:pt>
                <c:pt idx="19">
                  <c:v>222</c:v>
                </c:pt>
                <c:pt idx="20">
                  <c:v>186</c:v>
                </c:pt>
              </c:numCache>
            </c:numRef>
          </c:val>
          <c:extLst>
            <c:ext xmlns:c16="http://schemas.microsoft.com/office/drawing/2014/chart" uri="{C3380CC4-5D6E-409C-BE32-E72D297353CC}">
              <c16:uniqueId val="{00000001-9F23-4602-BAE8-63FDF3910945}"/>
            </c:ext>
          </c:extLst>
        </c:ser>
        <c:dLbls>
          <c:showLegendKey val="0"/>
          <c:showVal val="0"/>
          <c:showCatName val="0"/>
          <c:showSerName val="0"/>
          <c:showPercent val="0"/>
          <c:showBubbleSize val="0"/>
        </c:dLbls>
        <c:gapWidth val="70"/>
        <c:overlap val="100"/>
        <c:axId val="97080064"/>
        <c:axId val="97081600"/>
      </c:barChart>
      <c:catAx>
        <c:axId val="9708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000" b="1" i="0" u="none" strike="noStrike" baseline="0">
                <a:solidFill>
                  <a:srgbClr val="000000"/>
                </a:solidFill>
                <a:latin typeface="Arial"/>
                <a:ea typeface="Arial"/>
                <a:cs typeface="Arial"/>
              </a:defRPr>
            </a:pPr>
            <a:endParaRPr lang="en-US"/>
          </a:p>
        </c:txPr>
        <c:crossAx val="97081600"/>
        <c:crosses val="autoZero"/>
        <c:auto val="1"/>
        <c:lblAlgn val="ctr"/>
        <c:lblOffset val="100"/>
        <c:tickLblSkip val="1"/>
        <c:tickMarkSkip val="1"/>
        <c:noMultiLvlLbl val="0"/>
      </c:catAx>
      <c:valAx>
        <c:axId val="970816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Nitrate ug/l</a:t>
                </a:r>
              </a:p>
            </c:rich>
          </c:tx>
          <c:layout>
            <c:manualLayout>
              <c:xMode val="edge"/>
              <c:yMode val="edge"/>
              <c:x val="3.0888030888030892E-2"/>
              <c:y val="0.453847230634632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97080064"/>
        <c:crosses val="autoZero"/>
        <c:crossBetween val="between"/>
      </c:valAx>
      <c:spPr>
        <a:solidFill>
          <a:srgbClr val="FFFFFF"/>
        </a:solidFill>
        <a:ln w="12700">
          <a:solidFill>
            <a:srgbClr val="808080"/>
          </a:solidFill>
          <a:prstDash val="solid"/>
        </a:ln>
      </c:spPr>
    </c:plotArea>
    <c:legend>
      <c:legendPos val="t"/>
      <c:layout>
        <c:manualLayout>
          <c:xMode val="edge"/>
          <c:yMode val="edge"/>
          <c:x val="0.73833144710122245"/>
          <c:y val="0.1916950433551827"/>
          <c:w val="0.19283761548155087"/>
          <c:h val="0.16498687664041992"/>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9/26/2011</a:t>
            </a:r>
          </a:p>
        </c:rich>
      </c:tx>
      <c:overlay val="0"/>
    </c:title>
    <c:autoTitleDeleted val="0"/>
    <c:plotArea>
      <c:layout/>
      <c:lineChart>
        <c:grouping val="standard"/>
        <c:varyColors val="0"/>
        <c:ser>
          <c:idx val="0"/>
          <c:order val="0"/>
          <c:tx>
            <c:strRef>
              <c:f>'9-26-11'!$B$7</c:f>
              <c:strCache>
                <c:ptCount val="1"/>
                <c:pt idx="0">
                  <c:v>Site 40 (CP)</c:v>
                </c:pt>
              </c:strCache>
            </c:strRef>
          </c:tx>
          <c:cat>
            <c:strRef>
              <c:f>'9-26-11'!$A$8:$A$22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'9-26-11'!$D$8:$D$22</c:f>
              <c:numCache>
                <c:formatCode>General</c:formatCode>
                <c:ptCount val="15"/>
                <c:pt idx="0">
                  <c:v>7.02</c:v>
                </c:pt>
                <c:pt idx="1">
                  <c:v>6.96</c:v>
                </c:pt>
                <c:pt idx="2">
                  <c:v>6.81</c:v>
                </c:pt>
                <c:pt idx="3">
                  <c:v>6.79</c:v>
                </c:pt>
                <c:pt idx="4">
                  <c:v>6.8</c:v>
                </c:pt>
                <c:pt idx="5">
                  <c:v>6.78</c:v>
                </c:pt>
                <c:pt idx="6">
                  <c:v>6.91</c:v>
                </c:pt>
                <c:pt idx="7">
                  <c:v>6.84</c:v>
                </c:pt>
                <c:pt idx="8">
                  <c:v>7.04</c:v>
                </c:pt>
                <c:pt idx="9" formatCode="0.00">
                  <c:v>6.73</c:v>
                </c:pt>
                <c:pt idx="10" formatCode="0.00">
                  <c:v>6.47</c:v>
                </c:pt>
                <c:pt idx="11" formatCode="0.00">
                  <c:v>6.89</c:v>
                </c:pt>
                <c:pt idx="12" formatCode="0.00">
                  <c:v>6.74</c:v>
                </c:pt>
                <c:pt idx="13" formatCode="0.00">
                  <c:v>6.32</c:v>
                </c:pt>
                <c:pt idx="14">
                  <c:v>6.24</c:v>
                </c:pt>
              </c:numCache>
            </c:numRef>
          </c:val>
          <c:smooth val="0"/>
          <c:extLst>
            <c:ext xmlns:c16="http://schemas.microsoft.com/office/drawing/2014/chart" uri="{C3380CC4-5D6E-409C-BE32-E72D297353CC}">
              <c16:uniqueId val="{00000000-FDDA-472E-A3D0-9F1F89E72ABB}"/>
            </c:ext>
          </c:extLst>
        </c:ser>
        <c:ser>
          <c:idx val="1"/>
          <c:order val="1"/>
          <c:tx>
            <c:strRef>
              <c:f>'9-26-11'!$A$44</c:f>
              <c:strCache>
                <c:ptCount val="1"/>
                <c:pt idx="0">
                  <c:v>Site 41 (1)</c:v>
                </c:pt>
              </c:strCache>
            </c:strRef>
          </c:tx>
          <c:val>
            <c:numRef>
              <c:f>'9-26-11'!$D$45:$D$56</c:f>
              <c:numCache>
                <c:formatCode>General</c:formatCode>
                <c:ptCount val="12"/>
                <c:pt idx="0">
                  <c:v>7.44</c:v>
                </c:pt>
                <c:pt idx="1">
                  <c:v>7.06</c:v>
                </c:pt>
                <c:pt idx="2">
                  <c:v>6.75</c:v>
                </c:pt>
                <c:pt idx="3">
                  <c:v>6.5</c:v>
                </c:pt>
                <c:pt idx="4">
                  <c:v>6.48</c:v>
                </c:pt>
                <c:pt idx="5">
                  <c:v>6.38</c:v>
                </c:pt>
                <c:pt idx="6">
                  <c:v>6.4</c:v>
                </c:pt>
                <c:pt idx="7">
                  <c:v>6.47</c:v>
                </c:pt>
                <c:pt idx="8">
                  <c:v>6.44</c:v>
                </c:pt>
                <c:pt idx="9">
                  <c:v>6.54</c:v>
                </c:pt>
                <c:pt idx="10">
                  <c:v>6.39</c:v>
                </c:pt>
                <c:pt idx="11">
                  <c:v>6.09</c:v>
                </c:pt>
              </c:numCache>
            </c:numRef>
          </c:val>
          <c:smooth val="0"/>
          <c:extLst>
            <c:ext xmlns:c16="http://schemas.microsoft.com/office/drawing/2014/chart" uri="{C3380CC4-5D6E-409C-BE32-E72D297353CC}">
              <c16:uniqueId val="{00000001-FDDA-472E-A3D0-9F1F89E72ABB}"/>
            </c:ext>
          </c:extLst>
        </c:ser>
        <c:ser>
          <c:idx val="2"/>
          <c:order val="2"/>
          <c:tx>
            <c:strRef>
              <c:f>'9-26-11'!$A$58</c:f>
              <c:strCache>
                <c:ptCount val="1"/>
                <c:pt idx="0">
                  <c:v>Site 42 (3)</c:v>
                </c:pt>
              </c:strCache>
            </c:strRef>
          </c:tx>
          <c:val>
            <c:numRef>
              <c:f>'9-26-11'!$D$59:$D$67</c:f>
              <c:numCache>
                <c:formatCode>General</c:formatCode>
                <c:ptCount val="9"/>
                <c:pt idx="0">
                  <c:v>6.81</c:v>
                </c:pt>
                <c:pt idx="1">
                  <c:v>6.7</c:v>
                </c:pt>
                <c:pt idx="2">
                  <c:v>6.61</c:v>
                </c:pt>
                <c:pt idx="3">
                  <c:v>6.68</c:v>
                </c:pt>
                <c:pt idx="4">
                  <c:v>6.72</c:v>
                </c:pt>
                <c:pt idx="5">
                  <c:v>6.51</c:v>
                </c:pt>
                <c:pt idx="6">
                  <c:v>6.69</c:v>
                </c:pt>
                <c:pt idx="7">
                  <c:v>6.67</c:v>
                </c:pt>
                <c:pt idx="8">
                  <c:v>6.02</c:v>
                </c:pt>
              </c:numCache>
            </c:numRef>
          </c:val>
          <c:smooth val="0"/>
          <c:extLst>
            <c:ext xmlns:c16="http://schemas.microsoft.com/office/drawing/2014/chart" uri="{C3380CC4-5D6E-409C-BE32-E72D297353CC}">
              <c16:uniqueId val="{00000002-FDDA-472E-A3D0-9F1F89E72ABB}"/>
            </c:ext>
          </c:extLst>
        </c:ser>
        <c:ser>
          <c:idx val="3"/>
          <c:order val="3"/>
          <c:tx>
            <c:strRef>
              <c:f>'9-26-11'!$A$72</c:f>
              <c:strCache>
                <c:ptCount val="1"/>
                <c:pt idx="0">
                  <c:v>Site 43 (4)</c:v>
                </c:pt>
              </c:strCache>
            </c:strRef>
          </c:tx>
          <c:val>
            <c:numRef>
              <c:f>'9-26-11'!$D$73:$D$80</c:f>
              <c:numCache>
                <c:formatCode>General</c:formatCode>
                <c:ptCount val="8"/>
                <c:pt idx="0">
                  <c:v>7.05</c:v>
                </c:pt>
                <c:pt idx="1">
                  <c:v>6.75</c:v>
                </c:pt>
                <c:pt idx="2">
                  <c:v>7.69</c:v>
                </c:pt>
                <c:pt idx="3">
                  <c:v>6.75</c:v>
                </c:pt>
                <c:pt idx="4">
                  <c:v>6.84</c:v>
                </c:pt>
                <c:pt idx="5">
                  <c:v>6.76</c:v>
                </c:pt>
                <c:pt idx="6">
                  <c:v>6.25</c:v>
                </c:pt>
                <c:pt idx="7">
                  <c:v>5.25</c:v>
                </c:pt>
              </c:numCache>
            </c:numRef>
          </c:val>
          <c:smooth val="0"/>
          <c:extLst>
            <c:ext xmlns:c16="http://schemas.microsoft.com/office/drawing/2014/chart" uri="{C3380CC4-5D6E-409C-BE32-E72D297353CC}">
              <c16:uniqueId val="{00000003-FDDA-472E-A3D0-9F1F89E72ABB}"/>
            </c:ext>
          </c:extLst>
        </c:ser>
        <c:ser>
          <c:idx val="4"/>
          <c:order val="4"/>
          <c:tx>
            <c:strRef>
              <c:f>'9-26-11'!$A$83</c:f>
              <c:strCache>
                <c:ptCount val="1"/>
                <c:pt idx="0">
                  <c:v>Site 44 (5)</c:v>
                </c:pt>
              </c:strCache>
            </c:strRef>
          </c:tx>
          <c:val>
            <c:numRef>
              <c:f>'9-26-11'!$D$84:$D$93</c:f>
              <c:numCache>
                <c:formatCode>0.00</c:formatCode>
                <c:ptCount val="10"/>
                <c:pt idx="0">
                  <c:v>6.86</c:v>
                </c:pt>
                <c:pt idx="1">
                  <c:v>7.04</c:v>
                </c:pt>
                <c:pt idx="2">
                  <c:v>7.06</c:v>
                </c:pt>
                <c:pt idx="3">
                  <c:v>6.67</c:v>
                </c:pt>
                <c:pt idx="4">
                  <c:v>6.75</c:v>
                </c:pt>
                <c:pt idx="5">
                  <c:v>6.82</c:v>
                </c:pt>
                <c:pt idx="6">
                  <c:v>6.87</c:v>
                </c:pt>
                <c:pt idx="7">
                  <c:v>6.89</c:v>
                </c:pt>
                <c:pt idx="8">
                  <c:v>6.66</c:v>
                </c:pt>
                <c:pt idx="9">
                  <c:v>6.7</c:v>
                </c:pt>
              </c:numCache>
            </c:numRef>
          </c:val>
          <c:smooth val="0"/>
          <c:extLst>
            <c:ext xmlns:c16="http://schemas.microsoft.com/office/drawing/2014/chart" uri="{C3380CC4-5D6E-409C-BE32-E72D297353CC}">
              <c16:uniqueId val="{00000004-FDDA-472E-A3D0-9F1F89E72ABB}"/>
            </c:ext>
          </c:extLst>
        </c:ser>
        <c:dLbls>
          <c:showLegendKey val="0"/>
          <c:showVal val="0"/>
          <c:showCatName val="0"/>
          <c:showSerName val="0"/>
          <c:showPercent val="0"/>
          <c:showBubbleSize val="0"/>
        </c:dLbls>
        <c:marker val="1"/>
        <c:smooth val="0"/>
        <c:axId val="163159040"/>
        <c:axId val="163164928"/>
      </c:lineChart>
      <c:catAx>
        <c:axId val="163159040"/>
        <c:scaling>
          <c:orientation val="minMax"/>
        </c:scaling>
        <c:delete val="0"/>
        <c:axPos val="b"/>
        <c:numFmt formatCode="General" sourceLinked="0"/>
        <c:majorTickMark val="none"/>
        <c:minorTickMark val="none"/>
        <c:tickLblPos val="nextTo"/>
        <c:crossAx val="163164928"/>
        <c:crosses val="autoZero"/>
        <c:auto val="1"/>
        <c:lblAlgn val="ctr"/>
        <c:lblOffset val="100"/>
        <c:noMultiLvlLbl val="0"/>
      </c:catAx>
      <c:valAx>
        <c:axId val="163164928"/>
        <c:scaling>
          <c:orientation val="minMax"/>
        </c:scaling>
        <c:delete val="0"/>
        <c:axPos val="l"/>
        <c:majorGridlines/>
        <c:minorGridlines/>
        <c:title>
          <c:tx>
            <c:rich>
              <a:bodyPr/>
              <a:lstStyle/>
              <a:p>
                <a:pPr>
                  <a:defRPr/>
                </a:pPr>
                <a:r>
                  <a:rPr lang="en-US"/>
                  <a:t>DO mg/l</a:t>
                </a:r>
              </a:p>
            </c:rich>
          </c:tx>
          <c:overlay val="0"/>
        </c:title>
        <c:numFmt formatCode="General" sourceLinked="1"/>
        <c:majorTickMark val="none"/>
        <c:minorTickMark val="none"/>
        <c:tickLblPos val="nextTo"/>
        <c:crossAx val="163159040"/>
        <c:crosses val="autoZero"/>
        <c:crossBetween val="between"/>
      </c:valAx>
    </c:plotArea>
    <c:legend>
      <c:legendPos val="r"/>
      <c:layout>
        <c:manualLayout>
          <c:xMode val="edge"/>
          <c:yMode val="edge"/>
          <c:x val="0.80383606722756107"/>
          <c:y val="0.22371135899679526"/>
          <c:w val="0.18321943083608852"/>
          <c:h val="0.4342678526855612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Conductance Profiles 9/26/2011</a:t>
            </a:r>
          </a:p>
        </c:rich>
      </c:tx>
      <c:layout>
        <c:manualLayout>
          <c:xMode val="edge"/>
          <c:yMode val="edge"/>
          <c:x val="0.14230270671238793"/>
          <c:y val="2.4084778420038592E-2"/>
        </c:manualLayout>
      </c:layout>
      <c:overlay val="0"/>
    </c:title>
    <c:autoTitleDeleted val="0"/>
    <c:plotArea>
      <c:layout/>
      <c:lineChart>
        <c:grouping val="standard"/>
        <c:varyColors val="0"/>
        <c:ser>
          <c:idx val="0"/>
          <c:order val="0"/>
          <c:tx>
            <c:strRef>
              <c:f>'9-26-11'!$B$7</c:f>
              <c:strCache>
                <c:ptCount val="1"/>
                <c:pt idx="0">
                  <c:v>Site 40 (CP)</c:v>
                </c:pt>
              </c:strCache>
            </c:strRef>
          </c:tx>
          <c:cat>
            <c:strRef>
              <c:f>'9-26-11'!$A$8:$A$22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'9-26-11'!$C$8:$C$22</c:f>
              <c:numCache>
                <c:formatCode>General</c:formatCode>
                <c:ptCount val="15"/>
                <c:pt idx="0">
                  <c:v>0.311</c:v>
                </c:pt>
                <c:pt idx="1">
                  <c:v>0.312</c:v>
                </c:pt>
                <c:pt idx="2">
                  <c:v>0.312</c:v>
                </c:pt>
                <c:pt idx="3">
                  <c:v>0.312</c:v>
                </c:pt>
                <c:pt idx="4">
                  <c:v>0.312</c:v>
                </c:pt>
                <c:pt idx="5">
                  <c:v>0.312</c:v>
                </c:pt>
                <c:pt idx="6">
                  <c:v>0.312</c:v>
                </c:pt>
                <c:pt idx="7">
                  <c:v>0.312</c:v>
                </c:pt>
                <c:pt idx="8">
                  <c:v>0.312</c:v>
                </c:pt>
                <c:pt idx="9">
                  <c:v>0.312</c:v>
                </c:pt>
                <c:pt idx="10">
                  <c:v>0.312</c:v>
                </c:pt>
                <c:pt idx="11">
                  <c:v>0.312</c:v>
                </c:pt>
                <c:pt idx="12">
                  <c:v>0.312</c:v>
                </c:pt>
                <c:pt idx="13">
                  <c:v>0.30299999999999999</c:v>
                </c:pt>
                <c:pt idx="14">
                  <c:v>0.30199999999999999</c:v>
                </c:pt>
              </c:numCache>
            </c:numRef>
          </c:val>
          <c:smooth val="0"/>
          <c:extLst>
            <c:ext xmlns:c16="http://schemas.microsoft.com/office/drawing/2014/chart" uri="{C3380CC4-5D6E-409C-BE32-E72D297353CC}">
              <c16:uniqueId val="{00000000-DCD9-4AD1-AE58-15BCAF18685C}"/>
            </c:ext>
          </c:extLst>
        </c:ser>
        <c:ser>
          <c:idx val="1"/>
          <c:order val="1"/>
          <c:tx>
            <c:strRef>
              <c:f>'9-26-11'!$A$44</c:f>
              <c:strCache>
                <c:ptCount val="1"/>
                <c:pt idx="0">
                  <c:v>Site 41 (1)</c:v>
                </c:pt>
              </c:strCache>
            </c:strRef>
          </c:tx>
          <c:val>
            <c:numRef>
              <c:f>'9-26-11'!$C$45:$C$56</c:f>
              <c:numCache>
                <c:formatCode>General</c:formatCode>
                <c:ptCount val="12"/>
                <c:pt idx="0">
                  <c:v>0.313</c:v>
                </c:pt>
                <c:pt idx="1">
                  <c:v>0.313</c:v>
                </c:pt>
                <c:pt idx="2">
                  <c:v>0.313</c:v>
                </c:pt>
                <c:pt idx="3">
                  <c:v>0.313</c:v>
                </c:pt>
                <c:pt idx="4">
                  <c:v>0.313</c:v>
                </c:pt>
                <c:pt idx="5">
                  <c:v>0.313</c:v>
                </c:pt>
                <c:pt idx="6">
                  <c:v>0.313</c:v>
                </c:pt>
                <c:pt idx="7">
                  <c:v>0.313</c:v>
                </c:pt>
                <c:pt idx="8">
                  <c:v>0.313</c:v>
                </c:pt>
                <c:pt idx="9">
                  <c:v>0.313</c:v>
                </c:pt>
                <c:pt idx="10">
                  <c:v>0.313</c:v>
                </c:pt>
                <c:pt idx="11">
                  <c:v>0.314</c:v>
                </c:pt>
              </c:numCache>
            </c:numRef>
          </c:val>
          <c:smooth val="0"/>
          <c:extLst>
            <c:ext xmlns:c16="http://schemas.microsoft.com/office/drawing/2014/chart" uri="{C3380CC4-5D6E-409C-BE32-E72D297353CC}">
              <c16:uniqueId val="{00000001-DCD9-4AD1-AE58-15BCAF18685C}"/>
            </c:ext>
          </c:extLst>
        </c:ser>
        <c:ser>
          <c:idx val="2"/>
          <c:order val="2"/>
          <c:tx>
            <c:strRef>
              <c:f>'9-26-11'!$A$58</c:f>
              <c:strCache>
                <c:ptCount val="1"/>
                <c:pt idx="0">
                  <c:v>Site 42 (3)</c:v>
                </c:pt>
              </c:strCache>
            </c:strRef>
          </c:tx>
          <c:val>
            <c:numRef>
              <c:f>'9-26-11'!$C$59:$C$67</c:f>
              <c:numCache>
                <c:formatCode>General</c:formatCode>
                <c:ptCount val="9"/>
                <c:pt idx="0">
                  <c:v>0.313</c:v>
                </c:pt>
                <c:pt idx="1">
                  <c:v>0.313</c:v>
                </c:pt>
                <c:pt idx="2">
                  <c:v>0.313</c:v>
                </c:pt>
                <c:pt idx="3">
                  <c:v>0.313</c:v>
                </c:pt>
                <c:pt idx="4">
                  <c:v>0.313</c:v>
                </c:pt>
                <c:pt idx="5">
                  <c:v>0.313</c:v>
                </c:pt>
                <c:pt idx="6">
                  <c:v>0.313</c:v>
                </c:pt>
                <c:pt idx="7">
                  <c:v>0.313</c:v>
                </c:pt>
                <c:pt idx="8">
                  <c:v>0.313</c:v>
                </c:pt>
              </c:numCache>
            </c:numRef>
          </c:val>
          <c:smooth val="0"/>
          <c:extLst>
            <c:ext xmlns:c16="http://schemas.microsoft.com/office/drawing/2014/chart" uri="{C3380CC4-5D6E-409C-BE32-E72D297353CC}">
              <c16:uniqueId val="{00000002-DCD9-4AD1-AE58-15BCAF18685C}"/>
            </c:ext>
          </c:extLst>
        </c:ser>
        <c:ser>
          <c:idx val="3"/>
          <c:order val="3"/>
          <c:tx>
            <c:strRef>
              <c:f>'9-26-11'!$A$72</c:f>
              <c:strCache>
                <c:ptCount val="1"/>
                <c:pt idx="0">
                  <c:v>Site 43 (4)</c:v>
                </c:pt>
              </c:strCache>
            </c:strRef>
          </c:tx>
          <c:val>
            <c:numRef>
              <c:f>'9-26-11'!$C$73:$C$80</c:f>
              <c:numCache>
                <c:formatCode>General</c:formatCode>
                <c:ptCount val="8"/>
                <c:pt idx="0">
                  <c:v>0.313</c:v>
                </c:pt>
                <c:pt idx="1">
                  <c:v>0.314</c:v>
                </c:pt>
                <c:pt idx="2">
                  <c:v>0.313</c:v>
                </c:pt>
                <c:pt idx="3">
                  <c:v>0.314</c:v>
                </c:pt>
                <c:pt idx="4">
                  <c:v>0.313</c:v>
                </c:pt>
                <c:pt idx="5">
                  <c:v>0.314</c:v>
                </c:pt>
                <c:pt idx="6">
                  <c:v>0.315</c:v>
                </c:pt>
                <c:pt idx="7">
                  <c:v>0.317</c:v>
                </c:pt>
              </c:numCache>
            </c:numRef>
          </c:val>
          <c:smooth val="0"/>
          <c:extLst>
            <c:ext xmlns:c16="http://schemas.microsoft.com/office/drawing/2014/chart" uri="{C3380CC4-5D6E-409C-BE32-E72D297353CC}">
              <c16:uniqueId val="{00000003-DCD9-4AD1-AE58-15BCAF18685C}"/>
            </c:ext>
          </c:extLst>
        </c:ser>
        <c:ser>
          <c:idx val="4"/>
          <c:order val="4"/>
          <c:tx>
            <c:strRef>
              <c:f>'9-26-11'!$A$83</c:f>
              <c:strCache>
                <c:ptCount val="1"/>
                <c:pt idx="0">
                  <c:v>Site 44 (5)</c:v>
                </c:pt>
              </c:strCache>
            </c:strRef>
          </c:tx>
          <c:val>
            <c:numRef>
              <c:f>'9-26-11'!$C$84:$C$93</c:f>
              <c:numCache>
                <c:formatCode>General</c:formatCode>
                <c:ptCount val="10"/>
                <c:pt idx="0">
                  <c:v>0.312</c:v>
                </c:pt>
                <c:pt idx="1">
                  <c:v>0.311</c:v>
                </c:pt>
                <c:pt idx="2">
                  <c:v>0.311</c:v>
                </c:pt>
                <c:pt idx="3">
                  <c:v>0.311</c:v>
                </c:pt>
                <c:pt idx="4">
                  <c:v>0.311</c:v>
                </c:pt>
                <c:pt idx="5">
                  <c:v>0.311</c:v>
                </c:pt>
                <c:pt idx="6">
                  <c:v>0.311</c:v>
                </c:pt>
                <c:pt idx="7">
                  <c:v>0.311</c:v>
                </c:pt>
                <c:pt idx="8">
                  <c:v>0.311</c:v>
                </c:pt>
                <c:pt idx="9">
                  <c:v>0.311</c:v>
                </c:pt>
              </c:numCache>
            </c:numRef>
          </c:val>
          <c:smooth val="0"/>
          <c:extLst>
            <c:ext xmlns:c16="http://schemas.microsoft.com/office/drawing/2014/chart" uri="{C3380CC4-5D6E-409C-BE32-E72D297353CC}">
              <c16:uniqueId val="{00000004-DCD9-4AD1-AE58-15BCAF18685C}"/>
            </c:ext>
          </c:extLst>
        </c:ser>
        <c:dLbls>
          <c:showLegendKey val="0"/>
          <c:showVal val="0"/>
          <c:showCatName val="0"/>
          <c:showSerName val="0"/>
          <c:showPercent val="0"/>
          <c:showBubbleSize val="0"/>
        </c:dLbls>
        <c:marker val="1"/>
        <c:smooth val="0"/>
        <c:axId val="165695488"/>
        <c:axId val="165697024"/>
      </c:lineChart>
      <c:catAx>
        <c:axId val="165695488"/>
        <c:scaling>
          <c:orientation val="minMax"/>
        </c:scaling>
        <c:delete val="0"/>
        <c:axPos val="b"/>
        <c:numFmt formatCode="General" sourceLinked="0"/>
        <c:majorTickMark val="none"/>
        <c:minorTickMark val="none"/>
        <c:tickLblPos val="nextTo"/>
        <c:crossAx val="165697024"/>
        <c:crosses val="autoZero"/>
        <c:auto val="1"/>
        <c:lblAlgn val="ctr"/>
        <c:lblOffset val="100"/>
        <c:noMultiLvlLbl val="0"/>
      </c:catAx>
      <c:valAx>
        <c:axId val="165697024"/>
        <c:scaling>
          <c:orientation val="minMax"/>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65695488"/>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9/26/2011</a:t>
            </a:r>
          </a:p>
        </c:rich>
      </c:tx>
      <c:overlay val="0"/>
    </c:title>
    <c:autoTitleDeleted val="0"/>
    <c:plotArea>
      <c:layout/>
      <c:lineChart>
        <c:grouping val="standard"/>
        <c:varyColors val="0"/>
        <c:ser>
          <c:idx val="0"/>
          <c:order val="0"/>
          <c:tx>
            <c:strRef>
              <c:f>'9-26-11'!$B$7</c:f>
              <c:strCache>
                <c:ptCount val="1"/>
                <c:pt idx="0">
                  <c:v>Site 40 (CP)</c:v>
                </c:pt>
              </c:strCache>
            </c:strRef>
          </c:tx>
          <c:cat>
            <c:strRef>
              <c:f>'9-26-11'!$A$8:$A$22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'9-26-11'!$F$8:$F$22</c:f>
              <c:numCache>
                <c:formatCode>General</c:formatCode>
                <c:ptCount val="15"/>
                <c:pt idx="0">
                  <c:v>7.93</c:v>
                </c:pt>
                <c:pt idx="1">
                  <c:v>7.84</c:v>
                </c:pt>
                <c:pt idx="2">
                  <c:v>7.8</c:v>
                </c:pt>
                <c:pt idx="3">
                  <c:v>7.79</c:v>
                </c:pt>
                <c:pt idx="4">
                  <c:v>7.79</c:v>
                </c:pt>
                <c:pt idx="5">
                  <c:v>7.79</c:v>
                </c:pt>
                <c:pt idx="6">
                  <c:v>7.75</c:v>
                </c:pt>
                <c:pt idx="7">
                  <c:v>7.74</c:v>
                </c:pt>
                <c:pt idx="8">
                  <c:v>7.74</c:v>
                </c:pt>
                <c:pt idx="9">
                  <c:v>7.73</c:v>
                </c:pt>
                <c:pt idx="10">
                  <c:v>7.76</c:v>
                </c:pt>
                <c:pt idx="11">
                  <c:v>7.77</c:v>
                </c:pt>
                <c:pt idx="12">
                  <c:v>7.78</c:v>
                </c:pt>
                <c:pt idx="13">
                  <c:v>7.74</c:v>
                </c:pt>
                <c:pt idx="14">
                  <c:v>7.65</c:v>
                </c:pt>
              </c:numCache>
            </c:numRef>
          </c:val>
          <c:smooth val="0"/>
          <c:extLst>
            <c:ext xmlns:c16="http://schemas.microsoft.com/office/drawing/2014/chart" uri="{C3380CC4-5D6E-409C-BE32-E72D297353CC}">
              <c16:uniqueId val="{00000000-481C-4F46-9E61-98230D96244C}"/>
            </c:ext>
          </c:extLst>
        </c:ser>
        <c:ser>
          <c:idx val="1"/>
          <c:order val="1"/>
          <c:tx>
            <c:strRef>
              <c:f>'9-26-11'!$A$44</c:f>
              <c:strCache>
                <c:ptCount val="1"/>
                <c:pt idx="0">
                  <c:v>Site 41 (1)</c:v>
                </c:pt>
              </c:strCache>
            </c:strRef>
          </c:tx>
          <c:val>
            <c:numRef>
              <c:f>'9-26-11'!$F$45:$F$56</c:f>
              <c:numCache>
                <c:formatCode>General</c:formatCode>
                <c:ptCount val="12"/>
                <c:pt idx="0">
                  <c:v>8.19</c:v>
                </c:pt>
                <c:pt idx="1">
                  <c:v>8.08</c:v>
                </c:pt>
                <c:pt idx="2">
                  <c:v>8.01</c:v>
                </c:pt>
                <c:pt idx="3">
                  <c:v>7.97</c:v>
                </c:pt>
                <c:pt idx="4">
                  <c:v>7.93</c:v>
                </c:pt>
                <c:pt idx="5">
                  <c:v>7.92</c:v>
                </c:pt>
                <c:pt idx="6">
                  <c:v>7.89</c:v>
                </c:pt>
                <c:pt idx="7">
                  <c:v>7.88</c:v>
                </c:pt>
                <c:pt idx="8">
                  <c:v>7.88</c:v>
                </c:pt>
                <c:pt idx="9">
                  <c:v>7.84</c:v>
                </c:pt>
                <c:pt idx="10">
                  <c:v>7.82</c:v>
                </c:pt>
                <c:pt idx="11">
                  <c:v>7.81</c:v>
                </c:pt>
              </c:numCache>
            </c:numRef>
          </c:val>
          <c:smooth val="0"/>
          <c:extLst>
            <c:ext xmlns:c16="http://schemas.microsoft.com/office/drawing/2014/chart" uri="{C3380CC4-5D6E-409C-BE32-E72D297353CC}">
              <c16:uniqueId val="{00000001-481C-4F46-9E61-98230D96244C}"/>
            </c:ext>
          </c:extLst>
        </c:ser>
        <c:ser>
          <c:idx val="2"/>
          <c:order val="2"/>
          <c:tx>
            <c:strRef>
              <c:f>'9-26-11'!$A$58</c:f>
              <c:strCache>
                <c:ptCount val="1"/>
                <c:pt idx="0">
                  <c:v>Site 42 (3)</c:v>
                </c:pt>
              </c:strCache>
            </c:strRef>
          </c:tx>
          <c:val>
            <c:numRef>
              <c:f>'9-26-11'!$F$59:$F$67</c:f>
              <c:numCache>
                <c:formatCode>General</c:formatCode>
                <c:ptCount val="9"/>
                <c:pt idx="0">
                  <c:v>7.94</c:v>
                </c:pt>
                <c:pt idx="1">
                  <c:v>7.96</c:v>
                </c:pt>
                <c:pt idx="2">
                  <c:v>7.94</c:v>
                </c:pt>
                <c:pt idx="3">
                  <c:v>7.92</c:v>
                </c:pt>
                <c:pt idx="4">
                  <c:v>7.96</c:v>
                </c:pt>
                <c:pt idx="5">
                  <c:v>7.92</c:v>
                </c:pt>
                <c:pt idx="6">
                  <c:v>7.86</c:v>
                </c:pt>
                <c:pt idx="7">
                  <c:v>7.86</c:v>
                </c:pt>
                <c:pt idx="8">
                  <c:v>7.86</c:v>
                </c:pt>
              </c:numCache>
            </c:numRef>
          </c:val>
          <c:smooth val="0"/>
          <c:extLst>
            <c:ext xmlns:c16="http://schemas.microsoft.com/office/drawing/2014/chart" uri="{C3380CC4-5D6E-409C-BE32-E72D297353CC}">
              <c16:uniqueId val="{00000002-481C-4F46-9E61-98230D96244C}"/>
            </c:ext>
          </c:extLst>
        </c:ser>
        <c:ser>
          <c:idx val="3"/>
          <c:order val="3"/>
          <c:tx>
            <c:strRef>
              <c:f>'9-26-11'!$A$72</c:f>
              <c:strCache>
                <c:ptCount val="1"/>
                <c:pt idx="0">
                  <c:v>Site 43 (4)</c:v>
                </c:pt>
              </c:strCache>
            </c:strRef>
          </c:tx>
          <c:val>
            <c:numRef>
              <c:f>'9-26-11'!$F$73:$F$80</c:f>
              <c:numCache>
                <c:formatCode>General</c:formatCode>
                <c:ptCount val="8"/>
                <c:pt idx="0">
                  <c:v>8.1999999999999993</c:v>
                </c:pt>
                <c:pt idx="1">
                  <c:v>8.06</c:v>
                </c:pt>
                <c:pt idx="2">
                  <c:v>8.06</c:v>
                </c:pt>
                <c:pt idx="3">
                  <c:v>8.0500000000000007</c:v>
                </c:pt>
                <c:pt idx="4">
                  <c:v>8.0399999999999991</c:v>
                </c:pt>
                <c:pt idx="5">
                  <c:v>8.02</c:v>
                </c:pt>
                <c:pt idx="6">
                  <c:v>7.97</c:v>
                </c:pt>
                <c:pt idx="7">
                  <c:v>7.75</c:v>
                </c:pt>
              </c:numCache>
            </c:numRef>
          </c:val>
          <c:smooth val="0"/>
          <c:extLst>
            <c:ext xmlns:c16="http://schemas.microsoft.com/office/drawing/2014/chart" uri="{C3380CC4-5D6E-409C-BE32-E72D297353CC}">
              <c16:uniqueId val="{00000003-481C-4F46-9E61-98230D96244C}"/>
            </c:ext>
          </c:extLst>
        </c:ser>
        <c:ser>
          <c:idx val="4"/>
          <c:order val="4"/>
          <c:tx>
            <c:strRef>
              <c:f>'9-26-11'!$A$83</c:f>
              <c:strCache>
                <c:ptCount val="1"/>
                <c:pt idx="0">
                  <c:v>Site 44 (5)</c:v>
                </c:pt>
              </c:strCache>
            </c:strRef>
          </c:tx>
          <c:val>
            <c:numRef>
              <c:f>'9-26-11'!$F$84:$F$93</c:f>
              <c:numCache>
                <c:formatCode>0.00</c:formatCode>
                <c:ptCount val="10"/>
                <c:pt idx="0">
                  <c:v>8.0399999999999991</c:v>
                </c:pt>
                <c:pt idx="1">
                  <c:v>8.0399999999999991</c:v>
                </c:pt>
                <c:pt idx="2">
                  <c:v>7.98</c:v>
                </c:pt>
                <c:pt idx="3">
                  <c:v>7.98</c:v>
                </c:pt>
                <c:pt idx="4">
                  <c:v>8</c:v>
                </c:pt>
                <c:pt idx="5">
                  <c:v>7.99</c:v>
                </c:pt>
                <c:pt idx="6">
                  <c:v>7.97</c:v>
                </c:pt>
                <c:pt idx="7">
                  <c:v>8.01</c:v>
                </c:pt>
                <c:pt idx="8">
                  <c:v>7.99</c:v>
                </c:pt>
                <c:pt idx="9">
                  <c:v>8</c:v>
                </c:pt>
              </c:numCache>
            </c:numRef>
          </c:val>
          <c:smooth val="0"/>
          <c:extLst>
            <c:ext xmlns:c16="http://schemas.microsoft.com/office/drawing/2014/chart" uri="{C3380CC4-5D6E-409C-BE32-E72D297353CC}">
              <c16:uniqueId val="{00000004-481C-4F46-9E61-98230D96244C}"/>
            </c:ext>
          </c:extLst>
        </c:ser>
        <c:dLbls>
          <c:showLegendKey val="0"/>
          <c:showVal val="0"/>
          <c:showCatName val="0"/>
          <c:showSerName val="0"/>
          <c:showPercent val="0"/>
          <c:showBubbleSize val="0"/>
        </c:dLbls>
        <c:marker val="1"/>
        <c:smooth val="0"/>
        <c:axId val="165831424"/>
        <c:axId val="165832960"/>
      </c:lineChart>
      <c:catAx>
        <c:axId val="165831424"/>
        <c:scaling>
          <c:orientation val="minMax"/>
        </c:scaling>
        <c:delete val="0"/>
        <c:axPos val="b"/>
        <c:numFmt formatCode="General" sourceLinked="0"/>
        <c:majorTickMark val="none"/>
        <c:minorTickMark val="none"/>
        <c:tickLblPos val="nextTo"/>
        <c:crossAx val="165832960"/>
        <c:crosses val="autoZero"/>
        <c:auto val="1"/>
        <c:lblAlgn val="ctr"/>
        <c:lblOffset val="100"/>
        <c:noMultiLvlLbl val="0"/>
      </c:catAx>
      <c:valAx>
        <c:axId val="165832960"/>
        <c:scaling>
          <c:orientation val="minMax"/>
        </c:scaling>
        <c:delete val="0"/>
        <c:axPos val="l"/>
        <c:majorGridlines/>
        <c:minorGridlines/>
        <c:title>
          <c:tx>
            <c:rich>
              <a:bodyPr/>
              <a:lstStyle/>
              <a:p>
                <a:pPr>
                  <a:defRPr/>
                </a:pPr>
                <a:r>
                  <a:rPr lang="en-US"/>
                  <a:t>pH</a:t>
                </a:r>
              </a:p>
            </c:rich>
          </c:tx>
          <c:overlay val="0"/>
        </c:title>
        <c:numFmt formatCode="General" sourceLinked="1"/>
        <c:majorTickMark val="none"/>
        <c:minorTickMark val="none"/>
        <c:tickLblPos val="nextTo"/>
        <c:crossAx val="165831424"/>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(10/17/2011)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922"/>
        </c:manualLayout>
      </c:layout>
      <c:lineChart>
        <c:grouping val="standard"/>
        <c:varyColors val="0"/>
        <c:ser>
          <c:idx val="0"/>
          <c:order val="0"/>
          <c:tx>
            <c:strRef>
              <c:f>'10-17-11'!$D$3</c:f>
              <c:strCache>
                <c:ptCount val="1"/>
                <c:pt idx="0">
                  <c:v>DO</c:v>
                </c:pt>
              </c:strCache>
            </c:strRef>
          </c:tx>
          <c:marker>
            <c:symbol val="none"/>
          </c:marker>
          <c:cat>
            <c:strRef>
              <c:f>'10-17-11'!$A$5:$A$19</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'10-17-11'!$D$5:$D$19</c:f>
              <c:numCache>
                <c:formatCode>General</c:formatCode>
                <c:ptCount val="15"/>
                <c:pt idx="0">
                  <c:v>9.61</c:v>
                </c:pt>
                <c:pt idx="1">
                  <c:v>9.4499999999999993</c:v>
                </c:pt>
                <c:pt idx="2">
                  <c:v>9.0500000000000007</c:v>
                </c:pt>
                <c:pt idx="3">
                  <c:v>9.1199999999999992</c:v>
                </c:pt>
                <c:pt idx="4">
                  <c:v>9.2899999999999991</c:v>
                </c:pt>
                <c:pt idx="5">
                  <c:v>9.16</c:v>
                </c:pt>
                <c:pt idx="6">
                  <c:v>8.51</c:v>
                </c:pt>
                <c:pt idx="7">
                  <c:v>8.5399999999999991</c:v>
                </c:pt>
                <c:pt idx="8">
                  <c:v>8.52</c:v>
                </c:pt>
                <c:pt idx="9" formatCode="0.00">
                  <c:v>8.33</c:v>
                </c:pt>
                <c:pt idx="10" formatCode="0.00">
                  <c:v>8.6</c:v>
                </c:pt>
                <c:pt idx="11" formatCode="0.00">
                  <c:v>8.76</c:v>
                </c:pt>
                <c:pt idx="12" formatCode="0.00">
                  <c:v>8.36</c:v>
                </c:pt>
                <c:pt idx="13" formatCode="0.00">
                  <c:v>7.41</c:v>
                </c:pt>
                <c:pt idx="14">
                  <c:v>7.74</c:v>
                </c:pt>
              </c:numCache>
            </c:numRef>
          </c:val>
          <c:smooth val="0"/>
          <c:extLst>
            <c:ext xmlns:c16="http://schemas.microsoft.com/office/drawing/2014/chart" uri="{C3380CC4-5D6E-409C-BE32-E72D297353CC}">
              <c16:uniqueId val="{00000000-11DD-4514-908E-F21AD0933F0D}"/>
            </c:ext>
          </c:extLst>
        </c:ser>
        <c:ser>
          <c:idx val="1"/>
          <c:order val="1"/>
          <c:tx>
            <c:strRef>
              <c:f>'10-17-11'!$E$3</c:f>
              <c:strCache>
                <c:ptCount val="1"/>
                <c:pt idx="0">
                  <c:v>Temp</c:v>
                </c:pt>
              </c:strCache>
            </c:strRef>
          </c:tx>
          <c:marker>
            <c:symbol val="none"/>
          </c:marker>
          <c:val>
            <c:numRef>
              <c:f>'10-17-11'!$E$5:$E$19</c:f>
              <c:numCache>
                <c:formatCode>General</c:formatCode>
                <c:ptCount val="15"/>
                <c:pt idx="0">
                  <c:v>13.5</c:v>
                </c:pt>
                <c:pt idx="1">
                  <c:v>13.5</c:v>
                </c:pt>
                <c:pt idx="2">
                  <c:v>13.5</c:v>
                </c:pt>
                <c:pt idx="3">
                  <c:v>13.5</c:v>
                </c:pt>
                <c:pt idx="4">
                  <c:v>13.5</c:v>
                </c:pt>
                <c:pt idx="5">
                  <c:v>13.5</c:v>
                </c:pt>
                <c:pt idx="6">
                  <c:v>13.5</c:v>
                </c:pt>
                <c:pt idx="7">
                  <c:v>13.5</c:v>
                </c:pt>
                <c:pt idx="8">
                  <c:v>13.5</c:v>
                </c:pt>
                <c:pt idx="9">
                  <c:v>13.4</c:v>
                </c:pt>
                <c:pt idx="10">
                  <c:v>13.3</c:v>
                </c:pt>
                <c:pt idx="11">
                  <c:v>13.3</c:v>
                </c:pt>
                <c:pt idx="12">
                  <c:v>13.3</c:v>
                </c:pt>
                <c:pt idx="13">
                  <c:v>12.9</c:v>
                </c:pt>
                <c:pt idx="14">
                  <c:v>12.5</c:v>
                </c:pt>
              </c:numCache>
            </c:numRef>
          </c:val>
          <c:smooth val="0"/>
          <c:extLst>
            <c:ext xmlns:c16="http://schemas.microsoft.com/office/drawing/2014/chart" uri="{C3380CC4-5D6E-409C-BE32-E72D297353CC}">
              <c16:uniqueId val="{00000001-11DD-4514-908E-F21AD0933F0D}"/>
            </c:ext>
          </c:extLst>
        </c:ser>
        <c:dLbls>
          <c:showLegendKey val="0"/>
          <c:showVal val="0"/>
          <c:showCatName val="0"/>
          <c:showSerName val="0"/>
          <c:showPercent val="0"/>
          <c:showBubbleSize val="0"/>
        </c:dLbls>
        <c:smooth val="0"/>
        <c:axId val="166043008"/>
        <c:axId val="166061184"/>
      </c:lineChart>
      <c:catAx>
        <c:axId val="166043008"/>
        <c:scaling>
          <c:orientation val="minMax"/>
        </c:scaling>
        <c:delete val="0"/>
        <c:axPos val="b"/>
        <c:minorGridlines/>
        <c:numFmt formatCode="General" sourceLinked="0"/>
        <c:majorTickMark val="out"/>
        <c:minorTickMark val="none"/>
        <c:tickLblPos val="nextTo"/>
        <c:crossAx val="166061184"/>
        <c:crosses val="autoZero"/>
        <c:auto val="1"/>
        <c:lblAlgn val="ctr"/>
        <c:lblOffset val="100"/>
        <c:noMultiLvlLbl val="0"/>
      </c:catAx>
      <c:valAx>
        <c:axId val="166061184"/>
        <c:scaling>
          <c:orientation val="minMax"/>
        </c:scaling>
        <c:delete val="0"/>
        <c:axPos val="l"/>
        <c:majorGridlines/>
        <c:minorGridlines/>
        <c:numFmt formatCode="General" sourceLinked="1"/>
        <c:majorTickMark val="out"/>
        <c:minorTickMark val="none"/>
        <c:tickLblPos val="nextTo"/>
        <c:crossAx val="166043008"/>
        <c:crosses val="autoZero"/>
        <c:crossBetween val="midCat"/>
      </c:valAx>
    </c:plotArea>
    <c:legend>
      <c:legendPos val="r"/>
      <c:layout>
        <c:manualLayout>
          <c:xMode val="edge"/>
          <c:yMode val="edge"/>
          <c:x val="0.11708754863549044"/>
          <c:y val="0.54416004827400033"/>
          <c:w val="0.13080820317796946"/>
          <c:h val="0.20838851496199104"/>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465" l="0.70000000000000062" r="0.70000000000000062" t="0.7500000000000146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Dissolved Oxygen Profiles 10/17/2011</a:t>
            </a:r>
          </a:p>
        </c:rich>
      </c:tx>
      <c:overlay val="0"/>
    </c:title>
    <c:autoTitleDeleted val="0"/>
    <c:plotArea>
      <c:layout/>
      <c:lineChart>
        <c:grouping val="standard"/>
        <c:varyColors val="0"/>
        <c:ser>
          <c:idx val="0"/>
          <c:order val="0"/>
          <c:tx>
            <c:strRef>
              <c:f>'10-17-11'!$A$3</c:f>
              <c:strCache>
                <c:ptCount val="1"/>
                <c:pt idx="0">
                  <c:v>Site 40</c:v>
                </c:pt>
              </c:strCache>
            </c:strRef>
          </c:tx>
          <c:cat>
            <c:strRef>
              <c:f>'10-17-11'!$A$5:$A$19</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'10-17-11'!$D$5:$D$19</c:f>
              <c:numCache>
                <c:formatCode>General</c:formatCode>
                <c:ptCount val="15"/>
                <c:pt idx="0">
                  <c:v>9.61</c:v>
                </c:pt>
                <c:pt idx="1">
                  <c:v>9.4499999999999993</c:v>
                </c:pt>
                <c:pt idx="2">
                  <c:v>9.0500000000000007</c:v>
                </c:pt>
                <c:pt idx="3">
                  <c:v>9.1199999999999992</c:v>
                </c:pt>
                <c:pt idx="4">
                  <c:v>9.2899999999999991</c:v>
                </c:pt>
                <c:pt idx="5">
                  <c:v>9.16</c:v>
                </c:pt>
                <c:pt idx="6">
                  <c:v>8.51</c:v>
                </c:pt>
                <c:pt idx="7">
                  <c:v>8.5399999999999991</c:v>
                </c:pt>
                <c:pt idx="8">
                  <c:v>8.52</c:v>
                </c:pt>
                <c:pt idx="9" formatCode="0.00">
                  <c:v>8.33</c:v>
                </c:pt>
                <c:pt idx="10" formatCode="0.00">
                  <c:v>8.6</c:v>
                </c:pt>
                <c:pt idx="11" formatCode="0.00">
                  <c:v>8.76</c:v>
                </c:pt>
                <c:pt idx="12" formatCode="0.00">
                  <c:v>8.36</c:v>
                </c:pt>
                <c:pt idx="13" formatCode="0.00">
                  <c:v>7.41</c:v>
                </c:pt>
                <c:pt idx="14">
                  <c:v>7.74</c:v>
                </c:pt>
              </c:numCache>
            </c:numRef>
          </c:val>
          <c:smooth val="0"/>
          <c:extLst>
            <c:ext xmlns:c16="http://schemas.microsoft.com/office/drawing/2014/chart" uri="{C3380CC4-5D6E-409C-BE32-E72D297353CC}">
              <c16:uniqueId val="{00000000-C67F-467C-AA48-4B1B280B7336}"/>
            </c:ext>
          </c:extLst>
        </c:ser>
        <c:ser>
          <c:idx val="1"/>
          <c:order val="1"/>
          <c:tx>
            <c:strRef>
              <c:f>'10-17-11'!$A$26</c:f>
              <c:strCache>
                <c:ptCount val="1"/>
                <c:pt idx="0">
                  <c:v>Site 41 (1)</c:v>
                </c:pt>
              </c:strCache>
            </c:strRef>
          </c:tx>
          <c:cat>
            <c:strRef>
              <c:f>'10-17-11'!$A$5:$A$19</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'10-17-11'!$D$27:$D$38</c:f>
              <c:numCache>
                <c:formatCode>General</c:formatCode>
                <c:ptCount val="12"/>
                <c:pt idx="0">
                  <c:v>10.47</c:v>
                </c:pt>
                <c:pt idx="1">
                  <c:v>10.23</c:v>
                </c:pt>
                <c:pt idx="2">
                  <c:v>9.6999999999999993</c:v>
                </c:pt>
                <c:pt idx="3">
                  <c:v>9.68</c:v>
                </c:pt>
                <c:pt idx="4">
                  <c:v>9.65</c:v>
                </c:pt>
                <c:pt idx="5">
                  <c:v>9.59</c:v>
                </c:pt>
                <c:pt idx="6">
                  <c:v>9.81</c:v>
                </c:pt>
                <c:pt idx="7">
                  <c:v>9.83</c:v>
                </c:pt>
                <c:pt idx="8">
                  <c:v>9.84</c:v>
                </c:pt>
                <c:pt idx="9">
                  <c:v>9.6999999999999993</c:v>
                </c:pt>
                <c:pt idx="10">
                  <c:v>9.91</c:v>
                </c:pt>
                <c:pt idx="11">
                  <c:v>9.85</c:v>
                </c:pt>
              </c:numCache>
            </c:numRef>
          </c:val>
          <c:smooth val="0"/>
          <c:extLst>
            <c:ext xmlns:c16="http://schemas.microsoft.com/office/drawing/2014/chart" uri="{C3380CC4-5D6E-409C-BE32-E72D297353CC}">
              <c16:uniqueId val="{00000001-C67F-467C-AA48-4B1B280B7336}"/>
            </c:ext>
          </c:extLst>
        </c:ser>
        <c:ser>
          <c:idx val="2"/>
          <c:order val="2"/>
          <c:tx>
            <c:strRef>
              <c:f>'10-17-11'!$A$40</c:f>
              <c:strCache>
                <c:ptCount val="1"/>
                <c:pt idx="0">
                  <c:v>Site 42 (3)</c:v>
                </c:pt>
              </c:strCache>
            </c:strRef>
          </c:tx>
          <c:val>
            <c:numRef>
              <c:f>'10-17-11'!$D$41:$D$49</c:f>
              <c:numCache>
                <c:formatCode>General</c:formatCode>
                <c:ptCount val="9"/>
                <c:pt idx="0">
                  <c:v>9.64</c:v>
                </c:pt>
                <c:pt idx="1">
                  <c:v>9.59</c:v>
                </c:pt>
                <c:pt idx="2">
                  <c:v>9.2899999999999991</c:v>
                </c:pt>
                <c:pt idx="3">
                  <c:v>9.16</c:v>
                </c:pt>
                <c:pt idx="4">
                  <c:v>8.86</c:v>
                </c:pt>
                <c:pt idx="5">
                  <c:v>8.82</c:v>
                </c:pt>
                <c:pt idx="6">
                  <c:v>9.06</c:v>
                </c:pt>
                <c:pt idx="7">
                  <c:v>8.61</c:v>
                </c:pt>
                <c:pt idx="8">
                  <c:v>8.59</c:v>
                </c:pt>
              </c:numCache>
            </c:numRef>
          </c:val>
          <c:smooth val="0"/>
          <c:extLst>
            <c:ext xmlns:c16="http://schemas.microsoft.com/office/drawing/2014/chart" uri="{C3380CC4-5D6E-409C-BE32-E72D297353CC}">
              <c16:uniqueId val="{00000002-C67F-467C-AA48-4B1B280B7336}"/>
            </c:ext>
          </c:extLst>
        </c:ser>
        <c:ser>
          <c:idx val="3"/>
          <c:order val="3"/>
          <c:tx>
            <c:strRef>
              <c:f>'10-17-11'!$A$54</c:f>
              <c:strCache>
                <c:ptCount val="1"/>
                <c:pt idx="0">
                  <c:v>Site 43 (4)</c:v>
                </c:pt>
              </c:strCache>
            </c:strRef>
          </c:tx>
          <c:val>
            <c:numRef>
              <c:f>'10-17-11'!$D$55:$D$61</c:f>
              <c:numCache>
                <c:formatCode>General</c:formatCode>
                <c:ptCount val="7"/>
                <c:pt idx="0">
                  <c:v>9.9600000000000009</c:v>
                </c:pt>
                <c:pt idx="1">
                  <c:v>10.01</c:v>
                </c:pt>
                <c:pt idx="2">
                  <c:v>9.7200000000000006</c:v>
                </c:pt>
                <c:pt idx="3">
                  <c:v>9.23</c:v>
                </c:pt>
                <c:pt idx="4">
                  <c:v>9.36</c:v>
                </c:pt>
                <c:pt idx="5">
                  <c:v>8.81</c:v>
                </c:pt>
                <c:pt idx="6">
                  <c:v>7.22</c:v>
                </c:pt>
              </c:numCache>
            </c:numRef>
          </c:val>
          <c:smooth val="0"/>
          <c:extLst>
            <c:ext xmlns:c16="http://schemas.microsoft.com/office/drawing/2014/chart" uri="{C3380CC4-5D6E-409C-BE32-E72D297353CC}">
              <c16:uniqueId val="{00000003-C67F-467C-AA48-4B1B280B7336}"/>
            </c:ext>
          </c:extLst>
        </c:ser>
        <c:ser>
          <c:idx val="4"/>
          <c:order val="4"/>
          <c:tx>
            <c:strRef>
              <c:f>'10-17-11'!$A$65</c:f>
              <c:strCache>
                <c:ptCount val="1"/>
                <c:pt idx="0">
                  <c:v>Site 44 (5)</c:v>
                </c:pt>
              </c:strCache>
            </c:strRef>
          </c:tx>
          <c:val>
            <c:numRef>
              <c:f>'10-17-11'!$D$66:$D$74</c:f>
              <c:numCache>
                <c:formatCode>0.00</c:formatCode>
                <c:ptCount val="9"/>
                <c:pt idx="0">
                  <c:v>10.56</c:v>
                </c:pt>
                <c:pt idx="1">
                  <c:v>10.199999999999999</c:v>
                </c:pt>
                <c:pt idx="2">
                  <c:v>10.050000000000001</c:v>
                </c:pt>
                <c:pt idx="3">
                  <c:v>9.92</c:v>
                </c:pt>
                <c:pt idx="4">
                  <c:v>10.210000000000001</c:v>
                </c:pt>
                <c:pt idx="5">
                  <c:v>10.119999999999999</c:v>
                </c:pt>
                <c:pt idx="6">
                  <c:v>10.130000000000001</c:v>
                </c:pt>
                <c:pt idx="7">
                  <c:v>10.24</c:v>
                </c:pt>
                <c:pt idx="8">
                  <c:v>10.220000000000001</c:v>
                </c:pt>
              </c:numCache>
            </c:numRef>
          </c:val>
          <c:smooth val="0"/>
          <c:extLst>
            <c:ext xmlns:c16="http://schemas.microsoft.com/office/drawing/2014/chart" uri="{C3380CC4-5D6E-409C-BE32-E72D297353CC}">
              <c16:uniqueId val="{00000004-C67F-467C-AA48-4B1B280B7336}"/>
            </c:ext>
          </c:extLst>
        </c:ser>
        <c:dLbls>
          <c:showLegendKey val="0"/>
          <c:showVal val="0"/>
          <c:showCatName val="0"/>
          <c:showSerName val="0"/>
          <c:showPercent val="0"/>
          <c:showBubbleSize val="0"/>
        </c:dLbls>
        <c:marker val="1"/>
        <c:smooth val="0"/>
        <c:axId val="166326272"/>
        <c:axId val="166327808"/>
      </c:lineChart>
      <c:catAx>
        <c:axId val="166326272"/>
        <c:scaling>
          <c:orientation val="minMax"/>
        </c:scaling>
        <c:delete val="0"/>
        <c:axPos val="b"/>
        <c:numFmt formatCode="General" sourceLinked="0"/>
        <c:majorTickMark val="none"/>
        <c:minorTickMark val="none"/>
        <c:tickLblPos val="nextTo"/>
        <c:crossAx val="166327808"/>
        <c:crosses val="autoZero"/>
        <c:auto val="1"/>
        <c:lblAlgn val="ctr"/>
        <c:lblOffset val="100"/>
        <c:noMultiLvlLbl val="0"/>
      </c:catAx>
      <c:valAx>
        <c:axId val="166327808"/>
        <c:scaling>
          <c:orientation val="minMax"/>
        </c:scaling>
        <c:delete val="0"/>
        <c:axPos val="l"/>
        <c:majorGridlines/>
        <c:minorGridlines/>
        <c:title>
          <c:tx>
            <c:rich>
              <a:bodyPr/>
              <a:lstStyle/>
              <a:p>
                <a:pPr>
                  <a:defRPr/>
                </a:pPr>
                <a:r>
                  <a:rPr lang="en-US"/>
                  <a:t>DO mg/l</a:t>
                </a:r>
              </a:p>
            </c:rich>
          </c:tx>
          <c:overlay val="0"/>
        </c:title>
        <c:numFmt formatCode="General" sourceLinked="1"/>
        <c:majorTickMark val="none"/>
        <c:minorTickMark val="none"/>
        <c:tickLblPos val="nextTo"/>
        <c:crossAx val="166326272"/>
        <c:crosses val="autoZero"/>
        <c:crossBetween val="between"/>
      </c:valAx>
    </c:plotArea>
    <c:legend>
      <c:legendPos val="r"/>
      <c:layout>
        <c:manualLayout>
          <c:xMode val="edge"/>
          <c:yMode val="edge"/>
          <c:x val="0.80383606722756107"/>
          <c:y val="0.22371135899679526"/>
          <c:w val="0.17715824705741262"/>
          <c:h val="0.4342678526855612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Specific Conductance Profiles 10/17/2011</a:t>
            </a:r>
          </a:p>
        </c:rich>
      </c:tx>
      <c:layout>
        <c:manualLayout>
          <c:xMode val="edge"/>
          <c:yMode val="edge"/>
          <c:x val="0.14230270671238793"/>
          <c:y val="2.4084778420038592E-2"/>
        </c:manualLayout>
      </c:layout>
      <c:overlay val="0"/>
    </c:title>
    <c:autoTitleDeleted val="0"/>
    <c:plotArea>
      <c:layout/>
      <c:lineChart>
        <c:grouping val="standard"/>
        <c:varyColors val="0"/>
        <c:ser>
          <c:idx val="0"/>
          <c:order val="0"/>
          <c:tx>
            <c:strRef>
              <c:f>'10-17-11'!$A$3</c:f>
              <c:strCache>
                <c:ptCount val="1"/>
                <c:pt idx="0">
                  <c:v>Site 40</c:v>
                </c:pt>
              </c:strCache>
            </c:strRef>
          </c:tx>
          <c:cat>
            <c:strRef>
              <c:f>'10-17-11'!$A$5:$A$19</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'10-17-11'!$C$5:$C$19</c:f>
              <c:numCache>
                <c:formatCode>General</c:formatCode>
                <c:ptCount val="15"/>
                <c:pt idx="0">
                  <c:v>0.32300000000000001</c:v>
                </c:pt>
                <c:pt idx="1">
                  <c:v>0.32300000000000001</c:v>
                </c:pt>
                <c:pt idx="2">
                  <c:v>0.32300000000000001</c:v>
                </c:pt>
                <c:pt idx="3">
                  <c:v>0.32300000000000001</c:v>
                </c:pt>
                <c:pt idx="4">
                  <c:v>0.32300000000000001</c:v>
                </c:pt>
                <c:pt idx="5">
                  <c:v>0.32300000000000001</c:v>
                </c:pt>
                <c:pt idx="6">
                  <c:v>0.32300000000000001</c:v>
                </c:pt>
                <c:pt idx="7">
                  <c:v>0.32300000000000001</c:v>
                </c:pt>
                <c:pt idx="8">
                  <c:v>0.32400000000000001</c:v>
                </c:pt>
                <c:pt idx="9">
                  <c:v>0.32500000000000001</c:v>
                </c:pt>
                <c:pt idx="10">
                  <c:v>0.32500000000000001</c:v>
                </c:pt>
                <c:pt idx="11">
                  <c:v>0.32500000000000001</c:v>
                </c:pt>
                <c:pt idx="12">
                  <c:v>0.32600000000000001</c:v>
                </c:pt>
                <c:pt idx="13">
                  <c:v>0.33900000000000002</c:v>
                </c:pt>
                <c:pt idx="14">
                  <c:v>0.317</c:v>
                </c:pt>
              </c:numCache>
            </c:numRef>
          </c:val>
          <c:smooth val="0"/>
          <c:extLst>
            <c:ext xmlns:c16="http://schemas.microsoft.com/office/drawing/2014/chart" uri="{C3380CC4-5D6E-409C-BE32-E72D297353CC}">
              <c16:uniqueId val="{00000000-48E3-4FBF-AEBA-C6B4F21CBE2E}"/>
            </c:ext>
          </c:extLst>
        </c:ser>
        <c:ser>
          <c:idx val="1"/>
          <c:order val="1"/>
          <c:tx>
            <c:strRef>
              <c:f>'10-17-11'!$A$26</c:f>
              <c:strCache>
                <c:ptCount val="1"/>
                <c:pt idx="0">
                  <c:v>Site 41 (1)</c:v>
                </c:pt>
              </c:strCache>
            </c:strRef>
          </c:tx>
          <c:val>
            <c:numRef>
              <c:f>'10-17-11'!$C$27:$C$38</c:f>
              <c:numCache>
                <c:formatCode>General</c:formatCode>
                <c:ptCount val="12"/>
                <c:pt idx="0">
                  <c:v>0.32200000000000001</c:v>
                </c:pt>
                <c:pt idx="1">
                  <c:v>0.32300000000000001</c:v>
                </c:pt>
                <c:pt idx="2">
                  <c:v>0.32300000000000001</c:v>
                </c:pt>
                <c:pt idx="3">
                  <c:v>0.32300000000000001</c:v>
                </c:pt>
                <c:pt idx="4">
                  <c:v>0.32300000000000001</c:v>
                </c:pt>
                <c:pt idx="5">
                  <c:v>0.32300000000000001</c:v>
                </c:pt>
                <c:pt idx="6">
                  <c:v>0.32300000000000001</c:v>
                </c:pt>
                <c:pt idx="7">
                  <c:v>0.32300000000000001</c:v>
                </c:pt>
                <c:pt idx="8">
                  <c:v>0.32200000000000001</c:v>
                </c:pt>
                <c:pt idx="9">
                  <c:v>0.32200000000000001</c:v>
                </c:pt>
                <c:pt idx="10">
                  <c:v>0.32200000000000001</c:v>
                </c:pt>
                <c:pt idx="11">
                  <c:v>0.32200000000000001</c:v>
                </c:pt>
              </c:numCache>
            </c:numRef>
          </c:val>
          <c:smooth val="0"/>
          <c:extLst>
            <c:ext xmlns:c16="http://schemas.microsoft.com/office/drawing/2014/chart" uri="{C3380CC4-5D6E-409C-BE32-E72D297353CC}">
              <c16:uniqueId val="{00000001-48E3-4FBF-AEBA-C6B4F21CBE2E}"/>
            </c:ext>
          </c:extLst>
        </c:ser>
        <c:ser>
          <c:idx val="2"/>
          <c:order val="2"/>
          <c:tx>
            <c:strRef>
              <c:f>'10-17-11'!$A$40</c:f>
              <c:strCache>
                <c:ptCount val="1"/>
                <c:pt idx="0">
                  <c:v>Site 42 (3)</c:v>
                </c:pt>
              </c:strCache>
            </c:strRef>
          </c:tx>
          <c:val>
            <c:numRef>
              <c:f>'10-17-11'!$C$41:$C$49</c:f>
              <c:numCache>
                <c:formatCode>General</c:formatCode>
                <c:ptCount val="9"/>
                <c:pt idx="0">
                  <c:v>0.32300000000000001</c:v>
                </c:pt>
                <c:pt idx="1">
                  <c:v>0.32300000000000001</c:v>
                </c:pt>
                <c:pt idx="2">
                  <c:v>0.32300000000000001</c:v>
                </c:pt>
                <c:pt idx="3">
                  <c:v>0.32300000000000001</c:v>
                </c:pt>
                <c:pt idx="4">
                  <c:v>0.32300000000000001</c:v>
                </c:pt>
                <c:pt idx="5">
                  <c:v>0.32300000000000001</c:v>
                </c:pt>
                <c:pt idx="6">
                  <c:v>0.32300000000000001</c:v>
                </c:pt>
                <c:pt idx="7">
                  <c:v>0.32300000000000001</c:v>
                </c:pt>
                <c:pt idx="8">
                  <c:v>0.32300000000000001</c:v>
                </c:pt>
              </c:numCache>
            </c:numRef>
          </c:val>
          <c:smooth val="0"/>
          <c:extLst>
            <c:ext xmlns:c16="http://schemas.microsoft.com/office/drawing/2014/chart" uri="{C3380CC4-5D6E-409C-BE32-E72D297353CC}">
              <c16:uniqueId val="{00000002-48E3-4FBF-AEBA-C6B4F21CBE2E}"/>
            </c:ext>
          </c:extLst>
        </c:ser>
        <c:ser>
          <c:idx val="3"/>
          <c:order val="3"/>
          <c:tx>
            <c:strRef>
              <c:f>'10-17-11'!$A$54</c:f>
              <c:strCache>
                <c:ptCount val="1"/>
                <c:pt idx="0">
                  <c:v>Site 43 (4)</c:v>
                </c:pt>
              </c:strCache>
            </c:strRef>
          </c:tx>
          <c:val>
            <c:numRef>
              <c:f>'10-17-11'!$C$55:$C$61</c:f>
              <c:numCache>
                <c:formatCode>General</c:formatCode>
                <c:ptCount val="7"/>
                <c:pt idx="0">
                  <c:v>0.32500000000000001</c:v>
                </c:pt>
                <c:pt idx="1">
                  <c:v>0.32500000000000001</c:v>
                </c:pt>
                <c:pt idx="2">
                  <c:v>0.32500000000000001</c:v>
                </c:pt>
                <c:pt idx="3">
                  <c:v>0.32500000000000001</c:v>
                </c:pt>
                <c:pt idx="4">
                  <c:v>0.32500000000000001</c:v>
                </c:pt>
                <c:pt idx="5">
                  <c:v>0.32500000000000001</c:v>
                </c:pt>
                <c:pt idx="6">
                  <c:v>0.32600000000000001</c:v>
                </c:pt>
              </c:numCache>
            </c:numRef>
          </c:val>
          <c:smooth val="0"/>
          <c:extLst>
            <c:ext xmlns:c16="http://schemas.microsoft.com/office/drawing/2014/chart" uri="{C3380CC4-5D6E-409C-BE32-E72D297353CC}">
              <c16:uniqueId val="{00000003-48E3-4FBF-AEBA-C6B4F21CBE2E}"/>
            </c:ext>
          </c:extLst>
        </c:ser>
        <c:ser>
          <c:idx val="4"/>
          <c:order val="4"/>
          <c:tx>
            <c:strRef>
              <c:f>'10-17-11'!$A$65</c:f>
              <c:strCache>
                <c:ptCount val="1"/>
                <c:pt idx="0">
                  <c:v>Site 44 (5)</c:v>
                </c:pt>
              </c:strCache>
            </c:strRef>
          </c:tx>
          <c:val>
            <c:numRef>
              <c:f>'10-17-11'!$C$66:$C$74</c:f>
              <c:numCache>
                <c:formatCode>General</c:formatCode>
                <c:ptCount val="9"/>
                <c:pt idx="0">
                  <c:v>0.318</c:v>
                </c:pt>
                <c:pt idx="1">
                  <c:v>0.318</c:v>
                </c:pt>
                <c:pt idx="2">
                  <c:v>0.318</c:v>
                </c:pt>
                <c:pt idx="3">
                  <c:v>0.318</c:v>
                </c:pt>
                <c:pt idx="4">
                  <c:v>0.318</c:v>
                </c:pt>
                <c:pt idx="5">
                  <c:v>0.318</c:v>
                </c:pt>
                <c:pt idx="6">
                  <c:v>0.318</c:v>
                </c:pt>
                <c:pt idx="7">
                  <c:v>0.318</c:v>
                </c:pt>
                <c:pt idx="8">
                  <c:v>0.318</c:v>
                </c:pt>
              </c:numCache>
            </c:numRef>
          </c:val>
          <c:smooth val="0"/>
          <c:extLst>
            <c:ext xmlns:c16="http://schemas.microsoft.com/office/drawing/2014/chart" uri="{C3380CC4-5D6E-409C-BE32-E72D297353CC}">
              <c16:uniqueId val="{00000004-48E3-4FBF-AEBA-C6B4F21CBE2E}"/>
            </c:ext>
          </c:extLst>
        </c:ser>
        <c:dLbls>
          <c:showLegendKey val="0"/>
          <c:showVal val="0"/>
          <c:showCatName val="0"/>
          <c:showSerName val="0"/>
          <c:showPercent val="0"/>
          <c:showBubbleSize val="0"/>
        </c:dLbls>
        <c:marker val="1"/>
        <c:smooth val="0"/>
        <c:axId val="166363904"/>
        <c:axId val="166365440"/>
      </c:lineChart>
      <c:catAx>
        <c:axId val="166363904"/>
        <c:scaling>
          <c:orientation val="minMax"/>
        </c:scaling>
        <c:delete val="0"/>
        <c:axPos val="b"/>
        <c:numFmt formatCode="General" sourceLinked="0"/>
        <c:majorTickMark val="none"/>
        <c:minorTickMark val="none"/>
        <c:tickLblPos val="nextTo"/>
        <c:crossAx val="166365440"/>
        <c:crosses val="autoZero"/>
        <c:auto val="1"/>
        <c:lblAlgn val="ctr"/>
        <c:lblOffset val="100"/>
        <c:noMultiLvlLbl val="0"/>
      </c:catAx>
      <c:valAx>
        <c:axId val="166365440"/>
        <c:scaling>
          <c:orientation val="minMax"/>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66363904"/>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10/17/2011</a:t>
            </a:r>
          </a:p>
        </c:rich>
      </c:tx>
      <c:overlay val="0"/>
    </c:title>
    <c:autoTitleDeleted val="0"/>
    <c:plotArea>
      <c:layout/>
      <c:lineChart>
        <c:grouping val="standard"/>
        <c:varyColors val="0"/>
        <c:ser>
          <c:idx val="1"/>
          <c:order val="0"/>
          <c:tx>
            <c:strRef>
              <c:f>'10-17-11'!$A$3</c:f>
              <c:strCache>
                <c:ptCount val="1"/>
                <c:pt idx="0">
                  <c:v>Site 40</c:v>
                </c:pt>
              </c:strCache>
            </c:strRef>
          </c:tx>
          <c:cat>
            <c:strRef>
              <c:f>'10-17-11'!$A$5:$A$19</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'10-17-11'!$F$5:$F$19</c:f>
              <c:numCache>
                <c:formatCode>General</c:formatCode>
                <c:ptCount val="15"/>
                <c:pt idx="0">
                  <c:v>8.52</c:v>
                </c:pt>
                <c:pt idx="1">
                  <c:v>8.49</c:v>
                </c:pt>
                <c:pt idx="2">
                  <c:v>8.44</c:v>
                </c:pt>
                <c:pt idx="3">
                  <c:v>8.43</c:v>
                </c:pt>
                <c:pt idx="4">
                  <c:v>8.41</c:v>
                </c:pt>
                <c:pt idx="5">
                  <c:v>8.42</c:v>
                </c:pt>
                <c:pt idx="6">
                  <c:v>8.41</c:v>
                </c:pt>
                <c:pt idx="7">
                  <c:v>8.42</c:v>
                </c:pt>
                <c:pt idx="8">
                  <c:v>8.4499999999999993</c:v>
                </c:pt>
                <c:pt idx="9">
                  <c:v>8.48</c:v>
                </c:pt>
                <c:pt idx="10">
                  <c:v>8.5</c:v>
                </c:pt>
                <c:pt idx="11">
                  <c:v>8.5299999999999994</c:v>
                </c:pt>
                <c:pt idx="12">
                  <c:v>8.52</c:v>
                </c:pt>
                <c:pt idx="13">
                  <c:v>8.3000000000000007</c:v>
                </c:pt>
                <c:pt idx="14">
                  <c:v>8.2799999999999994</c:v>
                </c:pt>
              </c:numCache>
            </c:numRef>
          </c:val>
          <c:smooth val="0"/>
          <c:extLst>
            <c:ext xmlns:c16="http://schemas.microsoft.com/office/drawing/2014/chart" uri="{C3380CC4-5D6E-409C-BE32-E72D297353CC}">
              <c16:uniqueId val="{00000000-3E63-448B-8225-2431A83D6904}"/>
            </c:ext>
          </c:extLst>
        </c:ser>
        <c:ser>
          <c:idx val="0"/>
          <c:order val="1"/>
          <c:tx>
            <c:strRef>
              <c:f>'10-17-11'!$A$26</c:f>
              <c:strCache>
                <c:ptCount val="1"/>
                <c:pt idx="0">
                  <c:v>Site 41 (1)</c:v>
                </c:pt>
              </c:strCache>
            </c:strRef>
          </c:tx>
          <c:val>
            <c:numRef>
              <c:f>'10-17-11'!$F$27:$F$38</c:f>
              <c:numCache>
                <c:formatCode>General</c:formatCode>
                <c:ptCount val="12"/>
                <c:pt idx="0">
                  <c:v>8.98</c:v>
                </c:pt>
                <c:pt idx="1">
                  <c:v>8.99</c:v>
                </c:pt>
                <c:pt idx="2">
                  <c:v>8.99</c:v>
                </c:pt>
                <c:pt idx="3">
                  <c:v>8.9600000000000009</c:v>
                </c:pt>
                <c:pt idx="4">
                  <c:v>8.9499999999999993</c:v>
                </c:pt>
                <c:pt idx="5">
                  <c:v>8.93</c:v>
                </c:pt>
                <c:pt idx="6">
                  <c:v>8.93</c:v>
                </c:pt>
                <c:pt idx="7">
                  <c:v>8.91</c:v>
                </c:pt>
                <c:pt idx="8">
                  <c:v>8.89</c:v>
                </c:pt>
                <c:pt idx="9">
                  <c:v>8.9</c:v>
                </c:pt>
                <c:pt idx="10">
                  <c:v>8.9</c:v>
                </c:pt>
                <c:pt idx="11">
                  <c:v>8.86</c:v>
                </c:pt>
              </c:numCache>
            </c:numRef>
          </c:val>
          <c:smooth val="0"/>
          <c:extLst>
            <c:ext xmlns:c16="http://schemas.microsoft.com/office/drawing/2014/chart" uri="{C3380CC4-5D6E-409C-BE32-E72D297353CC}">
              <c16:uniqueId val="{00000001-3E63-448B-8225-2431A83D6904}"/>
            </c:ext>
          </c:extLst>
        </c:ser>
        <c:ser>
          <c:idx val="2"/>
          <c:order val="2"/>
          <c:tx>
            <c:strRef>
              <c:f>'10-17-11'!$A$40</c:f>
              <c:strCache>
                <c:ptCount val="1"/>
                <c:pt idx="0">
                  <c:v>Site 42 (3)</c:v>
                </c:pt>
              </c:strCache>
            </c:strRef>
          </c:tx>
          <c:val>
            <c:numRef>
              <c:f>'10-17-11'!$F$41:$F$49</c:f>
              <c:numCache>
                <c:formatCode>General</c:formatCode>
                <c:ptCount val="9"/>
                <c:pt idx="0">
                  <c:v>8.77</c:v>
                </c:pt>
                <c:pt idx="1">
                  <c:v>8.81</c:v>
                </c:pt>
                <c:pt idx="2">
                  <c:v>8.81</c:v>
                </c:pt>
                <c:pt idx="3">
                  <c:v>8.7899999999999991</c:v>
                </c:pt>
                <c:pt idx="4">
                  <c:v>8.76</c:v>
                </c:pt>
                <c:pt idx="5">
                  <c:v>8.69</c:v>
                </c:pt>
                <c:pt idx="6">
                  <c:v>8.69</c:v>
                </c:pt>
                <c:pt idx="7">
                  <c:v>8.67</c:v>
                </c:pt>
                <c:pt idx="8">
                  <c:v>8.6199999999999992</c:v>
                </c:pt>
              </c:numCache>
            </c:numRef>
          </c:val>
          <c:smooth val="0"/>
          <c:extLst>
            <c:ext xmlns:c16="http://schemas.microsoft.com/office/drawing/2014/chart" uri="{C3380CC4-5D6E-409C-BE32-E72D297353CC}">
              <c16:uniqueId val="{00000002-3E63-448B-8225-2431A83D6904}"/>
            </c:ext>
          </c:extLst>
        </c:ser>
        <c:ser>
          <c:idx val="3"/>
          <c:order val="3"/>
          <c:tx>
            <c:strRef>
              <c:f>'10-17-11'!$A$54</c:f>
              <c:strCache>
                <c:ptCount val="1"/>
                <c:pt idx="0">
                  <c:v>Site 43 (4)</c:v>
                </c:pt>
              </c:strCache>
            </c:strRef>
          </c:tx>
          <c:val>
            <c:numRef>
              <c:f>'10-17-11'!$F$55:$F$61</c:f>
              <c:numCache>
                <c:formatCode>General</c:formatCode>
                <c:ptCount val="7"/>
                <c:pt idx="0">
                  <c:v>8.94</c:v>
                </c:pt>
                <c:pt idx="1">
                  <c:v>8.83</c:v>
                </c:pt>
                <c:pt idx="2">
                  <c:v>8.83</c:v>
                </c:pt>
                <c:pt idx="3">
                  <c:v>8.7899999999999991</c:v>
                </c:pt>
                <c:pt idx="4">
                  <c:v>8.7799999999999994</c:v>
                </c:pt>
                <c:pt idx="5">
                  <c:v>8.76</c:v>
                </c:pt>
                <c:pt idx="6">
                  <c:v>8.75</c:v>
                </c:pt>
              </c:numCache>
            </c:numRef>
          </c:val>
          <c:smooth val="0"/>
          <c:extLst>
            <c:ext xmlns:c16="http://schemas.microsoft.com/office/drawing/2014/chart" uri="{C3380CC4-5D6E-409C-BE32-E72D297353CC}">
              <c16:uniqueId val="{00000003-3E63-448B-8225-2431A83D6904}"/>
            </c:ext>
          </c:extLst>
        </c:ser>
        <c:ser>
          <c:idx val="4"/>
          <c:order val="4"/>
          <c:tx>
            <c:strRef>
              <c:f>'10-17-11'!$A$65</c:f>
              <c:strCache>
                <c:ptCount val="1"/>
                <c:pt idx="0">
                  <c:v>Site 44 (5)</c:v>
                </c:pt>
              </c:strCache>
            </c:strRef>
          </c:tx>
          <c:val>
            <c:numRef>
              <c:f>'10-17-11'!$F$66:$F$74</c:f>
              <c:numCache>
                <c:formatCode>0.00</c:formatCode>
                <c:ptCount val="9"/>
                <c:pt idx="0">
                  <c:v>8.69</c:v>
                </c:pt>
                <c:pt idx="1">
                  <c:v>8.64</c:v>
                </c:pt>
                <c:pt idx="2">
                  <c:v>8.66</c:v>
                </c:pt>
                <c:pt idx="3">
                  <c:v>8.69</c:v>
                </c:pt>
                <c:pt idx="4">
                  <c:v>8.75</c:v>
                </c:pt>
                <c:pt idx="5">
                  <c:v>8.81</c:v>
                </c:pt>
                <c:pt idx="6">
                  <c:v>8.8699999999999992</c:v>
                </c:pt>
                <c:pt idx="7">
                  <c:v>8.89</c:v>
                </c:pt>
                <c:pt idx="8">
                  <c:v>8.89</c:v>
                </c:pt>
              </c:numCache>
            </c:numRef>
          </c:val>
          <c:smooth val="0"/>
          <c:extLst>
            <c:ext xmlns:c16="http://schemas.microsoft.com/office/drawing/2014/chart" uri="{C3380CC4-5D6E-409C-BE32-E72D297353CC}">
              <c16:uniqueId val="{00000004-3E63-448B-8225-2431A83D6904}"/>
            </c:ext>
          </c:extLst>
        </c:ser>
        <c:dLbls>
          <c:showLegendKey val="0"/>
          <c:showVal val="0"/>
          <c:showCatName val="0"/>
          <c:showSerName val="0"/>
          <c:showPercent val="0"/>
          <c:showBubbleSize val="0"/>
        </c:dLbls>
        <c:marker val="1"/>
        <c:smooth val="0"/>
        <c:axId val="166569472"/>
        <c:axId val="166571008"/>
      </c:lineChart>
      <c:catAx>
        <c:axId val="166569472"/>
        <c:scaling>
          <c:orientation val="minMax"/>
        </c:scaling>
        <c:delete val="0"/>
        <c:axPos val="b"/>
        <c:numFmt formatCode="General" sourceLinked="0"/>
        <c:majorTickMark val="none"/>
        <c:minorTickMark val="none"/>
        <c:tickLblPos val="nextTo"/>
        <c:crossAx val="166571008"/>
        <c:crosses val="autoZero"/>
        <c:auto val="1"/>
        <c:lblAlgn val="ctr"/>
        <c:lblOffset val="100"/>
        <c:noMultiLvlLbl val="0"/>
      </c:catAx>
      <c:valAx>
        <c:axId val="166571008"/>
        <c:scaling>
          <c:orientation val="minMax"/>
        </c:scaling>
        <c:delete val="0"/>
        <c:axPos val="l"/>
        <c:majorGridlines/>
        <c:minorGridlines/>
        <c:title>
          <c:tx>
            <c:rich>
              <a:bodyPr/>
              <a:lstStyle/>
              <a:p>
                <a:pPr>
                  <a:defRPr/>
                </a:pPr>
                <a:r>
                  <a:rPr lang="en-US"/>
                  <a:t>pH</a:t>
                </a:r>
              </a:p>
            </c:rich>
          </c:tx>
          <c:overlay val="0"/>
        </c:title>
        <c:numFmt formatCode="General" sourceLinked="1"/>
        <c:majorTickMark val="none"/>
        <c:minorTickMark val="none"/>
        <c:tickLblPos val="nextTo"/>
        <c:crossAx val="166569472"/>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(10/24/2011)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922"/>
        </c:manualLayout>
      </c:layout>
      <c:lineChart>
        <c:grouping val="standard"/>
        <c:varyColors val="0"/>
        <c:ser>
          <c:idx val="0"/>
          <c:order val="0"/>
          <c:tx>
            <c:strRef>
              <c:f>'10-24-11'!$D$3</c:f>
              <c:strCache>
                <c:ptCount val="1"/>
                <c:pt idx="0">
                  <c:v>DO</c:v>
                </c:pt>
              </c:strCache>
            </c:strRef>
          </c:tx>
          <c:marker>
            <c:symbol val="none"/>
          </c:marker>
          <c:cat>
            <c:strRef>
              <c:f>'10-24-11'!$A$8:$A$22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'10-24-11'!$D$8:$D$22</c:f>
              <c:numCache>
                <c:formatCode>General</c:formatCode>
                <c:ptCount val="15"/>
                <c:pt idx="0">
                  <c:v>11.29</c:v>
                </c:pt>
                <c:pt idx="1">
                  <c:v>11.66</c:v>
                </c:pt>
                <c:pt idx="2">
                  <c:v>11.09</c:v>
                </c:pt>
                <c:pt idx="3">
                  <c:v>10.91</c:v>
                </c:pt>
                <c:pt idx="4">
                  <c:v>11.02</c:v>
                </c:pt>
                <c:pt idx="5">
                  <c:v>10.91</c:v>
                </c:pt>
                <c:pt idx="6">
                  <c:v>10.86</c:v>
                </c:pt>
                <c:pt idx="7">
                  <c:v>10.65</c:v>
                </c:pt>
                <c:pt idx="8">
                  <c:v>10.02</c:v>
                </c:pt>
                <c:pt idx="9" formatCode="0.00">
                  <c:v>8.1999999999999993</c:v>
                </c:pt>
                <c:pt idx="10" formatCode="0.00">
                  <c:v>7.9</c:v>
                </c:pt>
                <c:pt idx="11" formatCode="0.00">
                  <c:v>7.03</c:v>
                </c:pt>
                <c:pt idx="12" formatCode="0.00">
                  <c:v>6.98</c:v>
                </c:pt>
                <c:pt idx="13" formatCode="0.00">
                  <c:v>6.31</c:v>
                </c:pt>
                <c:pt idx="14">
                  <c:v>4.97</c:v>
                </c:pt>
              </c:numCache>
            </c:numRef>
          </c:val>
          <c:smooth val="0"/>
          <c:extLst>
            <c:ext xmlns:c16="http://schemas.microsoft.com/office/drawing/2014/chart" uri="{C3380CC4-5D6E-409C-BE32-E72D297353CC}">
              <c16:uniqueId val="{00000000-62E5-457F-BB53-D766CE0F17B1}"/>
            </c:ext>
          </c:extLst>
        </c:ser>
        <c:ser>
          <c:idx val="1"/>
          <c:order val="1"/>
          <c:tx>
            <c:strRef>
              <c:f>'10-24-11'!$E$3</c:f>
              <c:strCache>
                <c:ptCount val="1"/>
                <c:pt idx="0">
                  <c:v>Temp</c:v>
                </c:pt>
              </c:strCache>
            </c:strRef>
          </c:tx>
          <c:marker>
            <c:symbol val="none"/>
          </c:marker>
          <c:val>
            <c:numRef>
              <c:f>'10-24-11'!$E$8:$E$22</c:f>
              <c:numCache>
                <c:formatCode>General</c:formatCode>
                <c:ptCount val="15"/>
                <c:pt idx="0">
                  <c:v>13</c:v>
                </c:pt>
                <c:pt idx="1">
                  <c:v>12.7</c:v>
                </c:pt>
                <c:pt idx="2">
                  <c:v>12.6</c:v>
                </c:pt>
                <c:pt idx="3">
                  <c:v>12.5</c:v>
                </c:pt>
                <c:pt idx="4">
                  <c:v>12.5</c:v>
                </c:pt>
                <c:pt idx="5">
                  <c:v>12.5</c:v>
                </c:pt>
                <c:pt idx="6">
                  <c:v>12.5</c:v>
                </c:pt>
                <c:pt idx="7">
                  <c:v>12.5</c:v>
                </c:pt>
                <c:pt idx="8">
                  <c:v>12.45</c:v>
                </c:pt>
                <c:pt idx="9">
                  <c:v>12.4</c:v>
                </c:pt>
                <c:pt idx="10">
                  <c:v>12.4</c:v>
                </c:pt>
                <c:pt idx="11">
                  <c:v>12.4</c:v>
                </c:pt>
                <c:pt idx="12">
                  <c:v>12.2</c:v>
                </c:pt>
                <c:pt idx="13">
                  <c:v>12.3</c:v>
                </c:pt>
                <c:pt idx="14">
                  <c:v>12.4</c:v>
                </c:pt>
              </c:numCache>
            </c:numRef>
          </c:val>
          <c:smooth val="0"/>
          <c:extLst>
            <c:ext xmlns:c16="http://schemas.microsoft.com/office/drawing/2014/chart" uri="{C3380CC4-5D6E-409C-BE32-E72D297353CC}">
              <c16:uniqueId val="{00000001-62E5-457F-BB53-D766CE0F17B1}"/>
            </c:ext>
          </c:extLst>
        </c:ser>
        <c:dLbls>
          <c:showLegendKey val="0"/>
          <c:showVal val="0"/>
          <c:showCatName val="0"/>
          <c:showSerName val="0"/>
          <c:showPercent val="0"/>
          <c:showBubbleSize val="0"/>
        </c:dLbls>
        <c:smooth val="0"/>
        <c:axId val="170832256"/>
        <c:axId val="170833792"/>
      </c:lineChart>
      <c:catAx>
        <c:axId val="170832256"/>
        <c:scaling>
          <c:orientation val="minMax"/>
        </c:scaling>
        <c:delete val="0"/>
        <c:axPos val="b"/>
        <c:minorGridlines/>
        <c:numFmt formatCode="General" sourceLinked="0"/>
        <c:majorTickMark val="out"/>
        <c:minorTickMark val="none"/>
        <c:tickLblPos val="nextTo"/>
        <c:crossAx val="170833792"/>
        <c:crosses val="autoZero"/>
        <c:auto val="1"/>
        <c:lblAlgn val="ctr"/>
        <c:lblOffset val="100"/>
        <c:noMultiLvlLbl val="0"/>
      </c:catAx>
      <c:valAx>
        <c:axId val="170833792"/>
        <c:scaling>
          <c:orientation val="minMax"/>
        </c:scaling>
        <c:delete val="0"/>
        <c:axPos val="l"/>
        <c:majorGridlines/>
        <c:minorGridlines/>
        <c:numFmt formatCode="General" sourceLinked="1"/>
        <c:majorTickMark val="out"/>
        <c:minorTickMark val="none"/>
        <c:tickLblPos val="nextTo"/>
        <c:crossAx val="170832256"/>
        <c:crosses val="autoZero"/>
        <c:crossBetween val="midCat"/>
      </c:valAx>
    </c:plotArea>
    <c:legend>
      <c:legendPos val="r"/>
      <c:layout>
        <c:manualLayout>
          <c:xMode val="edge"/>
          <c:yMode val="edge"/>
          <c:x val="0.12940585602633944"/>
          <c:y val="0.40010934242554169"/>
          <c:w val="0.1290908084967404"/>
          <c:h val="0.20838851496199104"/>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465" l="0.70000000000000062" r="0.70000000000000062" t="0.75000000000001465"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10/24/2011</a:t>
            </a:r>
          </a:p>
        </c:rich>
      </c:tx>
      <c:overlay val="0"/>
    </c:title>
    <c:autoTitleDeleted val="0"/>
    <c:plotArea>
      <c:layout/>
      <c:lineChart>
        <c:grouping val="standard"/>
        <c:varyColors val="0"/>
        <c:ser>
          <c:idx val="0"/>
          <c:order val="0"/>
          <c:tx>
            <c:strRef>
              <c:f>'10-24-11'!$B$7</c:f>
              <c:strCache>
                <c:ptCount val="1"/>
                <c:pt idx="0">
                  <c:v>Site 40 (CP)</c:v>
                </c:pt>
              </c:strCache>
            </c:strRef>
          </c:tx>
          <c:cat>
            <c:strRef>
              <c:f>'10-24-11'!$A$8:$A$22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'10-24-11'!$D$8:$D$22</c:f>
              <c:numCache>
                <c:formatCode>General</c:formatCode>
                <c:ptCount val="15"/>
                <c:pt idx="0">
                  <c:v>11.29</c:v>
                </c:pt>
                <c:pt idx="1">
                  <c:v>11.66</c:v>
                </c:pt>
                <c:pt idx="2">
                  <c:v>11.09</c:v>
                </c:pt>
                <c:pt idx="3">
                  <c:v>10.91</c:v>
                </c:pt>
                <c:pt idx="4">
                  <c:v>11.02</c:v>
                </c:pt>
                <c:pt idx="5">
                  <c:v>10.91</c:v>
                </c:pt>
                <c:pt idx="6">
                  <c:v>10.86</c:v>
                </c:pt>
                <c:pt idx="7">
                  <c:v>10.65</c:v>
                </c:pt>
                <c:pt idx="8">
                  <c:v>10.02</c:v>
                </c:pt>
                <c:pt idx="9" formatCode="0.00">
                  <c:v>8.1999999999999993</c:v>
                </c:pt>
                <c:pt idx="10" formatCode="0.00">
                  <c:v>7.9</c:v>
                </c:pt>
                <c:pt idx="11" formatCode="0.00">
                  <c:v>7.03</c:v>
                </c:pt>
                <c:pt idx="12" formatCode="0.00">
                  <c:v>6.98</c:v>
                </c:pt>
                <c:pt idx="13" formatCode="0.00">
                  <c:v>6.31</c:v>
                </c:pt>
                <c:pt idx="14">
                  <c:v>4.97</c:v>
                </c:pt>
              </c:numCache>
            </c:numRef>
          </c:val>
          <c:smooth val="0"/>
          <c:extLst>
            <c:ext xmlns:c16="http://schemas.microsoft.com/office/drawing/2014/chart" uri="{C3380CC4-5D6E-409C-BE32-E72D297353CC}">
              <c16:uniqueId val="{00000000-00D5-4EDD-9321-6AC6FFFAFBD2}"/>
            </c:ext>
          </c:extLst>
        </c:ser>
        <c:ser>
          <c:idx val="1"/>
          <c:order val="1"/>
          <c:tx>
            <c:strRef>
              <c:f>'10-24-11'!$A$44</c:f>
              <c:strCache>
                <c:ptCount val="1"/>
                <c:pt idx="0">
                  <c:v>Site 41 (1)</c:v>
                </c:pt>
              </c:strCache>
            </c:strRef>
          </c:tx>
          <c:val>
            <c:numRef>
              <c:f>'10-24-11'!$D$45:$D$56</c:f>
              <c:numCache>
                <c:formatCode>General</c:formatCode>
                <c:ptCount val="12"/>
                <c:pt idx="0">
                  <c:v>11.23</c:v>
                </c:pt>
                <c:pt idx="1">
                  <c:v>10.73</c:v>
                </c:pt>
                <c:pt idx="2">
                  <c:v>11.09</c:v>
                </c:pt>
                <c:pt idx="3">
                  <c:v>11.51</c:v>
                </c:pt>
                <c:pt idx="4">
                  <c:v>11.26</c:v>
                </c:pt>
                <c:pt idx="5">
                  <c:v>11.51</c:v>
                </c:pt>
                <c:pt idx="6">
                  <c:v>10.66</c:v>
                </c:pt>
                <c:pt idx="7">
                  <c:v>10.039999999999999</c:v>
                </c:pt>
                <c:pt idx="8">
                  <c:v>10.5</c:v>
                </c:pt>
                <c:pt idx="9">
                  <c:v>10.26</c:v>
                </c:pt>
                <c:pt idx="10">
                  <c:v>10.17</c:v>
                </c:pt>
                <c:pt idx="11">
                  <c:v>10.27</c:v>
                </c:pt>
              </c:numCache>
            </c:numRef>
          </c:val>
          <c:smooth val="0"/>
          <c:extLst>
            <c:ext xmlns:c16="http://schemas.microsoft.com/office/drawing/2014/chart" uri="{C3380CC4-5D6E-409C-BE32-E72D297353CC}">
              <c16:uniqueId val="{00000001-00D5-4EDD-9321-6AC6FFFAFBD2}"/>
            </c:ext>
          </c:extLst>
        </c:ser>
        <c:ser>
          <c:idx val="2"/>
          <c:order val="2"/>
          <c:tx>
            <c:strRef>
              <c:f>'10-24-11'!$A$58</c:f>
              <c:strCache>
                <c:ptCount val="1"/>
                <c:pt idx="0">
                  <c:v>Site 42 (3)</c:v>
                </c:pt>
              </c:strCache>
            </c:strRef>
          </c:tx>
          <c:val>
            <c:numRef>
              <c:f>'10-24-11'!$D$59:$D$67</c:f>
              <c:numCache>
                <c:formatCode>General</c:formatCode>
                <c:ptCount val="9"/>
                <c:pt idx="0">
                  <c:v>11.28</c:v>
                </c:pt>
                <c:pt idx="1">
                  <c:v>11.55</c:v>
                </c:pt>
                <c:pt idx="2">
                  <c:v>11.12</c:v>
                </c:pt>
                <c:pt idx="3">
                  <c:v>10.7</c:v>
                </c:pt>
                <c:pt idx="4">
                  <c:v>10.5</c:v>
                </c:pt>
                <c:pt idx="5">
                  <c:v>10.86</c:v>
                </c:pt>
                <c:pt idx="6">
                  <c:v>10.59</c:v>
                </c:pt>
                <c:pt idx="7">
                  <c:v>9.4</c:v>
                </c:pt>
                <c:pt idx="8">
                  <c:v>8.9700000000000006</c:v>
                </c:pt>
              </c:numCache>
            </c:numRef>
          </c:val>
          <c:smooth val="0"/>
          <c:extLst>
            <c:ext xmlns:c16="http://schemas.microsoft.com/office/drawing/2014/chart" uri="{C3380CC4-5D6E-409C-BE32-E72D297353CC}">
              <c16:uniqueId val="{00000002-00D5-4EDD-9321-6AC6FFFAFBD2}"/>
            </c:ext>
          </c:extLst>
        </c:ser>
        <c:ser>
          <c:idx val="3"/>
          <c:order val="3"/>
          <c:tx>
            <c:strRef>
              <c:f>'10-24-11'!$A$72</c:f>
              <c:strCache>
                <c:ptCount val="1"/>
                <c:pt idx="0">
                  <c:v>Site 43 (4)</c:v>
                </c:pt>
              </c:strCache>
            </c:strRef>
          </c:tx>
          <c:val>
            <c:numRef>
              <c:f>'10-24-11'!$D$73:$D$79</c:f>
              <c:numCache>
                <c:formatCode>General</c:formatCode>
                <c:ptCount val="7"/>
                <c:pt idx="0">
                  <c:v>10.82</c:v>
                </c:pt>
                <c:pt idx="1">
                  <c:v>10.7</c:v>
                </c:pt>
                <c:pt idx="2">
                  <c:v>10.52</c:v>
                </c:pt>
                <c:pt idx="3">
                  <c:v>10.56</c:v>
                </c:pt>
                <c:pt idx="4">
                  <c:v>10.42</c:v>
                </c:pt>
                <c:pt idx="5">
                  <c:v>10.33</c:v>
                </c:pt>
                <c:pt idx="6">
                  <c:v>8.6999999999999993</c:v>
                </c:pt>
              </c:numCache>
            </c:numRef>
          </c:val>
          <c:smooth val="0"/>
          <c:extLst>
            <c:ext xmlns:c16="http://schemas.microsoft.com/office/drawing/2014/chart" uri="{C3380CC4-5D6E-409C-BE32-E72D297353CC}">
              <c16:uniqueId val="{00000003-00D5-4EDD-9321-6AC6FFFAFBD2}"/>
            </c:ext>
          </c:extLst>
        </c:ser>
        <c:ser>
          <c:idx val="4"/>
          <c:order val="4"/>
          <c:tx>
            <c:strRef>
              <c:f>'10-24-11'!$A$83</c:f>
              <c:strCache>
                <c:ptCount val="1"/>
                <c:pt idx="0">
                  <c:v>Site 44 (5)</c:v>
                </c:pt>
              </c:strCache>
            </c:strRef>
          </c:tx>
          <c:val>
            <c:numRef>
              <c:f>'10-24-11'!$D$84:$D$93</c:f>
              <c:numCache>
                <c:formatCode>0.00</c:formatCode>
                <c:ptCount val="10"/>
                <c:pt idx="0">
                  <c:v>10.91</c:v>
                </c:pt>
                <c:pt idx="1">
                  <c:v>10.92</c:v>
                </c:pt>
                <c:pt idx="2">
                  <c:v>10.6</c:v>
                </c:pt>
                <c:pt idx="3">
                  <c:v>10.61</c:v>
                </c:pt>
                <c:pt idx="4">
                  <c:v>10.66</c:v>
                </c:pt>
                <c:pt idx="5">
                  <c:v>10.210000000000001</c:v>
                </c:pt>
                <c:pt idx="6">
                  <c:v>10.220000000000001</c:v>
                </c:pt>
                <c:pt idx="7">
                  <c:v>9.9</c:v>
                </c:pt>
                <c:pt idx="8">
                  <c:v>9.2200000000000006</c:v>
                </c:pt>
                <c:pt idx="9">
                  <c:v>8.9</c:v>
                </c:pt>
              </c:numCache>
            </c:numRef>
          </c:val>
          <c:smooth val="0"/>
          <c:extLst>
            <c:ext xmlns:c16="http://schemas.microsoft.com/office/drawing/2014/chart" uri="{C3380CC4-5D6E-409C-BE32-E72D297353CC}">
              <c16:uniqueId val="{00000004-00D5-4EDD-9321-6AC6FFFAFBD2}"/>
            </c:ext>
          </c:extLst>
        </c:ser>
        <c:dLbls>
          <c:showLegendKey val="0"/>
          <c:showVal val="0"/>
          <c:showCatName val="0"/>
          <c:showSerName val="0"/>
          <c:showPercent val="0"/>
          <c:showBubbleSize val="0"/>
        </c:dLbls>
        <c:marker val="1"/>
        <c:smooth val="0"/>
        <c:axId val="170894080"/>
        <c:axId val="170895616"/>
      </c:lineChart>
      <c:catAx>
        <c:axId val="170894080"/>
        <c:scaling>
          <c:orientation val="minMax"/>
        </c:scaling>
        <c:delete val="0"/>
        <c:axPos val="b"/>
        <c:numFmt formatCode="General" sourceLinked="0"/>
        <c:majorTickMark val="none"/>
        <c:minorTickMark val="none"/>
        <c:tickLblPos val="nextTo"/>
        <c:crossAx val="170895616"/>
        <c:crosses val="autoZero"/>
        <c:auto val="1"/>
        <c:lblAlgn val="ctr"/>
        <c:lblOffset val="100"/>
        <c:noMultiLvlLbl val="0"/>
      </c:catAx>
      <c:valAx>
        <c:axId val="170895616"/>
        <c:scaling>
          <c:orientation val="minMax"/>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70894080"/>
        <c:crosses val="autoZero"/>
        <c:crossBetween val="between"/>
      </c:valAx>
    </c:plotArea>
    <c:legend>
      <c:legendPos val="r"/>
      <c:layout>
        <c:manualLayout>
          <c:xMode val="edge"/>
          <c:yMode val="edge"/>
          <c:x val="0.80383606722756107"/>
          <c:y val="0.22371135899679526"/>
          <c:w val="0.1808779688975039"/>
          <c:h val="0.4342678526855612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Conductance Profiles 10/24/2011</a:t>
            </a:r>
          </a:p>
        </c:rich>
      </c:tx>
      <c:layout>
        <c:manualLayout>
          <c:xMode val="edge"/>
          <c:yMode val="edge"/>
          <c:x val="0.14230270671238793"/>
          <c:y val="2.4084778420038592E-2"/>
        </c:manualLayout>
      </c:layout>
      <c:overlay val="0"/>
    </c:title>
    <c:autoTitleDeleted val="0"/>
    <c:plotArea>
      <c:layout/>
      <c:lineChart>
        <c:grouping val="standard"/>
        <c:varyColors val="0"/>
        <c:ser>
          <c:idx val="0"/>
          <c:order val="0"/>
          <c:tx>
            <c:strRef>
              <c:f>'10-24-11'!$B$7</c:f>
              <c:strCache>
                <c:ptCount val="1"/>
                <c:pt idx="0">
                  <c:v>Site 40 (CP)</c:v>
                </c:pt>
              </c:strCache>
            </c:strRef>
          </c:tx>
          <c:cat>
            <c:strRef>
              <c:f>'10-24-11'!$A$8:$A$22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'10-24-11'!$C$8:$C$22</c:f>
              <c:numCache>
                <c:formatCode>General</c:formatCode>
                <c:ptCount val="15"/>
                <c:pt idx="0">
                  <c:v>0.308</c:v>
                </c:pt>
                <c:pt idx="1">
                  <c:v>0.308</c:v>
                </c:pt>
                <c:pt idx="2">
                  <c:v>0.308</c:v>
                </c:pt>
                <c:pt idx="3">
                  <c:v>0.311</c:v>
                </c:pt>
                <c:pt idx="4">
                  <c:v>0.311</c:v>
                </c:pt>
                <c:pt idx="5">
                  <c:v>0.311</c:v>
                </c:pt>
                <c:pt idx="6">
                  <c:v>0.311</c:v>
                </c:pt>
                <c:pt idx="7">
                  <c:v>0.312</c:v>
                </c:pt>
                <c:pt idx="8">
                  <c:v>0.313</c:v>
                </c:pt>
                <c:pt idx="9">
                  <c:v>0.317</c:v>
                </c:pt>
                <c:pt idx="10">
                  <c:v>0.31900000000000001</c:v>
                </c:pt>
                <c:pt idx="11">
                  <c:v>0.31900000000000001</c:v>
                </c:pt>
                <c:pt idx="12">
                  <c:v>0.31900000000000001</c:v>
                </c:pt>
                <c:pt idx="13">
                  <c:v>0.32400000000000001</c:v>
                </c:pt>
                <c:pt idx="14">
                  <c:v>0.40600000000000003</c:v>
                </c:pt>
              </c:numCache>
            </c:numRef>
          </c:val>
          <c:smooth val="0"/>
          <c:extLst>
            <c:ext xmlns:c16="http://schemas.microsoft.com/office/drawing/2014/chart" uri="{C3380CC4-5D6E-409C-BE32-E72D297353CC}">
              <c16:uniqueId val="{00000000-BB55-40F1-8516-5CB5F95F4BCE}"/>
            </c:ext>
          </c:extLst>
        </c:ser>
        <c:ser>
          <c:idx val="1"/>
          <c:order val="1"/>
          <c:tx>
            <c:strRef>
              <c:f>'10-24-11'!$A$44</c:f>
              <c:strCache>
                <c:ptCount val="1"/>
                <c:pt idx="0">
                  <c:v>Site 41 (1)</c:v>
                </c:pt>
              </c:strCache>
            </c:strRef>
          </c:tx>
          <c:val>
            <c:numRef>
              <c:f>'10-24-11'!$C$45:$C$56</c:f>
              <c:numCache>
                <c:formatCode>0.000</c:formatCode>
                <c:ptCount val="12"/>
                <c:pt idx="0">
                  <c:v>0.31</c:v>
                </c:pt>
                <c:pt idx="1">
                  <c:v>0.31</c:v>
                </c:pt>
                <c:pt idx="2">
                  <c:v>0.31</c:v>
                </c:pt>
                <c:pt idx="3">
                  <c:v>0.31</c:v>
                </c:pt>
                <c:pt idx="4">
                  <c:v>0.31</c:v>
                </c:pt>
                <c:pt idx="5">
                  <c:v>0.31</c:v>
                </c:pt>
                <c:pt idx="6">
                  <c:v>0.31</c:v>
                </c:pt>
                <c:pt idx="7">
                  <c:v>0.31</c:v>
                </c:pt>
                <c:pt idx="8">
                  <c:v>0.31</c:v>
                </c:pt>
                <c:pt idx="9">
                  <c:v>0.31</c:v>
                </c:pt>
                <c:pt idx="10">
                  <c:v>0.31</c:v>
                </c:pt>
                <c:pt idx="11">
                  <c:v>0.311</c:v>
                </c:pt>
              </c:numCache>
            </c:numRef>
          </c:val>
          <c:smooth val="0"/>
          <c:extLst>
            <c:ext xmlns:c16="http://schemas.microsoft.com/office/drawing/2014/chart" uri="{C3380CC4-5D6E-409C-BE32-E72D297353CC}">
              <c16:uniqueId val="{00000001-BB55-40F1-8516-5CB5F95F4BCE}"/>
            </c:ext>
          </c:extLst>
        </c:ser>
        <c:ser>
          <c:idx val="2"/>
          <c:order val="2"/>
          <c:tx>
            <c:strRef>
              <c:f>'10-24-11'!$A$58</c:f>
              <c:strCache>
                <c:ptCount val="1"/>
                <c:pt idx="0">
                  <c:v>Site 42 (3)</c:v>
                </c:pt>
              </c:strCache>
            </c:strRef>
          </c:tx>
          <c:val>
            <c:numRef>
              <c:f>'10-24-11'!$C$59:$C$67</c:f>
              <c:numCache>
                <c:formatCode>General</c:formatCode>
                <c:ptCount val="9"/>
                <c:pt idx="0">
                  <c:v>0.311</c:v>
                </c:pt>
                <c:pt idx="1">
                  <c:v>0.311</c:v>
                </c:pt>
                <c:pt idx="2">
                  <c:v>0.311</c:v>
                </c:pt>
                <c:pt idx="3">
                  <c:v>0.312</c:v>
                </c:pt>
                <c:pt idx="4">
                  <c:v>0.313</c:v>
                </c:pt>
                <c:pt idx="5">
                  <c:v>0.314</c:v>
                </c:pt>
                <c:pt idx="6">
                  <c:v>0.314</c:v>
                </c:pt>
                <c:pt idx="7">
                  <c:v>0.315</c:v>
                </c:pt>
                <c:pt idx="8">
                  <c:v>0.316</c:v>
                </c:pt>
              </c:numCache>
            </c:numRef>
          </c:val>
          <c:smooth val="0"/>
          <c:extLst>
            <c:ext xmlns:c16="http://schemas.microsoft.com/office/drawing/2014/chart" uri="{C3380CC4-5D6E-409C-BE32-E72D297353CC}">
              <c16:uniqueId val="{00000002-BB55-40F1-8516-5CB5F95F4BCE}"/>
            </c:ext>
          </c:extLst>
        </c:ser>
        <c:ser>
          <c:idx val="3"/>
          <c:order val="3"/>
          <c:tx>
            <c:strRef>
              <c:f>'10-24-11'!$A$72</c:f>
              <c:strCache>
                <c:ptCount val="1"/>
                <c:pt idx="0">
                  <c:v>Site 43 (4)</c:v>
                </c:pt>
              </c:strCache>
            </c:strRef>
          </c:tx>
          <c:val>
            <c:numRef>
              <c:f>'10-24-11'!$C$73:$C$79</c:f>
              <c:numCache>
                <c:formatCode>General</c:formatCode>
                <c:ptCount val="7"/>
                <c:pt idx="0">
                  <c:v>0.312</c:v>
                </c:pt>
                <c:pt idx="1">
                  <c:v>0.312</c:v>
                </c:pt>
                <c:pt idx="2">
                  <c:v>0.318</c:v>
                </c:pt>
                <c:pt idx="3">
                  <c:v>0.314</c:v>
                </c:pt>
                <c:pt idx="4">
                  <c:v>0.314</c:v>
                </c:pt>
                <c:pt idx="5">
                  <c:v>0.315</c:v>
                </c:pt>
                <c:pt idx="6">
                  <c:v>0.34200000000000003</c:v>
                </c:pt>
              </c:numCache>
            </c:numRef>
          </c:val>
          <c:smooth val="0"/>
          <c:extLst>
            <c:ext xmlns:c16="http://schemas.microsoft.com/office/drawing/2014/chart" uri="{C3380CC4-5D6E-409C-BE32-E72D297353CC}">
              <c16:uniqueId val="{00000003-BB55-40F1-8516-5CB5F95F4BCE}"/>
            </c:ext>
          </c:extLst>
        </c:ser>
        <c:ser>
          <c:idx val="4"/>
          <c:order val="4"/>
          <c:tx>
            <c:strRef>
              <c:f>'10-24-11'!$A$83</c:f>
              <c:strCache>
                <c:ptCount val="1"/>
                <c:pt idx="0">
                  <c:v>Site 44 (5)</c:v>
                </c:pt>
              </c:strCache>
            </c:strRef>
          </c:tx>
          <c:val>
            <c:numRef>
              <c:f>'10-24-11'!$C$84:$C$93</c:f>
              <c:numCache>
                <c:formatCode>General</c:formatCode>
                <c:ptCount val="10"/>
                <c:pt idx="0">
                  <c:v>0.311</c:v>
                </c:pt>
                <c:pt idx="1">
                  <c:v>0.311</c:v>
                </c:pt>
                <c:pt idx="2">
                  <c:v>0.311</c:v>
                </c:pt>
                <c:pt idx="3">
                  <c:v>0.31</c:v>
                </c:pt>
                <c:pt idx="4">
                  <c:v>0.311</c:v>
                </c:pt>
                <c:pt idx="5">
                  <c:v>0.311</c:v>
                </c:pt>
                <c:pt idx="6">
                  <c:v>0.312</c:v>
                </c:pt>
                <c:pt idx="7">
                  <c:v>0.313</c:v>
                </c:pt>
                <c:pt idx="8">
                  <c:v>0.314</c:v>
                </c:pt>
                <c:pt idx="9">
                  <c:v>0.318</c:v>
                </c:pt>
              </c:numCache>
            </c:numRef>
          </c:val>
          <c:smooth val="0"/>
          <c:extLst>
            <c:ext xmlns:c16="http://schemas.microsoft.com/office/drawing/2014/chart" uri="{C3380CC4-5D6E-409C-BE32-E72D297353CC}">
              <c16:uniqueId val="{00000004-BB55-40F1-8516-5CB5F95F4BCE}"/>
            </c:ext>
          </c:extLst>
        </c:ser>
        <c:dLbls>
          <c:showLegendKey val="0"/>
          <c:showVal val="0"/>
          <c:showCatName val="0"/>
          <c:showSerName val="0"/>
          <c:showPercent val="0"/>
          <c:showBubbleSize val="0"/>
        </c:dLbls>
        <c:marker val="1"/>
        <c:smooth val="0"/>
        <c:axId val="170919424"/>
        <c:axId val="170920960"/>
      </c:lineChart>
      <c:catAx>
        <c:axId val="170919424"/>
        <c:scaling>
          <c:orientation val="minMax"/>
        </c:scaling>
        <c:delete val="0"/>
        <c:axPos val="b"/>
        <c:numFmt formatCode="General" sourceLinked="0"/>
        <c:majorTickMark val="none"/>
        <c:minorTickMark val="none"/>
        <c:tickLblPos val="nextTo"/>
        <c:crossAx val="170920960"/>
        <c:crosses val="autoZero"/>
        <c:auto val="1"/>
        <c:lblAlgn val="ctr"/>
        <c:lblOffset val="100"/>
        <c:noMultiLvlLbl val="0"/>
      </c:catAx>
      <c:valAx>
        <c:axId val="170920960"/>
        <c:scaling>
          <c:orientation val="minMax"/>
          <c:min val="0.30000000000000032"/>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70919424"/>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Bear Creek Reservoir Annual Average
Total Phosphorus Trend</a:t>
            </a:r>
          </a:p>
        </c:rich>
      </c:tx>
      <c:layout>
        <c:manualLayout>
          <c:xMode val="edge"/>
          <c:yMode val="edge"/>
          <c:x val="0.28368794326242863"/>
          <c:y val="3.333333333333334E-2"/>
        </c:manualLayout>
      </c:layout>
      <c:overlay val="0"/>
      <c:spPr>
        <a:noFill/>
        <a:ln w="25400">
          <a:noFill/>
        </a:ln>
      </c:spPr>
    </c:title>
    <c:autoTitleDeleted val="0"/>
    <c:plotArea>
      <c:layout>
        <c:manualLayout>
          <c:layoutTarget val="inner"/>
          <c:xMode val="edge"/>
          <c:yMode val="edge"/>
          <c:x val="0.10815621564061496"/>
          <c:y val="0.136729401507791"/>
          <c:w val="0.86524972512490061"/>
          <c:h val="0.7533521926213147"/>
        </c:manualLayout>
      </c:layout>
      <c:barChart>
        <c:barDir val="col"/>
        <c:grouping val="clustered"/>
        <c:varyColors val="0"/>
        <c:ser>
          <c:idx val="0"/>
          <c:order val="0"/>
          <c:tx>
            <c:strRef>
              <c:f>'Phosphorus Trends'!$A$93</c:f>
              <c:strCache>
                <c:ptCount val="1"/>
                <c:pt idx="0">
                  <c:v>Reservoir Average</c:v>
                </c:pt>
              </c:strCache>
            </c:strRef>
          </c:tx>
          <c:spPr>
            <a:solidFill>
              <a:srgbClr val="9999FF"/>
            </a:solidFill>
            <a:ln w="12700">
              <a:solidFill>
                <a:srgbClr val="000000"/>
              </a:solidFill>
              <a:prstDash val="solid"/>
            </a:ln>
          </c:spPr>
          <c:invertIfNegative val="0"/>
          <c:trendline>
            <c:spPr>
              <a:ln w="25400">
                <a:solidFill>
                  <a:srgbClr val="000000"/>
                </a:solidFill>
                <a:prstDash val="solid"/>
              </a:ln>
            </c:spPr>
            <c:trendlineType val="poly"/>
            <c:order val="3"/>
            <c:dispRSqr val="0"/>
            <c:dispEq val="0"/>
          </c:trendline>
          <c:cat>
            <c:numRef>
              <c:f>'Phosphorus Trends'!$B$93:$B$112</c:f>
              <c:numCache>
                <c:formatCode>General</c:formatCode>
                <c:ptCount val="2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numCache>
            </c:numRef>
          </c:cat>
          <c:val>
            <c:numRef>
              <c:f>'Phosphorus Trends'!$C$93:$C$112</c:f>
              <c:numCache>
                <c:formatCode>0</c:formatCode>
                <c:ptCount val="20"/>
                <c:pt idx="0">
                  <c:v>124.33333333333333</c:v>
                </c:pt>
                <c:pt idx="1">
                  <c:v>183.73333333333335</c:v>
                </c:pt>
                <c:pt idx="2">
                  <c:v>162.40476666666666</c:v>
                </c:pt>
                <c:pt idx="3">
                  <c:v>193</c:v>
                </c:pt>
                <c:pt idx="4">
                  <c:v>87.333333333333329</c:v>
                </c:pt>
                <c:pt idx="5">
                  <c:v>41</c:v>
                </c:pt>
                <c:pt idx="6">
                  <c:v>42.895833333333336</c:v>
                </c:pt>
                <c:pt idx="7">
                  <c:v>56.052465322207688</c:v>
                </c:pt>
                <c:pt idx="8">
                  <c:v>47.433333333333337</c:v>
                </c:pt>
                <c:pt idx="9">
                  <c:v>41.666666666666664</c:v>
                </c:pt>
                <c:pt idx="10">
                  <c:v>57.333333333333336</c:v>
                </c:pt>
                <c:pt idx="11">
                  <c:v>49.333333333333336</c:v>
                </c:pt>
                <c:pt idx="12">
                  <c:v>50.199999999999996</c:v>
                </c:pt>
                <c:pt idx="13">
                  <c:v>49.533333333333331</c:v>
                </c:pt>
                <c:pt idx="14">
                  <c:v>31.833333333333329</c:v>
                </c:pt>
                <c:pt idx="15">
                  <c:v>39</c:v>
                </c:pt>
                <c:pt idx="16" formatCode="General">
                  <c:v>24</c:v>
                </c:pt>
                <c:pt idx="17" formatCode="General">
                  <c:v>30.7</c:v>
                </c:pt>
                <c:pt idx="18">
                  <c:v>50.6</c:v>
                </c:pt>
                <c:pt idx="19">
                  <c:v>34.799999999999997</c:v>
                </c:pt>
              </c:numCache>
            </c:numRef>
          </c:val>
          <c:extLst>
            <c:ext xmlns:c16="http://schemas.microsoft.com/office/drawing/2014/chart" uri="{C3380CC4-5D6E-409C-BE32-E72D297353CC}">
              <c16:uniqueId val="{00000001-B65F-4A3F-955A-795DF37E83B7}"/>
            </c:ext>
          </c:extLst>
        </c:ser>
        <c:dLbls>
          <c:showLegendKey val="0"/>
          <c:showVal val="0"/>
          <c:showCatName val="0"/>
          <c:showSerName val="0"/>
          <c:showPercent val="0"/>
          <c:showBubbleSize val="0"/>
        </c:dLbls>
        <c:gapWidth val="150"/>
        <c:axId val="97204096"/>
        <c:axId val="97205632"/>
      </c:barChart>
      <c:catAx>
        <c:axId val="97204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97205632"/>
        <c:crosses val="autoZero"/>
        <c:auto val="1"/>
        <c:lblAlgn val="ctr"/>
        <c:lblOffset val="100"/>
        <c:tickLblSkip val="1"/>
        <c:tickMarkSkip val="1"/>
        <c:noMultiLvlLbl val="0"/>
      </c:catAx>
      <c:valAx>
        <c:axId val="97205632"/>
        <c:scaling>
          <c:orientation val="minMax"/>
        </c:scaling>
        <c:delete val="0"/>
        <c:axPos val="l"/>
        <c:majorGridlines>
          <c:spPr>
            <a:ln w="3175">
              <a:solidFill>
                <a:srgbClr val="000000"/>
              </a:solidFill>
              <a:prstDash val="solid"/>
            </a:ln>
          </c:spPr>
        </c:majorGridlines>
        <c:minorGridlines/>
        <c:title>
          <c:tx>
            <c:rich>
              <a:bodyPr/>
              <a:lstStyle/>
              <a:p>
                <a:pPr>
                  <a:defRPr sz="800" b="1" i="0" u="none" strike="noStrike" baseline="0">
                    <a:solidFill>
                      <a:srgbClr val="000000"/>
                    </a:solidFill>
                    <a:latin typeface="Arial"/>
                    <a:ea typeface="Arial"/>
                    <a:cs typeface="Arial"/>
                  </a:defRPr>
                </a:pPr>
                <a:r>
                  <a:rPr lang="en-US"/>
                  <a:t>Total Phosphorus [ug/l]</a:t>
                </a:r>
              </a:p>
            </c:rich>
          </c:tx>
          <c:layout>
            <c:manualLayout>
              <c:xMode val="edge"/>
              <c:yMode val="edge"/>
              <c:x val="2.1276595744680847E-2"/>
              <c:y val="0.335121340601655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97204096"/>
        <c:crosses val="autoZero"/>
        <c:crossBetween val="between"/>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10/24/2011</a:t>
            </a:r>
          </a:p>
        </c:rich>
      </c:tx>
      <c:overlay val="0"/>
    </c:title>
    <c:autoTitleDeleted val="0"/>
    <c:plotArea>
      <c:layout>
        <c:manualLayout>
          <c:layoutTarget val="inner"/>
          <c:xMode val="edge"/>
          <c:yMode val="edge"/>
          <c:x val="0.11728263358526612"/>
          <c:y val="0.18503404979783081"/>
          <c:w val="0.6619992406868408"/>
          <c:h val="0.62032985741647895"/>
        </c:manualLayout>
      </c:layout>
      <c:lineChart>
        <c:grouping val="standard"/>
        <c:varyColors val="0"/>
        <c:ser>
          <c:idx val="0"/>
          <c:order val="0"/>
          <c:tx>
            <c:strRef>
              <c:f>'10-24-11'!$B$7</c:f>
              <c:strCache>
                <c:ptCount val="1"/>
                <c:pt idx="0">
                  <c:v>Site 40 (CP)</c:v>
                </c:pt>
              </c:strCache>
            </c:strRef>
          </c:tx>
          <c:cat>
            <c:strRef>
              <c:f>'10-24-11'!$A$8:$A$22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'10-24-11'!$F$8:$F$22</c:f>
              <c:numCache>
                <c:formatCode>General</c:formatCode>
                <c:ptCount val="15"/>
                <c:pt idx="0">
                  <c:v>9.5</c:v>
                </c:pt>
                <c:pt idx="1">
                  <c:v>9.4600000000000009</c:v>
                </c:pt>
                <c:pt idx="2">
                  <c:v>9.4499999999999993</c:v>
                </c:pt>
                <c:pt idx="3">
                  <c:v>9.41</c:v>
                </c:pt>
                <c:pt idx="4">
                  <c:v>9.4</c:v>
                </c:pt>
                <c:pt idx="5">
                  <c:v>9.36</c:v>
                </c:pt>
                <c:pt idx="6">
                  <c:v>9.3699999999999992</c:v>
                </c:pt>
                <c:pt idx="7">
                  <c:v>9.4</c:v>
                </c:pt>
                <c:pt idx="8">
                  <c:v>9.33</c:v>
                </c:pt>
                <c:pt idx="9">
                  <c:v>9.06</c:v>
                </c:pt>
                <c:pt idx="10">
                  <c:v>8.99</c:v>
                </c:pt>
                <c:pt idx="11">
                  <c:v>8.8000000000000007</c:v>
                </c:pt>
                <c:pt idx="12">
                  <c:v>8.73</c:v>
                </c:pt>
                <c:pt idx="13">
                  <c:v>8.57</c:v>
                </c:pt>
                <c:pt idx="14">
                  <c:v>8.08</c:v>
                </c:pt>
              </c:numCache>
            </c:numRef>
          </c:val>
          <c:smooth val="0"/>
          <c:extLst>
            <c:ext xmlns:c16="http://schemas.microsoft.com/office/drawing/2014/chart" uri="{C3380CC4-5D6E-409C-BE32-E72D297353CC}">
              <c16:uniqueId val="{00000000-2048-42E6-A782-B09151333BBE}"/>
            </c:ext>
          </c:extLst>
        </c:ser>
        <c:ser>
          <c:idx val="1"/>
          <c:order val="1"/>
          <c:tx>
            <c:strRef>
              <c:f>'10-24-11'!$A$44</c:f>
              <c:strCache>
                <c:ptCount val="1"/>
                <c:pt idx="0">
                  <c:v>Site 41 (1)</c:v>
                </c:pt>
              </c:strCache>
            </c:strRef>
          </c:tx>
          <c:val>
            <c:numRef>
              <c:f>'10-24-11'!$F$45:$F$56</c:f>
              <c:numCache>
                <c:formatCode>General</c:formatCode>
                <c:ptCount val="12"/>
                <c:pt idx="0">
                  <c:v>9.42</c:v>
                </c:pt>
                <c:pt idx="1">
                  <c:v>9.4499999999999993</c:v>
                </c:pt>
                <c:pt idx="2">
                  <c:v>9.4700000000000006</c:v>
                </c:pt>
                <c:pt idx="3">
                  <c:v>9.4700000000000006</c:v>
                </c:pt>
                <c:pt idx="4">
                  <c:v>9.42</c:v>
                </c:pt>
                <c:pt idx="5">
                  <c:v>9.44</c:v>
                </c:pt>
                <c:pt idx="6">
                  <c:v>9.41</c:v>
                </c:pt>
                <c:pt idx="7">
                  <c:v>9.44</c:v>
                </c:pt>
                <c:pt idx="8">
                  <c:v>9.4499999999999993</c:v>
                </c:pt>
                <c:pt idx="9">
                  <c:v>9.44</c:v>
                </c:pt>
                <c:pt idx="10">
                  <c:v>9.4499999999999993</c:v>
                </c:pt>
                <c:pt idx="11">
                  <c:v>9.5</c:v>
                </c:pt>
              </c:numCache>
            </c:numRef>
          </c:val>
          <c:smooth val="0"/>
          <c:extLst>
            <c:ext xmlns:c16="http://schemas.microsoft.com/office/drawing/2014/chart" uri="{C3380CC4-5D6E-409C-BE32-E72D297353CC}">
              <c16:uniqueId val="{00000001-2048-42E6-A782-B09151333BBE}"/>
            </c:ext>
          </c:extLst>
        </c:ser>
        <c:ser>
          <c:idx val="2"/>
          <c:order val="2"/>
          <c:tx>
            <c:strRef>
              <c:f>'10-24-11'!$A$58</c:f>
              <c:strCache>
                <c:ptCount val="1"/>
                <c:pt idx="0">
                  <c:v>Site 42 (3)</c:v>
                </c:pt>
              </c:strCache>
            </c:strRef>
          </c:tx>
          <c:val>
            <c:numRef>
              <c:f>'10-24-11'!$F$59:$F$67</c:f>
              <c:numCache>
                <c:formatCode>General</c:formatCode>
                <c:ptCount val="9"/>
                <c:pt idx="0">
                  <c:v>9.4700000000000006</c:v>
                </c:pt>
                <c:pt idx="1">
                  <c:v>9.4600000000000009</c:v>
                </c:pt>
                <c:pt idx="2">
                  <c:v>9.44</c:v>
                </c:pt>
                <c:pt idx="3">
                  <c:v>9.4</c:v>
                </c:pt>
                <c:pt idx="4">
                  <c:v>9.39</c:v>
                </c:pt>
                <c:pt idx="5">
                  <c:v>9.33</c:v>
                </c:pt>
                <c:pt idx="6">
                  <c:v>9.3000000000000007</c:v>
                </c:pt>
                <c:pt idx="7">
                  <c:v>9.31</c:v>
                </c:pt>
                <c:pt idx="8">
                  <c:v>9.25</c:v>
                </c:pt>
              </c:numCache>
            </c:numRef>
          </c:val>
          <c:smooth val="0"/>
          <c:extLst>
            <c:ext xmlns:c16="http://schemas.microsoft.com/office/drawing/2014/chart" uri="{C3380CC4-5D6E-409C-BE32-E72D297353CC}">
              <c16:uniqueId val="{00000002-2048-42E6-A782-B09151333BBE}"/>
            </c:ext>
          </c:extLst>
        </c:ser>
        <c:ser>
          <c:idx val="3"/>
          <c:order val="3"/>
          <c:tx>
            <c:strRef>
              <c:f>'10-24-11'!$A$72</c:f>
              <c:strCache>
                <c:ptCount val="1"/>
                <c:pt idx="0">
                  <c:v>Site 43 (4)</c:v>
                </c:pt>
              </c:strCache>
            </c:strRef>
          </c:tx>
          <c:val>
            <c:numRef>
              <c:f>'10-24-11'!$F$73:$F$79</c:f>
              <c:numCache>
                <c:formatCode>General</c:formatCode>
                <c:ptCount val="7"/>
                <c:pt idx="0">
                  <c:v>9.3800000000000008</c:v>
                </c:pt>
                <c:pt idx="1">
                  <c:v>9.41</c:v>
                </c:pt>
                <c:pt idx="2">
                  <c:v>9.44</c:v>
                </c:pt>
                <c:pt idx="3">
                  <c:v>9.39</c:v>
                </c:pt>
                <c:pt idx="4">
                  <c:v>9.32</c:v>
                </c:pt>
                <c:pt idx="5">
                  <c:v>9.39</c:v>
                </c:pt>
                <c:pt idx="6">
                  <c:v>9.0399999999999991</c:v>
                </c:pt>
              </c:numCache>
            </c:numRef>
          </c:val>
          <c:smooth val="0"/>
          <c:extLst>
            <c:ext xmlns:c16="http://schemas.microsoft.com/office/drawing/2014/chart" uri="{C3380CC4-5D6E-409C-BE32-E72D297353CC}">
              <c16:uniqueId val="{00000003-2048-42E6-A782-B09151333BBE}"/>
            </c:ext>
          </c:extLst>
        </c:ser>
        <c:ser>
          <c:idx val="4"/>
          <c:order val="4"/>
          <c:tx>
            <c:strRef>
              <c:f>'10-24-11'!$A$83</c:f>
              <c:strCache>
                <c:ptCount val="1"/>
                <c:pt idx="0">
                  <c:v>Site 44 (5)</c:v>
                </c:pt>
              </c:strCache>
            </c:strRef>
          </c:tx>
          <c:val>
            <c:numRef>
              <c:f>'10-24-11'!$F$84:$F$93</c:f>
              <c:numCache>
                <c:formatCode>0.00</c:formatCode>
                <c:ptCount val="10"/>
                <c:pt idx="0">
                  <c:v>9.42</c:v>
                </c:pt>
                <c:pt idx="1">
                  <c:v>9.43</c:v>
                </c:pt>
                <c:pt idx="2">
                  <c:v>9.42</c:v>
                </c:pt>
                <c:pt idx="3">
                  <c:v>9.42</c:v>
                </c:pt>
                <c:pt idx="4">
                  <c:v>9.41</c:v>
                </c:pt>
                <c:pt idx="5">
                  <c:v>9.39</c:v>
                </c:pt>
                <c:pt idx="6">
                  <c:v>9.36</c:v>
                </c:pt>
                <c:pt idx="7">
                  <c:v>9.33</c:v>
                </c:pt>
                <c:pt idx="8">
                  <c:v>9.25</c:v>
                </c:pt>
                <c:pt idx="9">
                  <c:v>9.11</c:v>
                </c:pt>
              </c:numCache>
            </c:numRef>
          </c:val>
          <c:smooth val="0"/>
          <c:extLst>
            <c:ext xmlns:c16="http://schemas.microsoft.com/office/drawing/2014/chart" uri="{C3380CC4-5D6E-409C-BE32-E72D297353CC}">
              <c16:uniqueId val="{00000004-2048-42E6-A782-B09151333BBE}"/>
            </c:ext>
          </c:extLst>
        </c:ser>
        <c:dLbls>
          <c:showLegendKey val="0"/>
          <c:showVal val="0"/>
          <c:showCatName val="0"/>
          <c:showSerName val="0"/>
          <c:showPercent val="0"/>
          <c:showBubbleSize val="0"/>
        </c:dLbls>
        <c:marker val="1"/>
        <c:smooth val="0"/>
        <c:axId val="170989824"/>
        <c:axId val="170999808"/>
      </c:lineChart>
      <c:catAx>
        <c:axId val="170989824"/>
        <c:scaling>
          <c:orientation val="minMax"/>
        </c:scaling>
        <c:delete val="0"/>
        <c:axPos val="b"/>
        <c:numFmt formatCode="General" sourceLinked="0"/>
        <c:majorTickMark val="none"/>
        <c:minorTickMark val="none"/>
        <c:tickLblPos val="nextTo"/>
        <c:crossAx val="170999808"/>
        <c:crosses val="autoZero"/>
        <c:auto val="1"/>
        <c:lblAlgn val="ctr"/>
        <c:lblOffset val="100"/>
        <c:noMultiLvlLbl val="0"/>
      </c:catAx>
      <c:valAx>
        <c:axId val="170999808"/>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70989824"/>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44" l="0.70000000000000062" r="0.70000000000000062" t="0.75000000000001044"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(11/28/2011)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922"/>
        </c:manualLayout>
      </c:layout>
      <c:lineChart>
        <c:grouping val="standard"/>
        <c:varyColors val="0"/>
        <c:ser>
          <c:idx val="0"/>
          <c:order val="0"/>
          <c:tx>
            <c:strRef>
              <c:f>'11-28-2011'!$D$3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'11-28-2011'!$D$8:$D$22</c:f>
              <c:numCache>
                <c:formatCode>General</c:formatCode>
                <c:ptCount val="15"/>
                <c:pt idx="0">
                  <c:v>9.64</c:v>
                </c:pt>
                <c:pt idx="1">
                  <c:v>9.49</c:v>
                </c:pt>
                <c:pt idx="2">
                  <c:v>9.26</c:v>
                </c:pt>
                <c:pt idx="3">
                  <c:v>9.18</c:v>
                </c:pt>
                <c:pt idx="4">
                  <c:v>9.3000000000000007</c:v>
                </c:pt>
                <c:pt idx="5">
                  <c:v>9.24</c:v>
                </c:pt>
                <c:pt idx="6">
                  <c:v>9.25</c:v>
                </c:pt>
                <c:pt idx="7">
                  <c:v>9.41</c:v>
                </c:pt>
                <c:pt idx="8">
                  <c:v>9.1</c:v>
                </c:pt>
                <c:pt idx="9" formatCode="0.00">
                  <c:v>9.26</c:v>
                </c:pt>
                <c:pt idx="10" formatCode="0.00">
                  <c:v>9.1199999999999992</c:v>
                </c:pt>
                <c:pt idx="11" formatCode="0.00">
                  <c:v>9</c:v>
                </c:pt>
                <c:pt idx="12" formatCode="0.00">
                  <c:v>8.98</c:v>
                </c:pt>
                <c:pt idx="13" formatCode="0.00">
                  <c:v>8.8000000000000007</c:v>
                </c:pt>
                <c:pt idx="14">
                  <c:v>8.81</c:v>
                </c:pt>
              </c:numCache>
            </c:numRef>
          </c:val>
          <c:smooth val="0"/>
          <c:extLst>
            <c:ext xmlns:c16="http://schemas.microsoft.com/office/drawing/2014/chart" uri="{C3380CC4-5D6E-409C-BE32-E72D297353CC}">
              <c16:uniqueId val="{00000000-8E14-4C23-850A-94A95ADCA756}"/>
            </c:ext>
          </c:extLst>
        </c:ser>
        <c:ser>
          <c:idx val="1"/>
          <c:order val="1"/>
          <c:tx>
            <c:strRef>
              <c:f>'11-28-2011'!$E$3</c:f>
              <c:strCache>
                <c:ptCount val="1"/>
                <c:pt idx="0">
                  <c:v>Temp</c:v>
                </c:pt>
              </c:strCache>
            </c:strRef>
          </c:tx>
          <c:marker>
            <c:symbol val="none"/>
          </c:marker>
          <c:val>
            <c:numRef>
              <c:f>'11-28-2011'!$E$8:$E$22</c:f>
              <c:numCache>
                <c:formatCode>General</c:formatCode>
                <c:ptCount val="15"/>
                <c:pt idx="0">
                  <c:v>5.4</c:v>
                </c:pt>
                <c:pt idx="1">
                  <c:v>5.4</c:v>
                </c:pt>
                <c:pt idx="2">
                  <c:v>5.2</c:v>
                </c:pt>
                <c:pt idx="3">
                  <c:v>5.4</c:v>
                </c:pt>
                <c:pt idx="4">
                  <c:v>5.4</c:v>
                </c:pt>
                <c:pt idx="5">
                  <c:v>5.3</c:v>
                </c:pt>
                <c:pt idx="6">
                  <c:v>5.3</c:v>
                </c:pt>
                <c:pt idx="7">
                  <c:v>5.3</c:v>
                </c:pt>
                <c:pt idx="8">
                  <c:v>5.3</c:v>
                </c:pt>
                <c:pt idx="9">
                  <c:v>5.3</c:v>
                </c:pt>
                <c:pt idx="10">
                  <c:v>5.6</c:v>
                </c:pt>
                <c:pt idx="11">
                  <c:v>5.6</c:v>
                </c:pt>
                <c:pt idx="12">
                  <c:v>5.2</c:v>
                </c:pt>
                <c:pt idx="13">
                  <c:v>5.4</c:v>
                </c:pt>
                <c:pt idx="14">
                  <c:v>5.6</c:v>
                </c:pt>
              </c:numCache>
            </c:numRef>
          </c:val>
          <c:smooth val="0"/>
          <c:extLst>
            <c:ext xmlns:c16="http://schemas.microsoft.com/office/drawing/2014/chart" uri="{C3380CC4-5D6E-409C-BE32-E72D297353CC}">
              <c16:uniqueId val="{00000001-8E14-4C23-850A-94A95ADCA756}"/>
            </c:ext>
          </c:extLst>
        </c:ser>
        <c:dLbls>
          <c:showLegendKey val="0"/>
          <c:showVal val="0"/>
          <c:showCatName val="0"/>
          <c:showSerName val="0"/>
          <c:showPercent val="0"/>
          <c:showBubbleSize val="0"/>
        </c:dLbls>
        <c:smooth val="0"/>
        <c:axId val="179491968"/>
        <c:axId val="179493504"/>
      </c:lineChart>
      <c:catAx>
        <c:axId val="179491968"/>
        <c:scaling>
          <c:orientation val="minMax"/>
        </c:scaling>
        <c:delete val="0"/>
        <c:axPos val="b"/>
        <c:minorGridlines/>
        <c:numFmt formatCode="General" sourceLinked="0"/>
        <c:majorTickMark val="out"/>
        <c:minorTickMark val="none"/>
        <c:tickLblPos val="nextTo"/>
        <c:crossAx val="179493504"/>
        <c:crosses val="autoZero"/>
        <c:auto val="1"/>
        <c:lblAlgn val="ctr"/>
        <c:lblOffset val="100"/>
        <c:noMultiLvlLbl val="0"/>
      </c:catAx>
      <c:valAx>
        <c:axId val="179493504"/>
        <c:scaling>
          <c:orientation val="minMax"/>
        </c:scaling>
        <c:delete val="0"/>
        <c:axPos val="l"/>
        <c:majorGridlines/>
        <c:minorGridlines/>
        <c:numFmt formatCode="General" sourceLinked="1"/>
        <c:majorTickMark val="out"/>
        <c:minorTickMark val="none"/>
        <c:tickLblPos val="nextTo"/>
        <c:crossAx val="179491968"/>
        <c:crosses val="autoZero"/>
        <c:crossBetween val="midCat"/>
      </c:valAx>
    </c:plotArea>
    <c:legend>
      <c:legendPos val="r"/>
      <c:layout>
        <c:manualLayout>
          <c:xMode val="edge"/>
          <c:yMode val="edge"/>
          <c:x val="0.82415839287020243"/>
          <c:y val="7.7435761324994384E-2"/>
          <c:w val="0.13080820317796896"/>
          <c:h val="0.20838851496199104"/>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6/27/2011</a:t>
            </a:r>
          </a:p>
        </c:rich>
      </c:tx>
      <c:overlay val="0"/>
    </c:title>
    <c:autoTitleDeleted val="0"/>
    <c:plotArea>
      <c:layout/>
      <c:lineChart>
        <c:grouping val="standard"/>
        <c:varyColors val="0"/>
        <c:dLbls>
          <c:showLegendKey val="0"/>
          <c:showVal val="0"/>
          <c:showCatName val="0"/>
          <c:showSerName val="0"/>
          <c:showPercent val="0"/>
          <c:showBubbleSize val="0"/>
        </c:dLbls>
        <c:marker val="1"/>
        <c:smooth val="0"/>
        <c:axId val="179541504"/>
        <c:axId val="179543040"/>
      </c:lineChart>
      <c:catAx>
        <c:axId val="179541504"/>
        <c:scaling>
          <c:orientation val="minMax"/>
        </c:scaling>
        <c:delete val="0"/>
        <c:axPos val="b"/>
        <c:majorTickMark val="none"/>
        <c:minorTickMark val="none"/>
        <c:tickLblPos val="nextTo"/>
        <c:crossAx val="179543040"/>
        <c:crosses val="autoZero"/>
        <c:auto val="1"/>
        <c:lblAlgn val="ctr"/>
        <c:lblOffset val="100"/>
        <c:noMultiLvlLbl val="0"/>
      </c:catAx>
      <c:valAx>
        <c:axId val="179543040"/>
        <c:scaling>
          <c:orientation val="minMax"/>
        </c:scaling>
        <c:delete val="0"/>
        <c:axPos val="l"/>
        <c:majorGridlines/>
        <c:title>
          <c:tx>
            <c:rich>
              <a:bodyPr/>
              <a:lstStyle/>
              <a:p>
                <a:pPr>
                  <a:defRPr/>
                </a:pPr>
                <a:r>
                  <a:rPr lang="en-US"/>
                  <a:t>DO mg/l</a:t>
                </a:r>
              </a:p>
            </c:rich>
          </c:tx>
          <c:overlay val="0"/>
        </c:title>
        <c:numFmt formatCode="0.00" sourceLinked="1"/>
        <c:majorTickMark val="none"/>
        <c:minorTickMark val="none"/>
        <c:tickLblPos val="nextTo"/>
        <c:crossAx val="179541504"/>
        <c:crosses val="autoZero"/>
        <c:crossBetween val="between"/>
      </c:valAx>
    </c:plotArea>
    <c:legend>
      <c:legendPos val="r"/>
      <c:layout>
        <c:manualLayout>
          <c:xMode val="edge"/>
          <c:yMode val="edge"/>
          <c:x val="0.80383606722756107"/>
          <c:y val="0.22371135899679526"/>
          <c:w val="0.18321943083609099"/>
          <c:h val="0.4342678526855612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Conductance Profiles 6/27/2011</a:t>
            </a:r>
          </a:p>
        </c:rich>
      </c:tx>
      <c:layout>
        <c:manualLayout>
          <c:xMode val="edge"/>
          <c:yMode val="edge"/>
          <c:x val="0.14230270671238793"/>
          <c:y val="2.4084778420038592E-2"/>
        </c:manualLayout>
      </c:layout>
      <c:overlay val="0"/>
    </c:title>
    <c:autoTitleDeleted val="0"/>
    <c:plotArea>
      <c:layout/>
      <c:lineChart>
        <c:grouping val="standard"/>
        <c:varyColors val="0"/>
        <c:dLbls>
          <c:showLegendKey val="0"/>
          <c:showVal val="0"/>
          <c:showCatName val="0"/>
          <c:showSerName val="0"/>
          <c:showPercent val="0"/>
          <c:showBubbleSize val="0"/>
        </c:dLbls>
        <c:marker val="1"/>
        <c:smooth val="0"/>
        <c:axId val="179562752"/>
        <c:axId val="179568640"/>
      </c:lineChart>
      <c:catAx>
        <c:axId val="179562752"/>
        <c:scaling>
          <c:orientation val="minMax"/>
        </c:scaling>
        <c:delete val="0"/>
        <c:axPos val="b"/>
        <c:majorTickMark val="none"/>
        <c:minorTickMark val="none"/>
        <c:tickLblPos val="nextTo"/>
        <c:crossAx val="179568640"/>
        <c:crosses val="autoZero"/>
        <c:auto val="1"/>
        <c:lblAlgn val="ctr"/>
        <c:lblOffset val="100"/>
        <c:noMultiLvlLbl val="0"/>
      </c:catAx>
      <c:valAx>
        <c:axId val="179568640"/>
        <c:scaling>
          <c:orientation val="minMax"/>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79562752"/>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6/27/2011</a:t>
            </a:r>
          </a:p>
        </c:rich>
      </c:tx>
      <c:overlay val="0"/>
    </c:title>
    <c:autoTitleDeleted val="0"/>
    <c:plotArea>
      <c:layout/>
      <c:lineChart>
        <c:grouping val="standard"/>
        <c:varyColors val="0"/>
        <c:dLbls>
          <c:showLegendKey val="0"/>
          <c:showVal val="0"/>
          <c:showCatName val="0"/>
          <c:showSerName val="0"/>
          <c:showPercent val="0"/>
          <c:showBubbleSize val="0"/>
        </c:dLbls>
        <c:marker val="1"/>
        <c:smooth val="0"/>
        <c:axId val="179585792"/>
        <c:axId val="179610368"/>
      </c:lineChart>
      <c:catAx>
        <c:axId val="179585792"/>
        <c:scaling>
          <c:orientation val="minMax"/>
        </c:scaling>
        <c:delete val="0"/>
        <c:axPos val="b"/>
        <c:majorTickMark val="none"/>
        <c:minorTickMark val="none"/>
        <c:tickLblPos val="nextTo"/>
        <c:crossAx val="179610368"/>
        <c:crosses val="autoZero"/>
        <c:auto val="1"/>
        <c:lblAlgn val="ctr"/>
        <c:lblOffset val="100"/>
        <c:noMultiLvlLbl val="0"/>
      </c:catAx>
      <c:valAx>
        <c:axId val="179610368"/>
        <c:scaling>
          <c:orientation val="minMax"/>
        </c:scaling>
        <c:delete val="0"/>
        <c:axPos val="l"/>
        <c:majorGridlines/>
        <c:title>
          <c:tx>
            <c:rich>
              <a:bodyPr/>
              <a:lstStyle/>
              <a:p>
                <a:pPr>
                  <a:defRPr/>
                </a:pPr>
                <a:r>
                  <a:rPr lang="en-US"/>
                  <a:t>pH</a:t>
                </a:r>
              </a:p>
            </c:rich>
          </c:tx>
          <c:overlay val="0"/>
        </c:title>
        <c:numFmt formatCode="0.00" sourceLinked="1"/>
        <c:majorTickMark val="none"/>
        <c:minorTickMark val="none"/>
        <c:tickLblPos val="nextTo"/>
        <c:crossAx val="179585792"/>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(12/15/2012)</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944"/>
        </c:manualLayout>
      </c:layout>
      <c:lineChart>
        <c:grouping val="standard"/>
        <c:varyColors val="0"/>
        <c:ser>
          <c:idx val="0"/>
          <c:order val="0"/>
          <c:tx>
            <c:strRef>
              <c:f>'12-15-2011'!$D$3</c:f>
              <c:strCache>
                <c:ptCount val="1"/>
                <c:pt idx="0">
                  <c:v>DO</c:v>
                </c:pt>
              </c:strCache>
            </c:strRef>
          </c:tx>
          <c:marker>
            <c:symbol val="none"/>
          </c:marker>
          <c:cat>
            <c:strRef>
              <c:f>'12-15-2011'!$A$8:$A$22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'12-15-2011'!$D$8:$D$22</c:f>
              <c:numCache>
                <c:formatCode>General</c:formatCode>
                <c:ptCount val="15"/>
                <c:pt idx="0">
                  <c:v>11.39</c:v>
                </c:pt>
                <c:pt idx="1">
                  <c:v>11.48</c:v>
                </c:pt>
                <c:pt idx="2">
                  <c:v>11.07</c:v>
                </c:pt>
                <c:pt idx="3">
                  <c:v>11.58</c:v>
                </c:pt>
                <c:pt idx="4">
                  <c:v>11.99</c:v>
                </c:pt>
                <c:pt idx="5">
                  <c:v>11.78</c:v>
                </c:pt>
                <c:pt idx="6">
                  <c:v>11.53</c:v>
                </c:pt>
                <c:pt idx="7">
                  <c:v>9.83</c:v>
                </c:pt>
                <c:pt idx="8">
                  <c:v>9</c:v>
                </c:pt>
                <c:pt idx="9" formatCode="0.00">
                  <c:v>7.9</c:v>
                </c:pt>
                <c:pt idx="10" formatCode="0.00">
                  <c:v>8.2100000000000009</c:v>
                </c:pt>
                <c:pt idx="11" formatCode="0.00">
                  <c:v>7.8</c:v>
                </c:pt>
                <c:pt idx="12" formatCode="0.00">
                  <c:v>5.8</c:v>
                </c:pt>
                <c:pt idx="13" formatCode="0.00">
                  <c:v>4.3499999999999996</c:v>
                </c:pt>
                <c:pt idx="14">
                  <c:v>3.69</c:v>
                </c:pt>
              </c:numCache>
            </c:numRef>
          </c:val>
          <c:smooth val="0"/>
          <c:extLst>
            <c:ext xmlns:c16="http://schemas.microsoft.com/office/drawing/2014/chart" uri="{C3380CC4-5D6E-409C-BE32-E72D297353CC}">
              <c16:uniqueId val="{00000000-6957-4870-9E89-C3F69AEA342B}"/>
            </c:ext>
          </c:extLst>
        </c:ser>
        <c:ser>
          <c:idx val="1"/>
          <c:order val="1"/>
          <c:tx>
            <c:strRef>
              <c:f>'12-15-2011'!$E$3</c:f>
              <c:strCache>
                <c:ptCount val="1"/>
                <c:pt idx="0">
                  <c:v>Temp</c:v>
                </c:pt>
              </c:strCache>
            </c:strRef>
          </c:tx>
          <c:marker>
            <c:symbol val="none"/>
          </c:marker>
          <c:cat>
            <c:strRef>
              <c:f>'12-15-2011'!$A$8:$A$22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'12-15-2011'!$E$8:$E$22</c:f>
              <c:numCache>
                <c:formatCode>General</c:formatCode>
                <c:ptCount val="15"/>
                <c:pt idx="0">
                  <c:v>3.5</c:v>
                </c:pt>
                <c:pt idx="1">
                  <c:v>3.7</c:v>
                </c:pt>
                <c:pt idx="2">
                  <c:v>3.7</c:v>
                </c:pt>
                <c:pt idx="3">
                  <c:v>3.9</c:v>
                </c:pt>
                <c:pt idx="4">
                  <c:v>3.9</c:v>
                </c:pt>
                <c:pt idx="5">
                  <c:v>3.8</c:v>
                </c:pt>
                <c:pt idx="6">
                  <c:v>3.7</c:v>
                </c:pt>
                <c:pt idx="7">
                  <c:v>3.5</c:v>
                </c:pt>
                <c:pt idx="8">
                  <c:v>3.5</c:v>
                </c:pt>
                <c:pt idx="9">
                  <c:v>3.6</c:v>
                </c:pt>
                <c:pt idx="10">
                  <c:v>3.7</c:v>
                </c:pt>
                <c:pt idx="11">
                  <c:v>3.8</c:v>
                </c:pt>
                <c:pt idx="12">
                  <c:v>4</c:v>
                </c:pt>
                <c:pt idx="13">
                  <c:v>4.2</c:v>
                </c:pt>
                <c:pt idx="14">
                  <c:v>4.4000000000000004</c:v>
                </c:pt>
              </c:numCache>
            </c:numRef>
          </c:val>
          <c:smooth val="0"/>
          <c:extLst>
            <c:ext xmlns:c16="http://schemas.microsoft.com/office/drawing/2014/chart" uri="{C3380CC4-5D6E-409C-BE32-E72D297353CC}">
              <c16:uniqueId val="{00000001-6957-4870-9E89-C3F69AEA342B}"/>
            </c:ext>
          </c:extLst>
        </c:ser>
        <c:dLbls>
          <c:showLegendKey val="0"/>
          <c:showVal val="0"/>
          <c:showCatName val="0"/>
          <c:showSerName val="0"/>
          <c:showPercent val="0"/>
          <c:showBubbleSize val="0"/>
        </c:dLbls>
        <c:smooth val="0"/>
        <c:axId val="180184960"/>
        <c:axId val="180186496"/>
      </c:lineChart>
      <c:catAx>
        <c:axId val="180184960"/>
        <c:scaling>
          <c:orientation val="minMax"/>
        </c:scaling>
        <c:delete val="0"/>
        <c:axPos val="b"/>
        <c:minorGridlines/>
        <c:numFmt formatCode="General" sourceLinked="0"/>
        <c:majorTickMark val="out"/>
        <c:minorTickMark val="none"/>
        <c:tickLblPos val="nextTo"/>
        <c:crossAx val="180186496"/>
        <c:crosses val="autoZero"/>
        <c:auto val="1"/>
        <c:lblAlgn val="ctr"/>
        <c:lblOffset val="100"/>
        <c:noMultiLvlLbl val="0"/>
      </c:catAx>
      <c:valAx>
        <c:axId val="180186496"/>
        <c:scaling>
          <c:orientation val="minMax"/>
        </c:scaling>
        <c:delete val="0"/>
        <c:axPos val="l"/>
        <c:majorGridlines/>
        <c:minorGridlines/>
        <c:numFmt formatCode="General" sourceLinked="1"/>
        <c:majorTickMark val="out"/>
        <c:minorTickMark val="none"/>
        <c:tickLblPos val="nextTo"/>
        <c:crossAx val="180184960"/>
        <c:crosses val="autoZero"/>
        <c:crossBetween val="midCat"/>
      </c:valAx>
    </c:plotArea>
    <c:legend>
      <c:legendPos val="r"/>
      <c:layout>
        <c:manualLayout>
          <c:xMode val="edge"/>
          <c:yMode val="edge"/>
          <c:x val="0.7858442694663168"/>
          <c:y val="0.16025140344826591"/>
          <c:w val="0.13561951307810663"/>
          <c:h val="0.16639447836936291"/>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465" l="0.70000000000000062" r="0.70000000000000062" t="0.7500000000000146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Dissolved Oxygen Profiles 12/15/2011</a:t>
            </a:r>
          </a:p>
        </c:rich>
      </c:tx>
      <c:layout>
        <c:manualLayout>
          <c:xMode val="edge"/>
          <c:yMode val="edge"/>
          <c:x val="0.22860345824484968"/>
          <c:y val="2.7777777777777891E-2"/>
        </c:manualLayout>
      </c:layout>
      <c:overlay val="0"/>
    </c:title>
    <c:autoTitleDeleted val="0"/>
    <c:plotArea>
      <c:layout>
        <c:manualLayout>
          <c:layoutTarget val="inner"/>
          <c:xMode val="edge"/>
          <c:yMode val="edge"/>
          <c:x val="0.13226906870693356"/>
          <c:y val="0.18348388743073824"/>
          <c:w val="0.65599764475808575"/>
          <c:h val="0.62130030621172361"/>
        </c:manualLayout>
      </c:layout>
      <c:lineChart>
        <c:grouping val="standard"/>
        <c:varyColors val="0"/>
        <c:ser>
          <c:idx val="0"/>
          <c:order val="0"/>
          <c:tx>
            <c:strRef>
              <c:f>'12-15-2011'!$B$7</c:f>
              <c:strCache>
                <c:ptCount val="1"/>
                <c:pt idx="0">
                  <c:v>Site 40 (CP)</c:v>
                </c:pt>
              </c:strCache>
            </c:strRef>
          </c:tx>
          <c:cat>
            <c:strRef>
              <c:f>'12-15-2011'!$A$8:$A$22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'12-15-2011'!$D$8:$D$22</c:f>
              <c:numCache>
                <c:formatCode>General</c:formatCode>
                <c:ptCount val="15"/>
                <c:pt idx="0">
                  <c:v>11.39</c:v>
                </c:pt>
                <c:pt idx="1">
                  <c:v>11.48</c:v>
                </c:pt>
                <c:pt idx="2">
                  <c:v>11.07</c:v>
                </c:pt>
                <c:pt idx="3">
                  <c:v>11.58</c:v>
                </c:pt>
                <c:pt idx="4">
                  <c:v>11.99</c:v>
                </c:pt>
                <c:pt idx="5">
                  <c:v>11.78</c:v>
                </c:pt>
                <c:pt idx="6">
                  <c:v>11.53</c:v>
                </c:pt>
                <c:pt idx="7">
                  <c:v>9.83</c:v>
                </c:pt>
                <c:pt idx="8">
                  <c:v>9</c:v>
                </c:pt>
                <c:pt idx="9" formatCode="0.00">
                  <c:v>7.9</c:v>
                </c:pt>
                <c:pt idx="10" formatCode="0.00">
                  <c:v>8.2100000000000009</c:v>
                </c:pt>
                <c:pt idx="11" formatCode="0.00">
                  <c:v>7.8</c:v>
                </c:pt>
                <c:pt idx="12" formatCode="0.00">
                  <c:v>5.8</c:v>
                </c:pt>
                <c:pt idx="13" formatCode="0.00">
                  <c:v>4.3499999999999996</c:v>
                </c:pt>
                <c:pt idx="14">
                  <c:v>3.69</c:v>
                </c:pt>
              </c:numCache>
            </c:numRef>
          </c:val>
          <c:smooth val="0"/>
          <c:extLst>
            <c:ext xmlns:c16="http://schemas.microsoft.com/office/drawing/2014/chart" uri="{C3380CC4-5D6E-409C-BE32-E72D297353CC}">
              <c16:uniqueId val="{00000000-026F-4E1E-A3C2-52ED38E193B0}"/>
            </c:ext>
          </c:extLst>
        </c:ser>
        <c:ser>
          <c:idx val="1"/>
          <c:order val="1"/>
          <c:tx>
            <c:strRef>
              <c:f>'12-15-2011'!$A$44</c:f>
              <c:strCache>
                <c:ptCount val="1"/>
                <c:pt idx="0">
                  <c:v>Site 41 (1)</c:v>
                </c:pt>
              </c:strCache>
            </c:strRef>
          </c:tx>
          <c:val>
            <c:numRef>
              <c:f>'12-15-2011'!$D$45:$D$53</c:f>
              <c:numCache>
                <c:formatCode>General</c:formatCode>
                <c:ptCount val="9"/>
                <c:pt idx="0">
                  <c:v>11.68</c:v>
                </c:pt>
                <c:pt idx="1">
                  <c:v>11.93</c:v>
                </c:pt>
                <c:pt idx="2">
                  <c:v>12.12</c:v>
                </c:pt>
                <c:pt idx="3">
                  <c:v>11.81</c:v>
                </c:pt>
                <c:pt idx="4">
                  <c:v>11.55</c:v>
                </c:pt>
                <c:pt idx="5">
                  <c:v>11.34</c:v>
                </c:pt>
                <c:pt idx="6">
                  <c:v>10.72</c:v>
                </c:pt>
                <c:pt idx="7">
                  <c:v>10.86</c:v>
                </c:pt>
                <c:pt idx="8">
                  <c:v>6.23</c:v>
                </c:pt>
              </c:numCache>
            </c:numRef>
          </c:val>
          <c:smooth val="0"/>
          <c:extLst>
            <c:ext xmlns:c16="http://schemas.microsoft.com/office/drawing/2014/chart" uri="{C3380CC4-5D6E-409C-BE32-E72D297353CC}">
              <c16:uniqueId val="{00000001-026F-4E1E-A3C2-52ED38E193B0}"/>
            </c:ext>
          </c:extLst>
        </c:ser>
        <c:ser>
          <c:idx val="2"/>
          <c:order val="2"/>
          <c:tx>
            <c:strRef>
              <c:f>'12-15-2011'!$A$58</c:f>
              <c:strCache>
                <c:ptCount val="1"/>
                <c:pt idx="0">
                  <c:v>Site 42 (3)</c:v>
                </c:pt>
              </c:strCache>
            </c:strRef>
          </c:tx>
          <c:val>
            <c:numRef>
              <c:f>'12-15-2011'!$D$59:$D$69</c:f>
              <c:numCache>
                <c:formatCode>General</c:formatCode>
                <c:ptCount val="11"/>
                <c:pt idx="0">
                  <c:v>11.9</c:v>
                </c:pt>
                <c:pt idx="1">
                  <c:v>11.44</c:v>
                </c:pt>
                <c:pt idx="2">
                  <c:v>11.45</c:v>
                </c:pt>
                <c:pt idx="3">
                  <c:v>11.41</c:v>
                </c:pt>
                <c:pt idx="4">
                  <c:v>11.52</c:v>
                </c:pt>
                <c:pt idx="5">
                  <c:v>10.77</c:v>
                </c:pt>
                <c:pt idx="6">
                  <c:v>10.210000000000001</c:v>
                </c:pt>
                <c:pt idx="7">
                  <c:v>9.9</c:v>
                </c:pt>
                <c:pt idx="8">
                  <c:v>9.02</c:v>
                </c:pt>
                <c:pt idx="9">
                  <c:v>7.34</c:v>
                </c:pt>
                <c:pt idx="10">
                  <c:v>6.7</c:v>
                </c:pt>
              </c:numCache>
            </c:numRef>
          </c:val>
          <c:smooth val="0"/>
          <c:extLst>
            <c:ext xmlns:c16="http://schemas.microsoft.com/office/drawing/2014/chart" uri="{C3380CC4-5D6E-409C-BE32-E72D297353CC}">
              <c16:uniqueId val="{00000002-026F-4E1E-A3C2-52ED38E193B0}"/>
            </c:ext>
          </c:extLst>
        </c:ser>
        <c:ser>
          <c:idx val="3"/>
          <c:order val="3"/>
          <c:tx>
            <c:strRef>
              <c:f>'12-15-2011'!$A$72</c:f>
              <c:strCache>
                <c:ptCount val="1"/>
                <c:pt idx="0">
                  <c:v>Site 43 (4)</c:v>
                </c:pt>
              </c:strCache>
            </c:strRef>
          </c:tx>
          <c:val>
            <c:numRef>
              <c:f>'12-15-2011'!$D$73:$D$77</c:f>
              <c:numCache>
                <c:formatCode>General</c:formatCode>
                <c:ptCount val="5"/>
                <c:pt idx="0">
                  <c:v>12</c:v>
                </c:pt>
                <c:pt idx="1">
                  <c:v>11.45</c:v>
                </c:pt>
                <c:pt idx="2">
                  <c:v>11.44</c:v>
                </c:pt>
                <c:pt idx="3">
                  <c:v>11.64</c:v>
                </c:pt>
                <c:pt idx="4">
                  <c:v>11.75</c:v>
                </c:pt>
              </c:numCache>
            </c:numRef>
          </c:val>
          <c:smooth val="0"/>
          <c:extLst>
            <c:ext xmlns:c16="http://schemas.microsoft.com/office/drawing/2014/chart" uri="{C3380CC4-5D6E-409C-BE32-E72D297353CC}">
              <c16:uniqueId val="{00000003-026F-4E1E-A3C2-52ED38E193B0}"/>
            </c:ext>
          </c:extLst>
        </c:ser>
        <c:ser>
          <c:idx val="4"/>
          <c:order val="4"/>
          <c:tx>
            <c:strRef>
              <c:f>'12-15-2011'!$A$83</c:f>
              <c:strCache>
                <c:ptCount val="1"/>
                <c:pt idx="0">
                  <c:v>Site 44 (5)</c:v>
                </c:pt>
              </c:strCache>
            </c:strRef>
          </c:tx>
          <c:val>
            <c:numRef>
              <c:f>'12-15-2011'!$D$84:$D$93</c:f>
              <c:numCache>
                <c:formatCode>0.00</c:formatCode>
                <c:ptCount val="10"/>
                <c:pt idx="0">
                  <c:v>10.95</c:v>
                </c:pt>
                <c:pt idx="1">
                  <c:v>11.13</c:v>
                </c:pt>
                <c:pt idx="2">
                  <c:v>11.23</c:v>
                </c:pt>
                <c:pt idx="3">
                  <c:v>11.14</c:v>
                </c:pt>
                <c:pt idx="4">
                  <c:v>10.66</c:v>
                </c:pt>
                <c:pt idx="5">
                  <c:v>9.64</c:v>
                </c:pt>
                <c:pt idx="6">
                  <c:v>9.6999999999999993</c:v>
                </c:pt>
                <c:pt idx="7">
                  <c:v>9.51</c:v>
                </c:pt>
                <c:pt idx="8">
                  <c:v>8.1999999999999993</c:v>
                </c:pt>
                <c:pt idx="9">
                  <c:v>8.4700000000000006</c:v>
                </c:pt>
              </c:numCache>
            </c:numRef>
          </c:val>
          <c:smooth val="0"/>
          <c:extLst>
            <c:ext xmlns:c16="http://schemas.microsoft.com/office/drawing/2014/chart" uri="{C3380CC4-5D6E-409C-BE32-E72D297353CC}">
              <c16:uniqueId val="{00000004-026F-4E1E-A3C2-52ED38E193B0}"/>
            </c:ext>
          </c:extLst>
        </c:ser>
        <c:dLbls>
          <c:showLegendKey val="0"/>
          <c:showVal val="0"/>
          <c:showCatName val="0"/>
          <c:showSerName val="0"/>
          <c:showPercent val="0"/>
          <c:showBubbleSize val="0"/>
        </c:dLbls>
        <c:marker val="1"/>
        <c:smooth val="0"/>
        <c:axId val="85625088"/>
        <c:axId val="85643264"/>
      </c:lineChart>
      <c:catAx>
        <c:axId val="85625088"/>
        <c:scaling>
          <c:orientation val="minMax"/>
        </c:scaling>
        <c:delete val="0"/>
        <c:axPos val="b"/>
        <c:numFmt formatCode="General" sourceLinked="0"/>
        <c:majorTickMark val="none"/>
        <c:minorTickMark val="none"/>
        <c:tickLblPos val="nextTo"/>
        <c:crossAx val="85643264"/>
        <c:crosses val="autoZero"/>
        <c:auto val="1"/>
        <c:lblAlgn val="ctr"/>
        <c:lblOffset val="100"/>
        <c:noMultiLvlLbl val="0"/>
      </c:catAx>
      <c:valAx>
        <c:axId val="85643264"/>
        <c:scaling>
          <c:orientation val="minMax"/>
        </c:scaling>
        <c:delete val="0"/>
        <c:axPos val="l"/>
        <c:majorGridlines/>
        <c:minorGridlines/>
        <c:title>
          <c:tx>
            <c:rich>
              <a:bodyPr/>
              <a:lstStyle/>
              <a:p>
                <a:pPr>
                  <a:defRPr/>
                </a:pPr>
                <a:r>
                  <a:rPr lang="en-US"/>
                  <a:t>DO mg/l</a:t>
                </a:r>
              </a:p>
            </c:rich>
          </c:tx>
          <c:overlay val="0"/>
        </c:title>
        <c:numFmt formatCode="General" sourceLinked="1"/>
        <c:majorTickMark val="none"/>
        <c:minorTickMark val="none"/>
        <c:tickLblPos val="nextTo"/>
        <c:crossAx val="85625088"/>
        <c:crosses val="autoZero"/>
        <c:crossBetween val="between"/>
      </c:valAx>
    </c:plotArea>
    <c:legend>
      <c:legendPos val="r"/>
      <c:layout>
        <c:manualLayout>
          <c:xMode val="edge"/>
          <c:yMode val="edge"/>
          <c:x val="0.80383606722756107"/>
          <c:y val="0.22371135899679531"/>
          <c:w val="0.1961638466829459"/>
          <c:h val="0.41858595800524995"/>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000000000001066" l="0.70000000000000062" r="0.70000000000000062" t="0.75000000000001066"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Specific Conductance Profiles 12/15/2011</a:t>
            </a:r>
          </a:p>
        </c:rich>
      </c:tx>
      <c:layout>
        <c:manualLayout>
          <c:xMode val="edge"/>
          <c:yMode val="edge"/>
          <c:x val="0.14230270671238793"/>
          <c:y val="2.4084778420038592E-2"/>
        </c:manualLayout>
      </c:layout>
      <c:overlay val="0"/>
    </c:title>
    <c:autoTitleDeleted val="0"/>
    <c:plotArea>
      <c:layout/>
      <c:lineChart>
        <c:grouping val="standard"/>
        <c:varyColors val="0"/>
        <c:ser>
          <c:idx val="1"/>
          <c:order val="0"/>
          <c:tx>
            <c:strRef>
              <c:f>'12-15-2011'!$B$7</c:f>
              <c:strCache>
                <c:ptCount val="1"/>
                <c:pt idx="0">
                  <c:v>Site 40 (CP)</c:v>
                </c:pt>
              </c:strCache>
            </c:strRef>
          </c:tx>
          <c:cat>
            <c:strRef>
              <c:f>'12-15-2011'!$A$8:$A$22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'12-15-2011'!$C$8:$C$22</c:f>
              <c:numCache>
                <c:formatCode>General</c:formatCode>
                <c:ptCount val="15"/>
                <c:pt idx="0">
                  <c:v>0.39500000000000002</c:v>
                </c:pt>
                <c:pt idx="1">
                  <c:v>0.40500000000000003</c:v>
                </c:pt>
                <c:pt idx="2">
                  <c:v>0.40400000000000003</c:v>
                </c:pt>
                <c:pt idx="3">
                  <c:v>0.41199999999999998</c:v>
                </c:pt>
                <c:pt idx="4">
                  <c:v>0.41499999999999998</c:v>
                </c:pt>
                <c:pt idx="5">
                  <c:v>0.41699999999999998</c:v>
                </c:pt>
                <c:pt idx="6">
                  <c:v>0.41899999999999998</c:v>
                </c:pt>
                <c:pt idx="7">
                  <c:v>0.42799999999999999</c:v>
                </c:pt>
                <c:pt idx="8">
                  <c:v>0.435</c:v>
                </c:pt>
                <c:pt idx="9">
                  <c:v>0.44</c:v>
                </c:pt>
                <c:pt idx="10">
                  <c:v>0.46700000000000003</c:v>
                </c:pt>
                <c:pt idx="11">
                  <c:v>0.497</c:v>
                </c:pt>
                <c:pt idx="12">
                  <c:v>0.55700000000000005</c:v>
                </c:pt>
                <c:pt idx="13">
                  <c:v>0.71699999999999997</c:v>
                </c:pt>
                <c:pt idx="14">
                  <c:v>0.83</c:v>
                </c:pt>
              </c:numCache>
            </c:numRef>
          </c:val>
          <c:smooth val="0"/>
          <c:extLst>
            <c:ext xmlns:c16="http://schemas.microsoft.com/office/drawing/2014/chart" uri="{C3380CC4-5D6E-409C-BE32-E72D297353CC}">
              <c16:uniqueId val="{00000000-136E-4B37-83E5-CD8FE69DAB5A}"/>
            </c:ext>
          </c:extLst>
        </c:ser>
        <c:ser>
          <c:idx val="0"/>
          <c:order val="1"/>
          <c:tx>
            <c:strRef>
              <c:f>'12-15-2011'!$A$44</c:f>
              <c:strCache>
                <c:ptCount val="1"/>
                <c:pt idx="0">
                  <c:v>Site 41 (1)</c:v>
                </c:pt>
              </c:strCache>
            </c:strRef>
          </c:tx>
          <c:val>
            <c:numRef>
              <c:f>'12-15-2011'!$C$45:$C$53</c:f>
              <c:numCache>
                <c:formatCode>General</c:formatCode>
                <c:ptCount val="9"/>
                <c:pt idx="0">
                  <c:v>0.38200000000000001</c:v>
                </c:pt>
                <c:pt idx="1">
                  <c:v>0.4</c:v>
                </c:pt>
                <c:pt idx="2">
                  <c:v>0.41</c:v>
                </c:pt>
                <c:pt idx="3">
                  <c:v>0.41699999999999998</c:v>
                </c:pt>
                <c:pt idx="4">
                  <c:v>0.41799999999999998</c:v>
                </c:pt>
                <c:pt idx="5">
                  <c:v>0.42</c:v>
                </c:pt>
                <c:pt idx="6">
                  <c:v>0.42399999999999999</c:v>
                </c:pt>
                <c:pt idx="7">
                  <c:v>0.42599999999999999</c:v>
                </c:pt>
                <c:pt idx="8">
                  <c:v>0.42599999999999999</c:v>
                </c:pt>
              </c:numCache>
            </c:numRef>
          </c:val>
          <c:smooth val="0"/>
          <c:extLst>
            <c:ext xmlns:c16="http://schemas.microsoft.com/office/drawing/2014/chart" uri="{C3380CC4-5D6E-409C-BE32-E72D297353CC}">
              <c16:uniqueId val="{00000001-136E-4B37-83E5-CD8FE69DAB5A}"/>
            </c:ext>
          </c:extLst>
        </c:ser>
        <c:ser>
          <c:idx val="2"/>
          <c:order val="2"/>
          <c:tx>
            <c:strRef>
              <c:f>'12-15-2011'!$A$58</c:f>
              <c:strCache>
                <c:ptCount val="1"/>
                <c:pt idx="0">
                  <c:v>Site 42 (3)</c:v>
                </c:pt>
              </c:strCache>
            </c:strRef>
          </c:tx>
          <c:val>
            <c:numRef>
              <c:f>'12-15-2011'!$C$59:$C$69</c:f>
              <c:numCache>
                <c:formatCode>General</c:formatCode>
                <c:ptCount val="11"/>
                <c:pt idx="0">
                  <c:v>0.38700000000000001</c:v>
                </c:pt>
                <c:pt idx="1">
                  <c:v>0.39900000000000002</c:v>
                </c:pt>
                <c:pt idx="2">
                  <c:v>0.40200000000000002</c:v>
                </c:pt>
                <c:pt idx="3">
                  <c:v>0.41299999999999998</c:v>
                </c:pt>
                <c:pt idx="4">
                  <c:v>0.41599999999999998</c:v>
                </c:pt>
                <c:pt idx="5">
                  <c:v>0.42499999999999999</c:v>
                </c:pt>
                <c:pt idx="6">
                  <c:v>0.42799999999999999</c:v>
                </c:pt>
                <c:pt idx="7">
                  <c:v>0.42899999999999999</c:v>
                </c:pt>
                <c:pt idx="8">
                  <c:v>0.42199999999999999</c:v>
                </c:pt>
                <c:pt idx="9">
                  <c:v>0.437</c:v>
                </c:pt>
                <c:pt idx="10">
                  <c:v>0.44700000000000001</c:v>
                </c:pt>
              </c:numCache>
            </c:numRef>
          </c:val>
          <c:smooth val="0"/>
          <c:extLst>
            <c:ext xmlns:c16="http://schemas.microsoft.com/office/drawing/2014/chart" uri="{C3380CC4-5D6E-409C-BE32-E72D297353CC}">
              <c16:uniqueId val="{00000002-136E-4B37-83E5-CD8FE69DAB5A}"/>
            </c:ext>
          </c:extLst>
        </c:ser>
        <c:ser>
          <c:idx val="3"/>
          <c:order val="3"/>
          <c:tx>
            <c:strRef>
              <c:f>'12-15-2011'!$A$72</c:f>
              <c:strCache>
                <c:ptCount val="1"/>
                <c:pt idx="0">
                  <c:v>Site 43 (4)</c:v>
                </c:pt>
              </c:strCache>
            </c:strRef>
          </c:tx>
          <c:val>
            <c:numRef>
              <c:f>'12-15-2011'!$C$73:$C$77</c:f>
              <c:numCache>
                <c:formatCode>General</c:formatCode>
                <c:ptCount val="5"/>
                <c:pt idx="0">
                  <c:v>0.39100000000000001</c:v>
                </c:pt>
                <c:pt idx="1">
                  <c:v>0.39200000000000002</c:v>
                </c:pt>
                <c:pt idx="2">
                  <c:v>0.39700000000000002</c:v>
                </c:pt>
                <c:pt idx="3">
                  <c:v>0.40500000000000003</c:v>
                </c:pt>
                <c:pt idx="4">
                  <c:v>0.41199999999999998</c:v>
                </c:pt>
              </c:numCache>
            </c:numRef>
          </c:val>
          <c:smooth val="0"/>
          <c:extLst>
            <c:ext xmlns:c16="http://schemas.microsoft.com/office/drawing/2014/chart" uri="{C3380CC4-5D6E-409C-BE32-E72D297353CC}">
              <c16:uniqueId val="{00000003-136E-4B37-83E5-CD8FE69DAB5A}"/>
            </c:ext>
          </c:extLst>
        </c:ser>
        <c:ser>
          <c:idx val="4"/>
          <c:order val="4"/>
          <c:tx>
            <c:strRef>
              <c:f>'12-15-2011'!$A$83</c:f>
              <c:strCache>
                <c:ptCount val="1"/>
                <c:pt idx="0">
                  <c:v>Site 44 (5)</c:v>
                </c:pt>
              </c:strCache>
            </c:strRef>
          </c:tx>
          <c:val>
            <c:numRef>
              <c:f>'12-15-2011'!$C$84:$C$93</c:f>
              <c:numCache>
                <c:formatCode>General</c:formatCode>
                <c:ptCount val="10"/>
                <c:pt idx="0">
                  <c:v>0.38100000000000001</c:v>
                </c:pt>
                <c:pt idx="1">
                  <c:v>0.39</c:v>
                </c:pt>
                <c:pt idx="2">
                  <c:v>0.4</c:v>
                </c:pt>
                <c:pt idx="3">
                  <c:v>0.41599999999999998</c:v>
                </c:pt>
                <c:pt idx="4">
                  <c:v>0.42</c:v>
                </c:pt>
                <c:pt idx="5">
                  <c:v>0.42499999999999999</c:v>
                </c:pt>
                <c:pt idx="6">
                  <c:v>0.42499999999999999</c:v>
                </c:pt>
                <c:pt idx="7">
                  <c:v>0.42599999999999999</c:v>
                </c:pt>
                <c:pt idx="8">
                  <c:v>0.435</c:v>
                </c:pt>
                <c:pt idx="9">
                  <c:v>0.44400000000000001</c:v>
                </c:pt>
              </c:numCache>
            </c:numRef>
          </c:val>
          <c:smooth val="0"/>
          <c:extLst>
            <c:ext xmlns:c16="http://schemas.microsoft.com/office/drawing/2014/chart" uri="{C3380CC4-5D6E-409C-BE32-E72D297353CC}">
              <c16:uniqueId val="{00000004-136E-4B37-83E5-CD8FE69DAB5A}"/>
            </c:ext>
          </c:extLst>
        </c:ser>
        <c:dLbls>
          <c:showLegendKey val="0"/>
          <c:showVal val="0"/>
          <c:showCatName val="0"/>
          <c:showSerName val="0"/>
          <c:showPercent val="0"/>
          <c:showBubbleSize val="0"/>
        </c:dLbls>
        <c:marker val="1"/>
        <c:smooth val="0"/>
        <c:axId val="136723456"/>
        <c:axId val="136733440"/>
      </c:lineChart>
      <c:catAx>
        <c:axId val="136723456"/>
        <c:scaling>
          <c:orientation val="minMax"/>
        </c:scaling>
        <c:delete val="0"/>
        <c:axPos val="b"/>
        <c:numFmt formatCode="General" sourceLinked="0"/>
        <c:majorTickMark val="none"/>
        <c:minorTickMark val="none"/>
        <c:tickLblPos val="nextTo"/>
        <c:crossAx val="136733440"/>
        <c:crosses val="autoZero"/>
        <c:auto val="1"/>
        <c:lblAlgn val="ctr"/>
        <c:lblOffset val="100"/>
        <c:noMultiLvlLbl val="0"/>
      </c:catAx>
      <c:valAx>
        <c:axId val="136733440"/>
        <c:scaling>
          <c:orientation val="minMax"/>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36723456"/>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66" l="0.70000000000000062" r="0.70000000000000062" t="0.75000000000001066"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12/15/2011</a:t>
            </a:r>
          </a:p>
        </c:rich>
      </c:tx>
      <c:overlay val="0"/>
    </c:title>
    <c:autoTitleDeleted val="0"/>
    <c:plotArea>
      <c:layout/>
      <c:lineChart>
        <c:grouping val="standard"/>
        <c:varyColors val="0"/>
        <c:ser>
          <c:idx val="0"/>
          <c:order val="0"/>
          <c:tx>
            <c:strRef>
              <c:f>'12-15-2011'!$B$7</c:f>
              <c:strCache>
                <c:ptCount val="1"/>
                <c:pt idx="0">
                  <c:v>Site 40 (CP)</c:v>
                </c:pt>
              </c:strCache>
            </c:strRef>
          </c:tx>
          <c:cat>
            <c:strRef>
              <c:f>'12-15-2011'!$A$8:$A$22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'12-15-2011'!$F$8:$F$22</c:f>
              <c:numCache>
                <c:formatCode>General</c:formatCode>
                <c:ptCount val="15"/>
                <c:pt idx="0">
                  <c:v>8.35</c:v>
                </c:pt>
                <c:pt idx="1">
                  <c:v>8.3800000000000008</c:v>
                </c:pt>
                <c:pt idx="2">
                  <c:v>8.2899999999999991</c:v>
                </c:pt>
                <c:pt idx="3">
                  <c:v>8.34</c:v>
                </c:pt>
                <c:pt idx="4">
                  <c:v>8.48</c:v>
                </c:pt>
                <c:pt idx="5">
                  <c:v>8.58</c:v>
                </c:pt>
                <c:pt idx="6">
                  <c:v>8.5299999999999994</c:v>
                </c:pt>
                <c:pt idx="7">
                  <c:v>8.4</c:v>
                </c:pt>
                <c:pt idx="8">
                  <c:v>8.23</c:v>
                </c:pt>
                <c:pt idx="9">
                  <c:v>8.0399999999999991</c:v>
                </c:pt>
                <c:pt idx="10">
                  <c:v>7.92</c:v>
                </c:pt>
                <c:pt idx="11">
                  <c:v>7.83</c:v>
                </c:pt>
                <c:pt idx="12">
                  <c:v>7.7</c:v>
                </c:pt>
                <c:pt idx="13">
                  <c:v>7.54</c:v>
                </c:pt>
                <c:pt idx="14">
                  <c:v>7.44</c:v>
                </c:pt>
              </c:numCache>
            </c:numRef>
          </c:val>
          <c:smooth val="0"/>
          <c:extLst>
            <c:ext xmlns:c16="http://schemas.microsoft.com/office/drawing/2014/chart" uri="{C3380CC4-5D6E-409C-BE32-E72D297353CC}">
              <c16:uniqueId val="{00000000-08F6-4037-90BD-E6A5E3B74B0A}"/>
            </c:ext>
          </c:extLst>
        </c:ser>
        <c:ser>
          <c:idx val="1"/>
          <c:order val="1"/>
          <c:tx>
            <c:strRef>
              <c:f>'12-15-2011'!$A$44</c:f>
              <c:strCache>
                <c:ptCount val="1"/>
                <c:pt idx="0">
                  <c:v>Site 41 (1)</c:v>
                </c:pt>
              </c:strCache>
            </c:strRef>
          </c:tx>
          <c:val>
            <c:numRef>
              <c:f>'12-15-2011'!$F$45:$F$53</c:f>
              <c:numCache>
                <c:formatCode>General</c:formatCode>
                <c:ptCount val="9"/>
                <c:pt idx="0">
                  <c:v>8.1999999999999993</c:v>
                </c:pt>
                <c:pt idx="1">
                  <c:v>8.1999999999999993</c:v>
                </c:pt>
                <c:pt idx="2">
                  <c:v>8.27</c:v>
                </c:pt>
                <c:pt idx="3">
                  <c:v>8.43</c:v>
                </c:pt>
                <c:pt idx="4">
                  <c:v>8.4600000000000009</c:v>
                </c:pt>
                <c:pt idx="5">
                  <c:v>8.5</c:v>
                </c:pt>
                <c:pt idx="6">
                  <c:v>8.4499999999999993</c:v>
                </c:pt>
                <c:pt idx="7">
                  <c:v>8.4600000000000009</c:v>
                </c:pt>
                <c:pt idx="8">
                  <c:v>8.0500000000000007</c:v>
                </c:pt>
              </c:numCache>
            </c:numRef>
          </c:val>
          <c:smooth val="0"/>
          <c:extLst>
            <c:ext xmlns:c16="http://schemas.microsoft.com/office/drawing/2014/chart" uri="{C3380CC4-5D6E-409C-BE32-E72D297353CC}">
              <c16:uniqueId val="{00000001-08F6-4037-90BD-E6A5E3B74B0A}"/>
            </c:ext>
          </c:extLst>
        </c:ser>
        <c:ser>
          <c:idx val="2"/>
          <c:order val="2"/>
          <c:tx>
            <c:strRef>
              <c:f>'12-15-2011'!$A$58</c:f>
              <c:strCache>
                <c:ptCount val="1"/>
                <c:pt idx="0">
                  <c:v>Site 42 (3)</c:v>
                </c:pt>
              </c:strCache>
            </c:strRef>
          </c:tx>
          <c:val>
            <c:numRef>
              <c:f>'12-15-2011'!$F$59:$F$69</c:f>
              <c:numCache>
                <c:formatCode>General</c:formatCode>
                <c:ptCount val="11"/>
                <c:pt idx="0">
                  <c:v>8.07</c:v>
                </c:pt>
                <c:pt idx="1">
                  <c:v>8.1199999999999992</c:v>
                </c:pt>
                <c:pt idx="2">
                  <c:v>8.15</c:v>
                </c:pt>
                <c:pt idx="3">
                  <c:v>8.2100000000000009</c:v>
                </c:pt>
                <c:pt idx="4">
                  <c:v>8.31</c:v>
                </c:pt>
                <c:pt idx="5">
                  <c:v>8.33</c:v>
                </c:pt>
                <c:pt idx="6">
                  <c:v>8.23</c:v>
                </c:pt>
                <c:pt idx="7">
                  <c:v>8.11</c:v>
                </c:pt>
                <c:pt idx="8">
                  <c:v>8.0399999999999991</c:v>
                </c:pt>
                <c:pt idx="9">
                  <c:v>7.93</c:v>
                </c:pt>
                <c:pt idx="10">
                  <c:v>7.67</c:v>
                </c:pt>
              </c:numCache>
            </c:numRef>
          </c:val>
          <c:smooth val="0"/>
          <c:extLst>
            <c:ext xmlns:c16="http://schemas.microsoft.com/office/drawing/2014/chart" uri="{C3380CC4-5D6E-409C-BE32-E72D297353CC}">
              <c16:uniqueId val="{00000002-08F6-4037-90BD-E6A5E3B74B0A}"/>
            </c:ext>
          </c:extLst>
        </c:ser>
        <c:ser>
          <c:idx val="3"/>
          <c:order val="3"/>
          <c:tx>
            <c:strRef>
              <c:f>'12-15-2011'!$A$58</c:f>
              <c:strCache>
                <c:ptCount val="1"/>
                <c:pt idx="0">
                  <c:v>Site 42 (3)</c:v>
                </c:pt>
              </c:strCache>
            </c:strRef>
          </c:tx>
          <c:val>
            <c:numRef>
              <c:f>'12-15-2011'!$F$59:$F$69</c:f>
              <c:numCache>
                <c:formatCode>General</c:formatCode>
                <c:ptCount val="11"/>
                <c:pt idx="0">
                  <c:v>8.07</c:v>
                </c:pt>
                <c:pt idx="1">
                  <c:v>8.1199999999999992</c:v>
                </c:pt>
                <c:pt idx="2">
                  <c:v>8.15</c:v>
                </c:pt>
                <c:pt idx="3">
                  <c:v>8.2100000000000009</c:v>
                </c:pt>
                <c:pt idx="4">
                  <c:v>8.31</c:v>
                </c:pt>
                <c:pt idx="5">
                  <c:v>8.33</c:v>
                </c:pt>
                <c:pt idx="6">
                  <c:v>8.23</c:v>
                </c:pt>
                <c:pt idx="7">
                  <c:v>8.11</c:v>
                </c:pt>
                <c:pt idx="8">
                  <c:v>8.0399999999999991</c:v>
                </c:pt>
                <c:pt idx="9">
                  <c:v>7.93</c:v>
                </c:pt>
                <c:pt idx="10">
                  <c:v>7.67</c:v>
                </c:pt>
              </c:numCache>
            </c:numRef>
          </c:val>
          <c:smooth val="0"/>
          <c:extLst>
            <c:ext xmlns:c16="http://schemas.microsoft.com/office/drawing/2014/chart" uri="{C3380CC4-5D6E-409C-BE32-E72D297353CC}">
              <c16:uniqueId val="{00000003-08F6-4037-90BD-E6A5E3B74B0A}"/>
            </c:ext>
          </c:extLst>
        </c:ser>
        <c:ser>
          <c:idx val="4"/>
          <c:order val="4"/>
          <c:tx>
            <c:strRef>
              <c:f>'12-15-2011'!$A$83</c:f>
              <c:strCache>
                <c:ptCount val="1"/>
                <c:pt idx="0">
                  <c:v>Site 44 (5)</c:v>
                </c:pt>
              </c:strCache>
            </c:strRef>
          </c:tx>
          <c:val>
            <c:numRef>
              <c:f>'12-15-2011'!$F$84:$F$93</c:f>
              <c:numCache>
                <c:formatCode>0.00</c:formatCode>
                <c:ptCount val="10"/>
                <c:pt idx="0">
                  <c:v>8.2200000000000006</c:v>
                </c:pt>
                <c:pt idx="1">
                  <c:v>8.18</c:v>
                </c:pt>
                <c:pt idx="2">
                  <c:v>8.17</c:v>
                </c:pt>
                <c:pt idx="3">
                  <c:v>8.2200000000000006</c:v>
                </c:pt>
                <c:pt idx="4">
                  <c:v>8.2200000000000006</c:v>
                </c:pt>
                <c:pt idx="5">
                  <c:v>8.15</c:v>
                </c:pt>
                <c:pt idx="6">
                  <c:v>8.1</c:v>
                </c:pt>
                <c:pt idx="7">
                  <c:v>8.0500000000000007</c:v>
                </c:pt>
                <c:pt idx="8">
                  <c:v>7.97</c:v>
                </c:pt>
                <c:pt idx="9">
                  <c:v>7.88</c:v>
                </c:pt>
              </c:numCache>
            </c:numRef>
          </c:val>
          <c:smooth val="0"/>
          <c:extLst>
            <c:ext xmlns:c16="http://schemas.microsoft.com/office/drawing/2014/chart" uri="{C3380CC4-5D6E-409C-BE32-E72D297353CC}">
              <c16:uniqueId val="{00000004-08F6-4037-90BD-E6A5E3B74B0A}"/>
            </c:ext>
          </c:extLst>
        </c:ser>
        <c:dLbls>
          <c:showLegendKey val="0"/>
          <c:showVal val="0"/>
          <c:showCatName val="0"/>
          <c:showSerName val="0"/>
          <c:showPercent val="0"/>
          <c:showBubbleSize val="0"/>
        </c:dLbls>
        <c:marker val="1"/>
        <c:smooth val="0"/>
        <c:axId val="85925888"/>
        <c:axId val="85927424"/>
      </c:lineChart>
      <c:catAx>
        <c:axId val="85925888"/>
        <c:scaling>
          <c:orientation val="minMax"/>
        </c:scaling>
        <c:delete val="0"/>
        <c:axPos val="b"/>
        <c:numFmt formatCode="General" sourceLinked="0"/>
        <c:majorTickMark val="none"/>
        <c:minorTickMark val="none"/>
        <c:tickLblPos val="nextTo"/>
        <c:crossAx val="85927424"/>
        <c:crosses val="autoZero"/>
        <c:auto val="1"/>
        <c:lblAlgn val="ctr"/>
        <c:lblOffset val="100"/>
        <c:noMultiLvlLbl val="0"/>
      </c:catAx>
      <c:valAx>
        <c:axId val="85927424"/>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85925888"/>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066" l="0.70000000000000062" r="0.70000000000000062" t="0.75000000000001066"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2010-2011 Total Phosphorus in Sediments</a:t>
            </a:r>
          </a:p>
        </c:rich>
      </c:tx>
      <c:layout>
        <c:manualLayout>
          <c:xMode val="edge"/>
          <c:yMode val="edge"/>
          <c:x val="0.18117875509463757"/>
          <c:y val="1.3888888888889244E-2"/>
        </c:manualLayout>
      </c:layout>
      <c:overlay val="0"/>
    </c:title>
    <c:autoTitleDeleted val="0"/>
    <c:plotArea>
      <c:layout>
        <c:manualLayout>
          <c:layoutTarget val="inner"/>
          <c:xMode val="edge"/>
          <c:yMode val="edge"/>
          <c:x val="0.11966885389326334"/>
          <c:y val="0.10221092155147279"/>
          <c:w val="0.8446125941574375"/>
          <c:h val="0.70028147954802566"/>
        </c:manualLayout>
      </c:layout>
      <c:barChart>
        <c:barDir val="col"/>
        <c:grouping val="clustered"/>
        <c:varyColors val="0"/>
        <c:ser>
          <c:idx val="0"/>
          <c:order val="0"/>
          <c:tx>
            <c:strRef>
              <c:f>Sediment!$P$2</c:f>
              <c:strCache>
                <c:ptCount val="1"/>
                <c:pt idx="0">
                  <c:v>2011</c:v>
                </c:pt>
              </c:strCache>
            </c:strRef>
          </c:tx>
          <c:invertIfNegative val="0"/>
          <c:cat>
            <c:multiLvlStrRef>
              <c:f>Sediment!$I$5:$J$21</c:f>
              <c:multiLvlStrCache>
                <c:ptCount val="17"/>
                <c:lvl>
                  <c:pt idx="0">
                    <c:v>SedBC01</c:v>
                  </c:pt>
                  <c:pt idx="1">
                    <c:v>SedBC02</c:v>
                  </c:pt>
                  <c:pt idx="2">
                    <c:v>SedBC03</c:v>
                  </c:pt>
                  <c:pt idx="3">
                    <c:v>SedBC04</c:v>
                  </c:pt>
                  <c:pt idx="4">
                    <c:v>SedBC05</c:v>
                  </c:pt>
                  <c:pt idx="5">
                    <c:v>SedBC06</c:v>
                  </c:pt>
                  <c:pt idx="6">
                    <c:v>SedPel07</c:v>
                  </c:pt>
                  <c:pt idx="7">
                    <c:v>SedPel08</c:v>
                  </c:pt>
                  <c:pt idx="8">
                    <c:v>SedPel09</c:v>
                  </c:pt>
                  <c:pt idx="9">
                    <c:v>SedPel10</c:v>
                  </c:pt>
                  <c:pt idx="10">
                    <c:v>SedPel11</c:v>
                  </c:pt>
                  <c:pt idx="11">
                    <c:v>SedTC12</c:v>
                  </c:pt>
                  <c:pt idx="12">
                    <c:v>SedTC13</c:v>
                  </c:pt>
                  <c:pt idx="13">
                    <c:v>SedTC14</c:v>
                  </c:pt>
                  <c:pt idx="14">
                    <c:v>SedTC15</c:v>
                  </c:pt>
                  <c:pt idx="15">
                    <c:v>SedTC16</c:v>
                  </c:pt>
                  <c:pt idx="16">
                    <c:v>SedTC17</c:v>
                  </c:pt>
                </c:lvl>
                <c:lvl>
                  <c:pt idx="0">
                    <c:v>Bear Creek Transect</c:v>
                  </c:pt>
                  <c:pt idx="6">
                    <c:v>Pelican Point Transect</c:v>
                  </c:pt>
                  <c:pt idx="11">
                    <c:v>Turkey Creek Transect</c:v>
                  </c:pt>
                </c:lvl>
              </c:multiLvlStrCache>
            </c:multiLvlStrRef>
          </c:cat>
          <c:val>
            <c:numRef>
              <c:f>Sediment!$P$5:$P$21</c:f>
              <c:numCache>
                <c:formatCode>0.00</c:formatCode>
                <c:ptCount val="17"/>
                <c:pt idx="0">
                  <c:v>2.4166805029663672</c:v>
                </c:pt>
                <c:pt idx="1">
                  <c:v>4.3739860395091013</c:v>
                </c:pt>
                <c:pt idx="2">
                  <c:v>6.1080592218524057</c:v>
                </c:pt>
                <c:pt idx="3">
                  <c:v>2.7492439653545286</c:v>
                </c:pt>
                <c:pt idx="4">
                  <c:v>5.2067836979534228</c:v>
                </c:pt>
                <c:pt idx="5">
                  <c:v>1.0770068764942204</c:v>
                </c:pt>
                <c:pt idx="6">
                  <c:v>4.1364767922466621</c:v>
                </c:pt>
                <c:pt idx="7">
                  <c:v>3.3936332651670083</c:v>
                </c:pt>
                <c:pt idx="8">
                  <c:v>11.49762708547385</c:v>
                </c:pt>
                <c:pt idx="9">
                  <c:v>2.2027169018312818</c:v>
                </c:pt>
                <c:pt idx="10">
                  <c:v>6.8606966890027588</c:v>
                </c:pt>
                <c:pt idx="11">
                  <c:v>0.51812424813310021</c:v>
                </c:pt>
                <c:pt idx="12">
                  <c:v>3.224198541895535</c:v>
                </c:pt>
                <c:pt idx="13">
                  <c:v>8.1071638861629065</c:v>
                </c:pt>
                <c:pt idx="14">
                  <c:v>8.1487420849608192</c:v>
                </c:pt>
                <c:pt idx="15">
                  <c:v>1.9119371482176362</c:v>
                </c:pt>
                <c:pt idx="16">
                  <c:v>3.1827308037048101</c:v>
                </c:pt>
              </c:numCache>
            </c:numRef>
          </c:val>
          <c:extLst>
            <c:ext xmlns:c16="http://schemas.microsoft.com/office/drawing/2014/chart" uri="{C3380CC4-5D6E-409C-BE32-E72D297353CC}">
              <c16:uniqueId val="{00000000-EB47-4773-A757-526684074EB9}"/>
            </c:ext>
          </c:extLst>
        </c:ser>
        <c:ser>
          <c:idx val="1"/>
          <c:order val="1"/>
          <c:tx>
            <c:strRef>
              <c:f>Sediment!$Q$2</c:f>
              <c:strCache>
                <c:ptCount val="1"/>
                <c:pt idx="0">
                  <c:v>2010</c:v>
                </c:pt>
              </c:strCache>
            </c:strRef>
          </c:tx>
          <c:invertIfNegative val="0"/>
          <c:val>
            <c:numRef>
              <c:f>Sediment!$Q$5:$Q$21</c:f>
              <c:numCache>
                <c:formatCode>0.00</c:formatCode>
                <c:ptCount val="17"/>
                <c:pt idx="0">
                  <c:v>2.6370406543767548</c:v>
                </c:pt>
                <c:pt idx="1">
                  <c:v>6.4286420729898124</c:v>
                </c:pt>
                <c:pt idx="2">
                  <c:v>4.1211823868514657</c:v>
                </c:pt>
                <c:pt idx="3">
                  <c:v>5.3199349785724852</c:v>
                </c:pt>
                <c:pt idx="4">
                  <c:v>3.5015041672831289</c:v>
                </c:pt>
                <c:pt idx="5">
                  <c:v>4.0864126778461616</c:v>
                </c:pt>
                <c:pt idx="6">
                  <c:v>5.3938754995464242</c:v>
                </c:pt>
                <c:pt idx="7">
                  <c:v>7.4663283232480975</c:v>
                </c:pt>
                <c:pt idx="8">
                  <c:v>6.2458504438488198</c:v>
                </c:pt>
                <c:pt idx="9">
                  <c:v>3.1283605435526449</c:v>
                </c:pt>
                <c:pt idx="10">
                  <c:v>7.7125842038465304</c:v>
                </c:pt>
                <c:pt idx="11">
                  <c:v>2.6890920647337797</c:v>
                </c:pt>
                <c:pt idx="12">
                  <c:v>1.7363694994294789</c:v>
                </c:pt>
                <c:pt idx="13">
                  <c:v>7.3158675234799802</c:v>
                </c:pt>
                <c:pt idx="14">
                  <c:v>6.9890765132816881</c:v>
                </c:pt>
                <c:pt idx="15">
                  <c:v>5.761255556383321</c:v>
                </c:pt>
                <c:pt idx="16">
                  <c:v>8.1622495956202545</c:v>
                </c:pt>
              </c:numCache>
            </c:numRef>
          </c:val>
          <c:extLst>
            <c:ext xmlns:c16="http://schemas.microsoft.com/office/drawing/2014/chart" uri="{C3380CC4-5D6E-409C-BE32-E72D297353CC}">
              <c16:uniqueId val="{00000001-EB47-4773-A757-526684074EB9}"/>
            </c:ext>
          </c:extLst>
        </c:ser>
        <c:dLbls>
          <c:showLegendKey val="0"/>
          <c:showVal val="0"/>
          <c:showCatName val="0"/>
          <c:showSerName val="0"/>
          <c:showPercent val="0"/>
          <c:showBubbleSize val="0"/>
        </c:dLbls>
        <c:gapWidth val="150"/>
        <c:axId val="138238592"/>
        <c:axId val="138240384"/>
      </c:barChart>
      <c:catAx>
        <c:axId val="138238592"/>
        <c:scaling>
          <c:orientation val="minMax"/>
        </c:scaling>
        <c:delete val="0"/>
        <c:axPos val="b"/>
        <c:numFmt formatCode="General" sourceLinked="0"/>
        <c:majorTickMark val="out"/>
        <c:minorTickMark val="none"/>
        <c:tickLblPos val="nextTo"/>
        <c:crossAx val="138240384"/>
        <c:crosses val="autoZero"/>
        <c:auto val="1"/>
        <c:lblAlgn val="ctr"/>
        <c:lblOffset val="100"/>
        <c:noMultiLvlLbl val="0"/>
      </c:catAx>
      <c:valAx>
        <c:axId val="138240384"/>
        <c:scaling>
          <c:orientation val="minMax"/>
        </c:scaling>
        <c:delete val="0"/>
        <c:axPos val="l"/>
        <c:majorGridlines/>
        <c:minorGridlines/>
        <c:title>
          <c:tx>
            <c:rich>
              <a:bodyPr rot="-5400000" vert="horz"/>
              <a:lstStyle/>
              <a:p>
                <a:pPr>
                  <a:defRPr/>
                </a:pPr>
                <a:r>
                  <a:rPr lang="en-US"/>
                  <a:t>mgTP/kg Mud</a:t>
                </a:r>
              </a:p>
            </c:rich>
          </c:tx>
          <c:overlay val="0"/>
        </c:title>
        <c:numFmt formatCode="0.00" sourceLinked="1"/>
        <c:majorTickMark val="out"/>
        <c:minorTickMark val="none"/>
        <c:tickLblPos val="nextTo"/>
        <c:crossAx val="138238592"/>
        <c:crosses val="autoZero"/>
        <c:crossBetween val="between"/>
      </c:valAx>
    </c:plotArea>
    <c:legend>
      <c:legendPos val="t"/>
      <c:layout>
        <c:manualLayout>
          <c:xMode val="edge"/>
          <c:yMode val="edge"/>
          <c:x val="0.18886883113826208"/>
          <c:y val="0.12267255727472372"/>
          <c:w val="0.14019941033155608"/>
          <c:h val="7.4004147271646323E-2"/>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177" l="0.70000000000000062" r="0.70000000000000062" t="0.750000000000011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n-US"/>
              <a:t>Bear Creek Reservoir - Total Phosphorus Average Trends</a:t>
            </a:r>
          </a:p>
        </c:rich>
      </c:tx>
      <c:layout>
        <c:manualLayout>
          <c:xMode val="edge"/>
          <c:yMode val="edge"/>
          <c:x val="0.13982300884955737"/>
          <c:y val="4.6461465044142412E-2"/>
        </c:manualLayout>
      </c:layout>
      <c:overlay val="0"/>
      <c:spPr>
        <a:noFill/>
        <a:ln w="25400">
          <a:noFill/>
        </a:ln>
      </c:spPr>
    </c:title>
    <c:autoTitleDeleted val="0"/>
    <c:plotArea>
      <c:layout>
        <c:manualLayout>
          <c:layoutTarget val="inner"/>
          <c:xMode val="edge"/>
          <c:yMode val="edge"/>
          <c:x val="0.12212399934665755"/>
          <c:y val="0.14130434782608794"/>
          <c:w val="0.86017773452862822"/>
          <c:h val="0.69836956521739058"/>
        </c:manualLayout>
      </c:layout>
      <c:lineChart>
        <c:grouping val="standard"/>
        <c:varyColors val="0"/>
        <c:ser>
          <c:idx val="0"/>
          <c:order val="0"/>
          <c:tx>
            <c:strRef>
              <c:f>'Phosphorus Trends'!$E$70</c:f>
              <c:strCache>
                <c:ptCount val="1"/>
                <c:pt idx="0">
                  <c:v>Average Inflow</c:v>
                </c:pt>
              </c:strCache>
            </c:strRef>
          </c:tx>
          <c:spPr>
            <a:ln w="38100">
              <a:solidFill>
                <a:srgbClr val="000080"/>
              </a:solidFill>
              <a:prstDash val="solid"/>
            </a:ln>
          </c:spPr>
          <c:marker>
            <c:symbol val="diamond"/>
            <c:size val="9"/>
            <c:spPr>
              <a:solidFill>
                <a:srgbClr val="000080"/>
              </a:solidFill>
              <a:ln>
                <a:solidFill>
                  <a:srgbClr val="000080"/>
                </a:solidFill>
                <a:prstDash val="solid"/>
              </a:ln>
            </c:spPr>
          </c:marker>
          <c:cat>
            <c:numRef>
              <c:f>'Phosphorus Trends'!$F$70:$F$89</c:f>
              <c:numCache>
                <c:formatCode>General</c:formatCode>
                <c:ptCount val="2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numCache>
            </c:numRef>
          </c:cat>
          <c:val>
            <c:numRef>
              <c:f>'Phosphorus Trends'!$G$70:$G$89</c:f>
              <c:numCache>
                <c:formatCode>0</c:formatCode>
                <c:ptCount val="20"/>
                <c:pt idx="0">
                  <c:v>435.5</c:v>
                </c:pt>
                <c:pt idx="1">
                  <c:v>325</c:v>
                </c:pt>
                <c:pt idx="2">
                  <c:v>319.5</c:v>
                </c:pt>
                <c:pt idx="3">
                  <c:v>242.5</c:v>
                </c:pt>
                <c:pt idx="4">
                  <c:v>106.5</c:v>
                </c:pt>
                <c:pt idx="5">
                  <c:v>60</c:v>
                </c:pt>
                <c:pt idx="6">
                  <c:v>37.28125</c:v>
                </c:pt>
                <c:pt idx="7">
                  <c:v>71.546519746997504</c:v>
                </c:pt>
                <c:pt idx="8">
                  <c:v>36.9</c:v>
                </c:pt>
                <c:pt idx="9">
                  <c:v>42.5</c:v>
                </c:pt>
                <c:pt idx="10">
                  <c:v>28</c:v>
                </c:pt>
                <c:pt idx="11">
                  <c:v>22</c:v>
                </c:pt>
                <c:pt idx="12">
                  <c:v>76.100000000000009</c:v>
                </c:pt>
                <c:pt idx="13">
                  <c:v>67.95</c:v>
                </c:pt>
                <c:pt idx="14">
                  <c:v>27.9</c:v>
                </c:pt>
                <c:pt idx="15">
                  <c:v>33.5</c:v>
                </c:pt>
                <c:pt idx="16">
                  <c:v>14.45</c:v>
                </c:pt>
                <c:pt idx="17">
                  <c:v>32</c:v>
                </c:pt>
                <c:pt idx="18">
                  <c:v>26.25</c:v>
                </c:pt>
                <c:pt idx="19">
                  <c:v>27.3</c:v>
                </c:pt>
              </c:numCache>
            </c:numRef>
          </c:val>
          <c:smooth val="0"/>
          <c:extLst>
            <c:ext xmlns:c16="http://schemas.microsoft.com/office/drawing/2014/chart" uri="{C3380CC4-5D6E-409C-BE32-E72D297353CC}">
              <c16:uniqueId val="{00000000-B0BC-49D6-BC9A-11ECCC6D4D56}"/>
            </c:ext>
          </c:extLst>
        </c:ser>
        <c:ser>
          <c:idx val="1"/>
          <c:order val="1"/>
          <c:tx>
            <c:strRef>
              <c:f>'Phosphorus Trends'!$E$93</c:f>
              <c:strCache>
                <c:ptCount val="1"/>
                <c:pt idx="0">
                  <c:v>Retained In Reservoir</c:v>
                </c:pt>
              </c:strCache>
            </c:strRef>
          </c:tx>
          <c:spPr>
            <a:ln w="25400">
              <a:solidFill>
                <a:srgbClr val="FF00FF"/>
              </a:solidFill>
              <a:prstDash val="solid"/>
            </a:ln>
          </c:spPr>
          <c:marker>
            <c:symbol val="square"/>
            <c:size val="6"/>
            <c:spPr>
              <a:solidFill>
                <a:srgbClr val="FF00FF"/>
              </a:solidFill>
              <a:ln>
                <a:solidFill>
                  <a:srgbClr val="FF00FF"/>
                </a:solidFill>
                <a:prstDash val="solid"/>
              </a:ln>
            </c:spPr>
          </c:marker>
          <c:cat>
            <c:numRef>
              <c:f>'Phosphorus Trends'!$F$70:$F$89</c:f>
              <c:numCache>
                <c:formatCode>General</c:formatCode>
                <c:ptCount val="2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numCache>
            </c:numRef>
          </c:cat>
          <c:val>
            <c:numRef>
              <c:f>'Phosphorus Trends'!$G$93:$G$112</c:f>
              <c:numCache>
                <c:formatCode>0</c:formatCode>
                <c:ptCount val="20"/>
                <c:pt idx="0" formatCode="General">
                  <c:v>307.5</c:v>
                </c:pt>
                <c:pt idx="1">
                  <c:v>144</c:v>
                </c:pt>
                <c:pt idx="2">
                  <c:v>162.5</c:v>
                </c:pt>
                <c:pt idx="3">
                  <c:v>65.5</c:v>
                </c:pt>
                <c:pt idx="4">
                  <c:v>14.5</c:v>
                </c:pt>
                <c:pt idx="5">
                  <c:v>24</c:v>
                </c:pt>
                <c:pt idx="6">
                  <c:v>2.34375</c:v>
                </c:pt>
                <c:pt idx="7">
                  <c:v>32.546519746997504</c:v>
                </c:pt>
                <c:pt idx="8">
                  <c:v>2.3999999999999986</c:v>
                </c:pt>
                <c:pt idx="9">
                  <c:v>7.5</c:v>
                </c:pt>
                <c:pt idx="10">
                  <c:v>-30</c:v>
                </c:pt>
                <c:pt idx="11">
                  <c:v>-24</c:v>
                </c:pt>
                <c:pt idx="12">
                  <c:v>29.20000000000001</c:v>
                </c:pt>
                <c:pt idx="13">
                  <c:v>4.6500000000000057</c:v>
                </c:pt>
                <c:pt idx="14">
                  <c:v>-2.2000000000000028</c:v>
                </c:pt>
                <c:pt idx="15">
                  <c:v>1.5</c:v>
                </c:pt>
                <c:pt idx="16">
                  <c:v>-8.3500000000000014</c:v>
                </c:pt>
                <c:pt idx="17">
                  <c:v>1</c:v>
                </c:pt>
                <c:pt idx="18">
                  <c:v>-2.75</c:v>
                </c:pt>
                <c:pt idx="19">
                  <c:v>3.1000000000000014</c:v>
                </c:pt>
              </c:numCache>
            </c:numRef>
          </c:val>
          <c:smooth val="0"/>
          <c:extLst>
            <c:ext xmlns:c16="http://schemas.microsoft.com/office/drawing/2014/chart" uri="{C3380CC4-5D6E-409C-BE32-E72D297353CC}">
              <c16:uniqueId val="{00000001-B0BC-49D6-BC9A-11ECCC6D4D56}"/>
            </c:ext>
          </c:extLst>
        </c:ser>
        <c:ser>
          <c:idx val="2"/>
          <c:order val="2"/>
          <c:tx>
            <c:strRef>
              <c:f>'Phosphorus Trends'!$A$70</c:f>
              <c:strCache>
                <c:ptCount val="1"/>
                <c:pt idx="0">
                  <c:v>Bear Creek Outflow</c:v>
                </c:pt>
              </c:strCache>
            </c:strRef>
          </c:tx>
          <c:spPr>
            <a:ln w="38100">
              <a:solidFill>
                <a:srgbClr val="FF0000"/>
              </a:solidFill>
              <a:prstDash val="solid"/>
            </a:ln>
          </c:spPr>
          <c:marker>
            <c:symbol val="triangle"/>
            <c:size val="9"/>
            <c:spPr>
              <a:solidFill>
                <a:srgbClr val="FFFF00"/>
              </a:solidFill>
              <a:ln>
                <a:solidFill>
                  <a:srgbClr val="FF0000"/>
                </a:solidFill>
                <a:prstDash val="solid"/>
              </a:ln>
            </c:spPr>
          </c:marker>
          <c:cat>
            <c:numRef>
              <c:f>'Phosphorus Trends'!$F$70:$F$89</c:f>
              <c:numCache>
                <c:formatCode>General</c:formatCode>
                <c:ptCount val="2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numCache>
            </c:numRef>
          </c:cat>
          <c:val>
            <c:numRef>
              <c:f>'Phosphorus Trends'!$C$70:$C$89</c:f>
              <c:numCache>
                <c:formatCode>0</c:formatCode>
                <c:ptCount val="20"/>
                <c:pt idx="0">
                  <c:v>128</c:v>
                </c:pt>
                <c:pt idx="1">
                  <c:v>181</c:v>
                </c:pt>
                <c:pt idx="2">
                  <c:v>157</c:v>
                </c:pt>
                <c:pt idx="3">
                  <c:v>177</c:v>
                </c:pt>
                <c:pt idx="4">
                  <c:v>92</c:v>
                </c:pt>
                <c:pt idx="5">
                  <c:v>36</c:v>
                </c:pt>
                <c:pt idx="6">
                  <c:v>34.9375</c:v>
                </c:pt>
                <c:pt idx="7">
                  <c:v>39</c:v>
                </c:pt>
                <c:pt idx="8">
                  <c:v>34.5</c:v>
                </c:pt>
                <c:pt idx="9">
                  <c:v>35</c:v>
                </c:pt>
                <c:pt idx="10">
                  <c:v>58</c:v>
                </c:pt>
                <c:pt idx="11">
                  <c:v>46</c:v>
                </c:pt>
                <c:pt idx="12">
                  <c:v>46.9</c:v>
                </c:pt>
                <c:pt idx="13">
                  <c:v>63.3</c:v>
                </c:pt>
                <c:pt idx="14">
                  <c:v>30.1</c:v>
                </c:pt>
                <c:pt idx="15">
                  <c:v>32</c:v>
                </c:pt>
                <c:pt idx="16">
                  <c:v>22.8</c:v>
                </c:pt>
                <c:pt idx="17">
                  <c:v>31</c:v>
                </c:pt>
                <c:pt idx="18">
                  <c:v>29</c:v>
                </c:pt>
                <c:pt idx="19">
                  <c:v>24.2</c:v>
                </c:pt>
              </c:numCache>
            </c:numRef>
          </c:val>
          <c:smooth val="0"/>
          <c:extLst>
            <c:ext xmlns:c16="http://schemas.microsoft.com/office/drawing/2014/chart" uri="{C3380CC4-5D6E-409C-BE32-E72D297353CC}">
              <c16:uniqueId val="{00000002-B0BC-49D6-BC9A-11ECCC6D4D56}"/>
            </c:ext>
          </c:extLst>
        </c:ser>
        <c:dLbls>
          <c:showLegendKey val="0"/>
          <c:showVal val="0"/>
          <c:showCatName val="0"/>
          <c:showSerName val="0"/>
          <c:showPercent val="0"/>
          <c:showBubbleSize val="0"/>
        </c:dLbls>
        <c:marker val="1"/>
        <c:smooth val="0"/>
        <c:axId val="97230848"/>
        <c:axId val="97232768"/>
      </c:lineChart>
      <c:catAx>
        <c:axId val="9723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640000" vert="horz"/>
          <a:lstStyle/>
          <a:p>
            <a:pPr>
              <a:defRPr sz="800" b="1" i="0" u="none" strike="noStrike" baseline="0">
                <a:solidFill>
                  <a:srgbClr val="000000"/>
                </a:solidFill>
                <a:latin typeface="Arial"/>
                <a:ea typeface="Arial"/>
                <a:cs typeface="Arial"/>
              </a:defRPr>
            </a:pPr>
            <a:endParaRPr lang="en-US"/>
          </a:p>
        </c:txPr>
        <c:crossAx val="97232768"/>
        <c:crossesAt val="-50"/>
        <c:auto val="1"/>
        <c:lblAlgn val="ctr"/>
        <c:lblOffset val="100"/>
        <c:tickLblSkip val="1"/>
        <c:tickMarkSkip val="1"/>
        <c:noMultiLvlLbl val="0"/>
      </c:catAx>
      <c:valAx>
        <c:axId val="97232768"/>
        <c:scaling>
          <c:orientation val="minMax"/>
          <c:max val="500"/>
          <c:min val="-50"/>
        </c:scaling>
        <c:delete val="0"/>
        <c:axPos val="l"/>
        <c:majorGridlines>
          <c:spPr>
            <a:ln w="3175">
              <a:solidFill>
                <a:srgbClr val="000000"/>
              </a:solidFill>
              <a:prstDash val="solid"/>
            </a:ln>
          </c:spPr>
        </c:majorGridlines>
        <c:minorGridlines/>
        <c:title>
          <c:tx>
            <c:rich>
              <a:bodyPr/>
              <a:lstStyle/>
              <a:p>
                <a:pPr>
                  <a:defRPr sz="900" b="1" i="0" u="none" strike="noStrike" baseline="0">
                    <a:solidFill>
                      <a:srgbClr val="000000"/>
                    </a:solidFill>
                    <a:latin typeface="Arial"/>
                    <a:ea typeface="Arial"/>
                    <a:cs typeface="Arial"/>
                  </a:defRPr>
                </a:pPr>
                <a:r>
                  <a:rPr lang="en-US"/>
                  <a:t>Total Phosphorus [ug/l]
</a:t>
                </a:r>
              </a:p>
            </c:rich>
          </c:tx>
          <c:layout>
            <c:manualLayout>
              <c:xMode val="edge"/>
              <c:yMode val="edge"/>
              <c:x val="8.8495575221241747E-3"/>
              <c:y val="0.3070652173913043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97230848"/>
        <c:crosses val="autoZero"/>
        <c:crossBetween val="between"/>
        <c:majorUnit val="50"/>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legend>
      <c:legendPos val="r"/>
      <c:layout>
        <c:manualLayout>
          <c:xMode val="edge"/>
          <c:yMode val="edge"/>
          <c:x val="0.57876161939936765"/>
          <c:y val="0.20108695652173941"/>
          <c:w val="0.34513311499779326"/>
          <c:h val="0.15217391304347827"/>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 </a:t>
            </a:r>
            <a:r>
              <a:rPr lang="en-US" sz="1600"/>
              <a:t>Sediment</a:t>
            </a:r>
            <a:r>
              <a:rPr lang="en-US"/>
              <a:t> Total Organic Carbon </a:t>
            </a:r>
          </a:p>
        </c:rich>
      </c:tx>
      <c:overlay val="0"/>
    </c:title>
    <c:autoTitleDeleted val="0"/>
    <c:plotArea>
      <c:layout>
        <c:manualLayout>
          <c:layoutTarget val="inner"/>
          <c:xMode val="edge"/>
          <c:yMode val="edge"/>
          <c:x val="0.12348235362089165"/>
          <c:y val="0.22371116249873971"/>
          <c:w val="0.84769165057198836"/>
          <c:h val="0.49211590186914722"/>
        </c:manualLayout>
      </c:layout>
      <c:barChart>
        <c:barDir val="col"/>
        <c:grouping val="clustered"/>
        <c:varyColors val="0"/>
        <c:ser>
          <c:idx val="0"/>
          <c:order val="0"/>
          <c:tx>
            <c:strRef>
              <c:f>Sediment!$W$3</c:f>
              <c:strCache>
                <c:ptCount val="1"/>
                <c:pt idx="0">
                  <c:v>2011</c:v>
                </c:pt>
              </c:strCache>
            </c:strRef>
          </c:tx>
          <c:invertIfNegative val="0"/>
          <c:cat>
            <c:multiLvlStrRef>
              <c:f>Sediment!$I$5:$J$21</c:f>
              <c:multiLvlStrCache>
                <c:ptCount val="17"/>
                <c:lvl>
                  <c:pt idx="0">
                    <c:v>SedBC01</c:v>
                  </c:pt>
                  <c:pt idx="1">
                    <c:v>SedBC02</c:v>
                  </c:pt>
                  <c:pt idx="2">
                    <c:v>SedBC03</c:v>
                  </c:pt>
                  <c:pt idx="3">
                    <c:v>SedBC04</c:v>
                  </c:pt>
                  <c:pt idx="4">
                    <c:v>SedBC05</c:v>
                  </c:pt>
                  <c:pt idx="5">
                    <c:v>SedBC06</c:v>
                  </c:pt>
                  <c:pt idx="6">
                    <c:v>SedPel07</c:v>
                  </c:pt>
                  <c:pt idx="7">
                    <c:v>SedPel08</c:v>
                  </c:pt>
                  <c:pt idx="8">
                    <c:v>SedPel09</c:v>
                  </c:pt>
                  <c:pt idx="9">
                    <c:v>SedPel10</c:v>
                  </c:pt>
                  <c:pt idx="10">
                    <c:v>SedPel11</c:v>
                  </c:pt>
                  <c:pt idx="11">
                    <c:v>SedTC12</c:v>
                  </c:pt>
                  <c:pt idx="12">
                    <c:v>SedTC13</c:v>
                  </c:pt>
                  <c:pt idx="13">
                    <c:v>SedTC14</c:v>
                  </c:pt>
                  <c:pt idx="14">
                    <c:v>SedTC15</c:v>
                  </c:pt>
                  <c:pt idx="15">
                    <c:v>SedTC16</c:v>
                  </c:pt>
                  <c:pt idx="16">
                    <c:v>SedTC17</c:v>
                  </c:pt>
                </c:lvl>
                <c:lvl>
                  <c:pt idx="0">
                    <c:v>Bear Creek Transect</c:v>
                  </c:pt>
                  <c:pt idx="6">
                    <c:v>Pelican Point Transect</c:v>
                  </c:pt>
                  <c:pt idx="11">
                    <c:v>Turkey Creek Transect</c:v>
                  </c:pt>
                </c:lvl>
              </c:multiLvlStrCache>
            </c:multiLvlStrRef>
          </c:cat>
          <c:val>
            <c:numRef>
              <c:f>Sediment!$W$5:$W$21</c:f>
              <c:numCache>
                <c:formatCode>General</c:formatCode>
                <c:ptCount val="17"/>
                <c:pt idx="0" formatCode="0.00">
                  <c:v>0.47</c:v>
                </c:pt>
                <c:pt idx="1">
                  <c:v>12.11</c:v>
                </c:pt>
                <c:pt idx="2">
                  <c:v>10.72</c:v>
                </c:pt>
                <c:pt idx="3">
                  <c:v>10.78</c:v>
                </c:pt>
                <c:pt idx="4">
                  <c:v>3.55</c:v>
                </c:pt>
                <c:pt idx="5">
                  <c:v>9.59</c:v>
                </c:pt>
                <c:pt idx="6">
                  <c:v>2.89</c:v>
                </c:pt>
                <c:pt idx="7">
                  <c:v>11.87</c:v>
                </c:pt>
                <c:pt idx="8">
                  <c:v>10.7</c:v>
                </c:pt>
                <c:pt idx="9">
                  <c:v>10.44</c:v>
                </c:pt>
                <c:pt idx="10">
                  <c:v>9.5399999999999991</c:v>
                </c:pt>
                <c:pt idx="11">
                  <c:v>8.48</c:v>
                </c:pt>
                <c:pt idx="12">
                  <c:v>8.3699999999999992</c:v>
                </c:pt>
                <c:pt idx="13">
                  <c:v>10.94</c:v>
                </c:pt>
                <c:pt idx="14">
                  <c:v>10.95</c:v>
                </c:pt>
                <c:pt idx="15">
                  <c:v>10.66</c:v>
                </c:pt>
                <c:pt idx="16">
                  <c:v>10.75</c:v>
                </c:pt>
              </c:numCache>
            </c:numRef>
          </c:val>
          <c:extLst>
            <c:ext xmlns:c16="http://schemas.microsoft.com/office/drawing/2014/chart" uri="{C3380CC4-5D6E-409C-BE32-E72D297353CC}">
              <c16:uniqueId val="{00000000-FB1C-4EB6-8448-EB492D29E45D}"/>
            </c:ext>
          </c:extLst>
        </c:ser>
        <c:ser>
          <c:idx val="1"/>
          <c:order val="1"/>
          <c:tx>
            <c:strRef>
              <c:f>Sediment!$U$3</c:f>
              <c:strCache>
                <c:ptCount val="1"/>
                <c:pt idx="0">
                  <c:v>2010</c:v>
                </c:pt>
              </c:strCache>
            </c:strRef>
          </c:tx>
          <c:invertIfNegative val="0"/>
          <c:val>
            <c:numRef>
              <c:f>Sediment!$U$5:$U$21</c:f>
              <c:numCache>
                <c:formatCode>General</c:formatCode>
                <c:ptCount val="17"/>
                <c:pt idx="0">
                  <c:v>9.1999999999999993</c:v>
                </c:pt>
                <c:pt idx="1">
                  <c:v>12</c:v>
                </c:pt>
                <c:pt idx="2">
                  <c:v>10.7</c:v>
                </c:pt>
                <c:pt idx="3">
                  <c:v>9.5</c:v>
                </c:pt>
                <c:pt idx="4">
                  <c:v>10</c:v>
                </c:pt>
                <c:pt idx="5">
                  <c:v>10</c:v>
                </c:pt>
                <c:pt idx="6">
                  <c:v>9.4499999999999993</c:v>
                </c:pt>
                <c:pt idx="7">
                  <c:v>11</c:v>
                </c:pt>
                <c:pt idx="8">
                  <c:v>11.7</c:v>
                </c:pt>
                <c:pt idx="9">
                  <c:v>12.8</c:v>
                </c:pt>
                <c:pt idx="10">
                  <c:v>11.5</c:v>
                </c:pt>
                <c:pt idx="11">
                  <c:v>11.2</c:v>
                </c:pt>
                <c:pt idx="12">
                  <c:v>11.7</c:v>
                </c:pt>
                <c:pt idx="13">
                  <c:v>11.9</c:v>
                </c:pt>
                <c:pt idx="14">
                  <c:v>12.7</c:v>
                </c:pt>
                <c:pt idx="15">
                  <c:v>10.4</c:v>
                </c:pt>
                <c:pt idx="16">
                  <c:v>10.7</c:v>
                </c:pt>
              </c:numCache>
            </c:numRef>
          </c:val>
          <c:extLst>
            <c:ext xmlns:c16="http://schemas.microsoft.com/office/drawing/2014/chart" uri="{C3380CC4-5D6E-409C-BE32-E72D297353CC}">
              <c16:uniqueId val="{00000001-FB1C-4EB6-8448-EB492D29E45D}"/>
            </c:ext>
          </c:extLst>
        </c:ser>
        <c:dLbls>
          <c:showLegendKey val="0"/>
          <c:showVal val="0"/>
          <c:showCatName val="0"/>
          <c:showSerName val="0"/>
          <c:showPercent val="0"/>
          <c:showBubbleSize val="0"/>
        </c:dLbls>
        <c:gapWidth val="150"/>
        <c:axId val="139015296"/>
        <c:axId val="139016832"/>
      </c:barChart>
      <c:catAx>
        <c:axId val="139015296"/>
        <c:scaling>
          <c:orientation val="minMax"/>
        </c:scaling>
        <c:delete val="0"/>
        <c:axPos val="b"/>
        <c:numFmt formatCode="General" sourceLinked="0"/>
        <c:majorTickMark val="out"/>
        <c:minorTickMark val="none"/>
        <c:tickLblPos val="nextTo"/>
        <c:crossAx val="139016832"/>
        <c:crosses val="autoZero"/>
        <c:auto val="1"/>
        <c:lblAlgn val="ctr"/>
        <c:lblOffset val="100"/>
        <c:noMultiLvlLbl val="0"/>
      </c:catAx>
      <c:valAx>
        <c:axId val="139016832"/>
        <c:scaling>
          <c:orientation val="minMax"/>
        </c:scaling>
        <c:delete val="0"/>
        <c:axPos val="l"/>
        <c:majorGridlines/>
        <c:title>
          <c:tx>
            <c:rich>
              <a:bodyPr rot="-5400000" vert="horz"/>
              <a:lstStyle/>
              <a:p>
                <a:pPr>
                  <a:defRPr/>
                </a:pPr>
                <a:r>
                  <a:rPr lang="en-US"/>
                  <a:t>Percent Total Organic Carbon</a:t>
                </a:r>
              </a:p>
            </c:rich>
          </c:tx>
          <c:overlay val="0"/>
        </c:title>
        <c:numFmt formatCode="0" sourceLinked="0"/>
        <c:majorTickMark val="out"/>
        <c:minorTickMark val="none"/>
        <c:tickLblPos val="nextTo"/>
        <c:crossAx val="139015296"/>
        <c:crosses val="autoZero"/>
        <c:crossBetween val="between"/>
      </c:valAx>
    </c:plotArea>
    <c:legend>
      <c:legendPos val="t"/>
      <c:overlay val="0"/>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121" l="0.70000000000000062" r="0.70000000000000062" t="0.75000000000001121"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Percent  Total Solids (TS% at 105 degrees C) </a:t>
            </a:r>
          </a:p>
        </c:rich>
      </c:tx>
      <c:overlay val="0"/>
    </c:title>
    <c:autoTitleDeleted val="0"/>
    <c:plotArea>
      <c:layout/>
      <c:barChart>
        <c:barDir val="col"/>
        <c:grouping val="clustered"/>
        <c:varyColors val="0"/>
        <c:ser>
          <c:idx val="0"/>
          <c:order val="0"/>
          <c:tx>
            <c:strRef>
              <c:f>Sediment!$W$3</c:f>
              <c:strCache>
                <c:ptCount val="1"/>
                <c:pt idx="0">
                  <c:v>2011</c:v>
                </c:pt>
              </c:strCache>
            </c:strRef>
          </c:tx>
          <c:invertIfNegative val="0"/>
          <c:cat>
            <c:multiLvlStrRef>
              <c:f>Sediment!$S$5:$T$21</c:f>
              <c:multiLvlStrCache>
                <c:ptCount val="17"/>
                <c:lvl>
                  <c:pt idx="0">
                    <c:v>SedBC01</c:v>
                  </c:pt>
                  <c:pt idx="1">
                    <c:v>SedBC02</c:v>
                  </c:pt>
                  <c:pt idx="2">
                    <c:v>SedBC03</c:v>
                  </c:pt>
                  <c:pt idx="3">
                    <c:v>SedBC04</c:v>
                  </c:pt>
                  <c:pt idx="4">
                    <c:v>SedBC05</c:v>
                  </c:pt>
                  <c:pt idx="5">
                    <c:v>SedBC06</c:v>
                  </c:pt>
                  <c:pt idx="6">
                    <c:v>SedPel07</c:v>
                  </c:pt>
                  <c:pt idx="7">
                    <c:v>SedPel08</c:v>
                  </c:pt>
                  <c:pt idx="8">
                    <c:v>SedPel09</c:v>
                  </c:pt>
                  <c:pt idx="9">
                    <c:v>SedPel10</c:v>
                  </c:pt>
                  <c:pt idx="10">
                    <c:v>SedPel11</c:v>
                  </c:pt>
                  <c:pt idx="11">
                    <c:v>SedTC12</c:v>
                  </c:pt>
                  <c:pt idx="12">
                    <c:v>SedTC13</c:v>
                  </c:pt>
                  <c:pt idx="13">
                    <c:v>SedTC14</c:v>
                  </c:pt>
                  <c:pt idx="14">
                    <c:v>SedTC15</c:v>
                  </c:pt>
                  <c:pt idx="15">
                    <c:v>SedTC16</c:v>
                  </c:pt>
                  <c:pt idx="16">
                    <c:v>SedTC17</c:v>
                  </c:pt>
                </c:lvl>
                <c:lvl>
                  <c:pt idx="0">
                    <c:v>Bear Creek Transect</c:v>
                  </c:pt>
                  <c:pt idx="6">
                    <c:v>Pelican Point Transect</c:v>
                  </c:pt>
                  <c:pt idx="11">
                    <c:v>Turkey Creek Transect</c:v>
                  </c:pt>
                </c:lvl>
              </c:multiLvlStrCache>
            </c:multiLvlStrRef>
          </c:cat>
          <c:val>
            <c:numRef>
              <c:f>Sediment!$X$5:$X$21</c:f>
              <c:numCache>
                <c:formatCode>General</c:formatCode>
                <c:ptCount val="17"/>
                <c:pt idx="0">
                  <c:v>99.86</c:v>
                </c:pt>
                <c:pt idx="1">
                  <c:v>60.71</c:v>
                </c:pt>
                <c:pt idx="2">
                  <c:v>45.92</c:v>
                </c:pt>
                <c:pt idx="3">
                  <c:v>31.17</c:v>
                </c:pt>
                <c:pt idx="4">
                  <c:v>88.11</c:v>
                </c:pt>
                <c:pt idx="5">
                  <c:v>40.130000000000003</c:v>
                </c:pt>
                <c:pt idx="6">
                  <c:v>80.349999999999994</c:v>
                </c:pt>
                <c:pt idx="7">
                  <c:v>31.66</c:v>
                </c:pt>
                <c:pt idx="8">
                  <c:v>38.56</c:v>
                </c:pt>
                <c:pt idx="9">
                  <c:v>56.14</c:v>
                </c:pt>
                <c:pt idx="10">
                  <c:v>37.53</c:v>
                </c:pt>
                <c:pt idx="11">
                  <c:v>61.08</c:v>
                </c:pt>
                <c:pt idx="12">
                  <c:v>96.98</c:v>
                </c:pt>
                <c:pt idx="13">
                  <c:v>93.25</c:v>
                </c:pt>
                <c:pt idx="14">
                  <c:v>94.5</c:v>
                </c:pt>
                <c:pt idx="15">
                  <c:v>60.57</c:v>
                </c:pt>
                <c:pt idx="16">
                  <c:v>96.31</c:v>
                </c:pt>
              </c:numCache>
            </c:numRef>
          </c:val>
          <c:extLst>
            <c:ext xmlns:c16="http://schemas.microsoft.com/office/drawing/2014/chart" uri="{C3380CC4-5D6E-409C-BE32-E72D297353CC}">
              <c16:uniqueId val="{00000000-4051-4B68-A7C0-F989DAE889C4}"/>
            </c:ext>
          </c:extLst>
        </c:ser>
        <c:ser>
          <c:idx val="1"/>
          <c:order val="1"/>
          <c:tx>
            <c:strRef>
              <c:f>Sediment!$U$3</c:f>
              <c:strCache>
                <c:ptCount val="1"/>
                <c:pt idx="0">
                  <c:v>2010</c:v>
                </c:pt>
              </c:strCache>
            </c:strRef>
          </c:tx>
          <c:invertIfNegative val="0"/>
          <c:val>
            <c:numRef>
              <c:f>Sediment!$V$5:$V$21</c:f>
              <c:numCache>
                <c:formatCode>0.0</c:formatCode>
                <c:ptCount val="17"/>
                <c:pt idx="0">
                  <c:v>90.77</c:v>
                </c:pt>
                <c:pt idx="1">
                  <c:v>88.02</c:v>
                </c:pt>
                <c:pt idx="2">
                  <c:v>89.3</c:v>
                </c:pt>
                <c:pt idx="3">
                  <c:v>90.5</c:v>
                </c:pt>
                <c:pt idx="4">
                  <c:v>90</c:v>
                </c:pt>
                <c:pt idx="5">
                  <c:v>90</c:v>
                </c:pt>
                <c:pt idx="6">
                  <c:v>90.6</c:v>
                </c:pt>
                <c:pt idx="7">
                  <c:v>89</c:v>
                </c:pt>
                <c:pt idx="8">
                  <c:v>88.3</c:v>
                </c:pt>
                <c:pt idx="9">
                  <c:v>87.2</c:v>
                </c:pt>
                <c:pt idx="10">
                  <c:v>88.5</c:v>
                </c:pt>
                <c:pt idx="11">
                  <c:v>88.8</c:v>
                </c:pt>
                <c:pt idx="12">
                  <c:v>88.3</c:v>
                </c:pt>
                <c:pt idx="13">
                  <c:v>88.1</c:v>
                </c:pt>
                <c:pt idx="14">
                  <c:v>87.3</c:v>
                </c:pt>
                <c:pt idx="15">
                  <c:v>89.6</c:v>
                </c:pt>
                <c:pt idx="16">
                  <c:v>89.3</c:v>
                </c:pt>
              </c:numCache>
            </c:numRef>
          </c:val>
          <c:extLst>
            <c:ext xmlns:c16="http://schemas.microsoft.com/office/drawing/2014/chart" uri="{C3380CC4-5D6E-409C-BE32-E72D297353CC}">
              <c16:uniqueId val="{00000001-4051-4B68-A7C0-F989DAE889C4}"/>
            </c:ext>
          </c:extLst>
        </c:ser>
        <c:dLbls>
          <c:showLegendKey val="0"/>
          <c:showVal val="0"/>
          <c:showCatName val="0"/>
          <c:showSerName val="0"/>
          <c:showPercent val="0"/>
          <c:showBubbleSize val="0"/>
        </c:dLbls>
        <c:gapWidth val="150"/>
        <c:axId val="139033984"/>
        <c:axId val="139048064"/>
      </c:barChart>
      <c:catAx>
        <c:axId val="139033984"/>
        <c:scaling>
          <c:orientation val="minMax"/>
        </c:scaling>
        <c:delete val="0"/>
        <c:axPos val="b"/>
        <c:numFmt formatCode="General" sourceLinked="0"/>
        <c:majorTickMark val="out"/>
        <c:minorTickMark val="none"/>
        <c:tickLblPos val="nextTo"/>
        <c:crossAx val="139048064"/>
        <c:crosses val="autoZero"/>
        <c:auto val="1"/>
        <c:lblAlgn val="ctr"/>
        <c:lblOffset val="100"/>
        <c:noMultiLvlLbl val="0"/>
      </c:catAx>
      <c:valAx>
        <c:axId val="139048064"/>
        <c:scaling>
          <c:orientation val="minMax"/>
        </c:scaling>
        <c:delete val="0"/>
        <c:axPos val="l"/>
        <c:majorGridlines/>
        <c:title>
          <c:tx>
            <c:rich>
              <a:bodyPr rot="-5400000" vert="horz"/>
              <a:lstStyle/>
              <a:p>
                <a:pPr>
                  <a:defRPr/>
                </a:pPr>
                <a:r>
                  <a:rPr lang="en-US"/>
                  <a:t>Percent Total Sediments</a:t>
                </a:r>
              </a:p>
            </c:rich>
          </c:tx>
          <c:overlay val="0"/>
        </c:title>
        <c:numFmt formatCode="0" sourceLinked="0"/>
        <c:majorTickMark val="out"/>
        <c:minorTickMark val="none"/>
        <c:tickLblPos val="nextTo"/>
        <c:crossAx val="139033984"/>
        <c:crosses val="autoZero"/>
        <c:crossBetween val="between"/>
      </c:valAx>
    </c:plotArea>
    <c:legend>
      <c:legendPos val="t"/>
      <c:overlay val="0"/>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000000000001144" l="0.70000000000000062" r="0.70000000000000062" t="0.75000000000001144"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2011 TOC (%) versus Total Phosphorus (MgP/kg Mud) </a:t>
            </a:r>
          </a:p>
        </c:rich>
      </c:tx>
      <c:overlay val="1"/>
    </c:title>
    <c:autoTitleDeleted val="0"/>
    <c:plotArea>
      <c:layout>
        <c:manualLayout>
          <c:layoutTarget val="inner"/>
          <c:xMode val="edge"/>
          <c:yMode val="edge"/>
          <c:x val="9.0565228642194726E-2"/>
          <c:y val="0.16586973238514691"/>
          <c:w val="0.864153081216957"/>
          <c:h val="0.50724072626514904"/>
        </c:manualLayout>
      </c:layout>
      <c:barChart>
        <c:barDir val="col"/>
        <c:grouping val="clustered"/>
        <c:varyColors val="0"/>
        <c:ser>
          <c:idx val="0"/>
          <c:order val="0"/>
          <c:tx>
            <c:strRef>
              <c:f>Sediment!$P$3</c:f>
              <c:strCache>
                <c:ptCount val="1"/>
                <c:pt idx="0">
                  <c:v>mgP/kg Mud</c:v>
                </c:pt>
              </c:strCache>
            </c:strRef>
          </c:tx>
          <c:invertIfNegative val="0"/>
          <c:cat>
            <c:multiLvlStrRef>
              <c:f>Sediment!$S$5:$T$21</c:f>
              <c:multiLvlStrCache>
                <c:ptCount val="17"/>
                <c:lvl>
                  <c:pt idx="0">
                    <c:v>SedBC01</c:v>
                  </c:pt>
                  <c:pt idx="1">
                    <c:v>SedBC02</c:v>
                  </c:pt>
                  <c:pt idx="2">
                    <c:v>SedBC03</c:v>
                  </c:pt>
                  <c:pt idx="3">
                    <c:v>SedBC04</c:v>
                  </c:pt>
                  <c:pt idx="4">
                    <c:v>SedBC05</c:v>
                  </c:pt>
                  <c:pt idx="5">
                    <c:v>SedBC06</c:v>
                  </c:pt>
                  <c:pt idx="6">
                    <c:v>SedPel07</c:v>
                  </c:pt>
                  <c:pt idx="7">
                    <c:v>SedPel08</c:v>
                  </c:pt>
                  <c:pt idx="8">
                    <c:v>SedPel09</c:v>
                  </c:pt>
                  <c:pt idx="9">
                    <c:v>SedPel10</c:v>
                  </c:pt>
                  <c:pt idx="10">
                    <c:v>SedPel11</c:v>
                  </c:pt>
                  <c:pt idx="11">
                    <c:v>SedTC12</c:v>
                  </c:pt>
                  <c:pt idx="12">
                    <c:v>SedTC13</c:v>
                  </c:pt>
                  <c:pt idx="13">
                    <c:v>SedTC14</c:v>
                  </c:pt>
                  <c:pt idx="14">
                    <c:v>SedTC15</c:v>
                  </c:pt>
                  <c:pt idx="15">
                    <c:v>SedTC16</c:v>
                  </c:pt>
                  <c:pt idx="16">
                    <c:v>SedTC17</c:v>
                  </c:pt>
                </c:lvl>
                <c:lvl>
                  <c:pt idx="0">
                    <c:v>Bear Creek Transect</c:v>
                  </c:pt>
                  <c:pt idx="6">
                    <c:v>Pelican Point Transect</c:v>
                  </c:pt>
                  <c:pt idx="11">
                    <c:v>Turkey Creek Transect</c:v>
                  </c:pt>
                </c:lvl>
              </c:multiLvlStrCache>
            </c:multiLvlStrRef>
          </c:cat>
          <c:val>
            <c:numRef>
              <c:f>Sediment!$P$5:$P$21</c:f>
              <c:numCache>
                <c:formatCode>0.00</c:formatCode>
                <c:ptCount val="17"/>
                <c:pt idx="0">
                  <c:v>2.4166805029663672</c:v>
                </c:pt>
                <c:pt idx="1">
                  <c:v>4.3739860395091013</c:v>
                </c:pt>
                <c:pt idx="2">
                  <c:v>6.1080592218524057</c:v>
                </c:pt>
                <c:pt idx="3">
                  <c:v>2.7492439653545286</c:v>
                </c:pt>
                <c:pt idx="4">
                  <c:v>5.2067836979534228</c:v>
                </c:pt>
                <c:pt idx="5">
                  <c:v>1.0770068764942204</c:v>
                </c:pt>
                <c:pt idx="6">
                  <c:v>4.1364767922466621</c:v>
                </c:pt>
                <c:pt idx="7">
                  <c:v>3.3936332651670083</c:v>
                </c:pt>
                <c:pt idx="8">
                  <c:v>11.49762708547385</c:v>
                </c:pt>
                <c:pt idx="9">
                  <c:v>2.2027169018312818</c:v>
                </c:pt>
                <c:pt idx="10">
                  <c:v>6.8606966890027588</c:v>
                </c:pt>
                <c:pt idx="11">
                  <c:v>0.51812424813310021</c:v>
                </c:pt>
                <c:pt idx="12">
                  <c:v>3.224198541895535</c:v>
                </c:pt>
                <c:pt idx="13">
                  <c:v>8.1071638861629065</c:v>
                </c:pt>
                <c:pt idx="14">
                  <c:v>8.1487420849608192</c:v>
                </c:pt>
                <c:pt idx="15">
                  <c:v>1.9119371482176362</c:v>
                </c:pt>
                <c:pt idx="16">
                  <c:v>3.1827308037048101</c:v>
                </c:pt>
              </c:numCache>
            </c:numRef>
          </c:val>
          <c:extLst>
            <c:ext xmlns:c16="http://schemas.microsoft.com/office/drawing/2014/chart" uri="{C3380CC4-5D6E-409C-BE32-E72D297353CC}">
              <c16:uniqueId val="{00000000-B2C1-445D-B67E-BD32D1B872F4}"/>
            </c:ext>
          </c:extLst>
        </c:ser>
        <c:ser>
          <c:idx val="1"/>
          <c:order val="1"/>
          <c:tx>
            <c:strRef>
              <c:f>Sediment!$U$4</c:f>
              <c:strCache>
                <c:ptCount val="1"/>
                <c:pt idx="0">
                  <c:v>% TOC</c:v>
                </c:pt>
              </c:strCache>
            </c:strRef>
          </c:tx>
          <c:invertIfNegative val="0"/>
          <c:val>
            <c:numRef>
              <c:f>Sediment!$W$5:$W$21</c:f>
              <c:numCache>
                <c:formatCode>General</c:formatCode>
                <c:ptCount val="17"/>
                <c:pt idx="0" formatCode="0.00">
                  <c:v>0.47</c:v>
                </c:pt>
                <c:pt idx="1">
                  <c:v>12.11</c:v>
                </c:pt>
                <c:pt idx="2">
                  <c:v>10.72</c:v>
                </c:pt>
                <c:pt idx="3">
                  <c:v>10.78</c:v>
                </c:pt>
                <c:pt idx="4">
                  <c:v>3.55</c:v>
                </c:pt>
                <c:pt idx="5">
                  <c:v>9.59</c:v>
                </c:pt>
                <c:pt idx="6">
                  <c:v>2.89</c:v>
                </c:pt>
                <c:pt idx="7">
                  <c:v>11.87</c:v>
                </c:pt>
                <c:pt idx="8">
                  <c:v>10.7</c:v>
                </c:pt>
                <c:pt idx="9">
                  <c:v>10.44</c:v>
                </c:pt>
                <c:pt idx="10">
                  <c:v>9.5399999999999991</c:v>
                </c:pt>
                <c:pt idx="11">
                  <c:v>8.48</c:v>
                </c:pt>
                <c:pt idx="12">
                  <c:v>8.3699999999999992</c:v>
                </c:pt>
                <c:pt idx="13">
                  <c:v>10.94</c:v>
                </c:pt>
                <c:pt idx="14">
                  <c:v>10.95</c:v>
                </c:pt>
                <c:pt idx="15">
                  <c:v>10.66</c:v>
                </c:pt>
                <c:pt idx="16">
                  <c:v>10.75</c:v>
                </c:pt>
              </c:numCache>
            </c:numRef>
          </c:val>
          <c:extLst>
            <c:ext xmlns:c16="http://schemas.microsoft.com/office/drawing/2014/chart" uri="{C3380CC4-5D6E-409C-BE32-E72D297353CC}">
              <c16:uniqueId val="{00000001-B2C1-445D-B67E-BD32D1B872F4}"/>
            </c:ext>
          </c:extLst>
        </c:ser>
        <c:dLbls>
          <c:showLegendKey val="0"/>
          <c:showVal val="0"/>
          <c:showCatName val="0"/>
          <c:showSerName val="0"/>
          <c:showPercent val="0"/>
          <c:showBubbleSize val="0"/>
        </c:dLbls>
        <c:gapWidth val="150"/>
        <c:axId val="139061120"/>
        <c:axId val="139062656"/>
      </c:barChart>
      <c:catAx>
        <c:axId val="139061120"/>
        <c:scaling>
          <c:orientation val="minMax"/>
        </c:scaling>
        <c:delete val="0"/>
        <c:axPos val="b"/>
        <c:numFmt formatCode="General" sourceLinked="0"/>
        <c:majorTickMark val="out"/>
        <c:minorTickMark val="none"/>
        <c:tickLblPos val="nextTo"/>
        <c:crossAx val="139062656"/>
        <c:crosses val="autoZero"/>
        <c:auto val="1"/>
        <c:lblAlgn val="ctr"/>
        <c:lblOffset val="100"/>
        <c:noMultiLvlLbl val="0"/>
      </c:catAx>
      <c:valAx>
        <c:axId val="139062656"/>
        <c:scaling>
          <c:orientation val="minMax"/>
        </c:scaling>
        <c:delete val="0"/>
        <c:axPos val="l"/>
        <c:majorGridlines/>
        <c:numFmt formatCode="0.00" sourceLinked="1"/>
        <c:majorTickMark val="out"/>
        <c:minorTickMark val="none"/>
        <c:tickLblPos val="nextTo"/>
        <c:crossAx val="139061120"/>
        <c:crosses val="autoZero"/>
        <c:crossBetween val="between"/>
      </c:valAx>
    </c:plotArea>
    <c:legend>
      <c:legendPos val="r"/>
      <c:layout>
        <c:manualLayout>
          <c:xMode val="edge"/>
          <c:yMode val="edge"/>
          <c:x val="0.78570422535211271"/>
          <c:y val="0.10413911361766275"/>
          <c:w val="0.19316901408450707"/>
          <c:h val="0.13787662135453302"/>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000000000000366" l="0.70000000000000062" r="0.70000000000000062" t="0.75000000000000366"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'Grain Size'!$C$2</c:f>
              <c:strCache>
                <c:ptCount val="1"/>
                <c:pt idx="0">
                  <c:v>Coarse Sand</c:v>
                </c:pt>
              </c:strCache>
            </c:strRef>
          </c:tx>
          <c:invertIfNegative val="0"/>
          <c:cat>
            <c:multiLvlStrRef>
              <c:f>'Grain Size'!$A$4:$B$20</c:f>
              <c:multiLvlStrCache>
                <c:ptCount val="17"/>
                <c:lvl>
                  <c:pt idx="0">
                    <c:v>SedBC01</c:v>
                  </c:pt>
                  <c:pt idx="1">
                    <c:v>SedBC02</c:v>
                  </c:pt>
                  <c:pt idx="2">
                    <c:v>SedBC03</c:v>
                  </c:pt>
                  <c:pt idx="3">
                    <c:v>SedBC04</c:v>
                  </c:pt>
                  <c:pt idx="4">
                    <c:v>SedBC05</c:v>
                  </c:pt>
                  <c:pt idx="5">
                    <c:v>SedBC06</c:v>
                  </c:pt>
                  <c:pt idx="6">
                    <c:v>SedPel07</c:v>
                  </c:pt>
                  <c:pt idx="7">
                    <c:v>SedPel08</c:v>
                  </c:pt>
                  <c:pt idx="8">
                    <c:v>SedPel09</c:v>
                  </c:pt>
                  <c:pt idx="9">
                    <c:v>SedPel10</c:v>
                  </c:pt>
                  <c:pt idx="10">
                    <c:v>SedPel11</c:v>
                  </c:pt>
                  <c:pt idx="11">
                    <c:v>SedTC12</c:v>
                  </c:pt>
                  <c:pt idx="12">
                    <c:v>SedTC13</c:v>
                  </c:pt>
                  <c:pt idx="13">
                    <c:v>SedTC14</c:v>
                  </c:pt>
                  <c:pt idx="14">
                    <c:v>SedTC15</c:v>
                  </c:pt>
                  <c:pt idx="15">
                    <c:v>SedTC16</c:v>
                  </c:pt>
                  <c:pt idx="16">
                    <c:v>SedTC17</c:v>
                  </c:pt>
                </c:lvl>
                <c:lvl>
                  <c:pt idx="0">
                    <c:v>Bear Creek Transect</c:v>
                  </c:pt>
                  <c:pt idx="6">
                    <c:v>Pelican Point Transect</c:v>
                  </c:pt>
                  <c:pt idx="11">
                    <c:v>Turkey Creek Transect</c:v>
                  </c:pt>
                </c:lvl>
              </c:multiLvlStrCache>
            </c:multiLvlStrRef>
          </c:cat>
          <c:val>
            <c:numRef>
              <c:f>'Grain Size'!$C$4:$C$20</c:f>
              <c:numCache>
                <c:formatCode>0</c:formatCode>
                <c:ptCount val="17"/>
                <c:pt idx="0" formatCode="General">
                  <c:v>56.5</c:v>
                </c:pt>
                <c:pt idx="1">
                  <c:v>2.8580000000000001</c:v>
                </c:pt>
                <c:pt idx="2" formatCode="General">
                  <c:v>4</c:v>
                </c:pt>
                <c:pt idx="3">
                  <c:v>12.307692307692308</c:v>
                </c:pt>
                <c:pt idx="4" formatCode="General">
                  <c:v>12</c:v>
                </c:pt>
                <c:pt idx="5">
                  <c:v>5.7160000000000002</c:v>
                </c:pt>
                <c:pt idx="6" formatCode="General">
                  <c:v>7</c:v>
                </c:pt>
                <c:pt idx="7" formatCode="General">
                  <c:v>6</c:v>
                </c:pt>
                <c:pt idx="8">
                  <c:v>10.780000000000001</c:v>
                </c:pt>
                <c:pt idx="9">
                  <c:v>13.36</c:v>
                </c:pt>
                <c:pt idx="10" formatCode="General">
                  <c:v>6</c:v>
                </c:pt>
                <c:pt idx="11" formatCode="General">
                  <c:v>14</c:v>
                </c:pt>
                <c:pt idx="12" formatCode="General">
                  <c:v>2</c:v>
                </c:pt>
                <c:pt idx="13">
                  <c:v>12.006</c:v>
                </c:pt>
                <c:pt idx="14">
                  <c:v>6.68</c:v>
                </c:pt>
                <c:pt idx="15">
                  <c:v>10.780000000000001</c:v>
                </c:pt>
                <c:pt idx="16" formatCode="General">
                  <c:v>4</c:v>
                </c:pt>
              </c:numCache>
            </c:numRef>
          </c:val>
          <c:extLst>
            <c:ext xmlns:c16="http://schemas.microsoft.com/office/drawing/2014/chart" uri="{C3380CC4-5D6E-409C-BE32-E72D297353CC}">
              <c16:uniqueId val="{00000000-5A0E-4B17-BA57-47BD65E7E57B}"/>
            </c:ext>
          </c:extLst>
        </c:ser>
        <c:ser>
          <c:idx val="1"/>
          <c:order val="1"/>
          <c:tx>
            <c:strRef>
              <c:f>'Grain Size'!$D$2</c:f>
              <c:strCache>
                <c:ptCount val="1"/>
                <c:pt idx="0">
                  <c:v>Med Sand</c:v>
                </c:pt>
              </c:strCache>
            </c:strRef>
          </c:tx>
          <c:invertIfNegative val="0"/>
          <c:cat>
            <c:multiLvlStrRef>
              <c:f>'Grain Size'!$A$4:$B$20</c:f>
              <c:multiLvlStrCache>
                <c:ptCount val="17"/>
                <c:lvl>
                  <c:pt idx="0">
                    <c:v>SedBC01</c:v>
                  </c:pt>
                  <c:pt idx="1">
                    <c:v>SedBC02</c:v>
                  </c:pt>
                  <c:pt idx="2">
                    <c:v>SedBC03</c:v>
                  </c:pt>
                  <c:pt idx="3">
                    <c:v>SedBC04</c:v>
                  </c:pt>
                  <c:pt idx="4">
                    <c:v>SedBC05</c:v>
                  </c:pt>
                  <c:pt idx="5">
                    <c:v>SedBC06</c:v>
                  </c:pt>
                  <c:pt idx="6">
                    <c:v>SedPel07</c:v>
                  </c:pt>
                  <c:pt idx="7">
                    <c:v>SedPel08</c:v>
                  </c:pt>
                  <c:pt idx="8">
                    <c:v>SedPel09</c:v>
                  </c:pt>
                  <c:pt idx="9">
                    <c:v>SedPel10</c:v>
                  </c:pt>
                  <c:pt idx="10">
                    <c:v>SedPel11</c:v>
                  </c:pt>
                  <c:pt idx="11">
                    <c:v>SedTC12</c:v>
                  </c:pt>
                  <c:pt idx="12">
                    <c:v>SedTC13</c:v>
                  </c:pt>
                  <c:pt idx="13">
                    <c:v>SedTC14</c:v>
                  </c:pt>
                  <c:pt idx="14">
                    <c:v>SedTC15</c:v>
                  </c:pt>
                  <c:pt idx="15">
                    <c:v>SedTC16</c:v>
                  </c:pt>
                  <c:pt idx="16">
                    <c:v>SedTC17</c:v>
                  </c:pt>
                </c:lvl>
                <c:lvl>
                  <c:pt idx="0">
                    <c:v>Bear Creek Transect</c:v>
                  </c:pt>
                  <c:pt idx="6">
                    <c:v>Pelican Point Transect</c:v>
                  </c:pt>
                  <c:pt idx="11">
                    <c:v>Turkey Creek Transect</c:v>
                  </c:pt>
                </c:lvl>
              </c:multiLvlStrCache>
            </c:multiLvlStrRef>
          </c:cat>
          <c:val>
            <c:numRef>
              <c:f>'Grain Size'!$D$4:$D$20</c:f>
              <c:numCache>
                <c:formatCode>0</c:formatCode>
                <c:ptCount val="17"/>
                <c:pt idx="0" formatCode="General">
                  <c:v>35</c:v>
                </c:pt>
                <c:pt idx="1">
                  <c:v>25.722000000000001</c:v>
                </c:pt>
                <c:pt idx="2" formatCode="General">
                  <c:v>20</c:v>
                </c:pt>
                <c:pt idx="3">
                  <c:v>20</c:v>
                </c:pt>
                <c:pt idx="4" formatCode="General">
                  <c:v>38</c:v>
                </c:pt>
                <c:pt idx="5">
                  <c:v>34.295999999999999</c:v>
                </c:pt>
                <c:pt idx="6" formatCode="General">
                  <c:v>55</c:v>
                </c:pt>
                <c:pt idx="7" formatCode="General">
                  <c:v>42</c:v>
                </c:pt>
                <c:pt idx="8">
                  <c:v>18.48</c:v>
                </c:pt>
                <c:pt idx="9">
                  <c:v>30.06</c:v>
                </c:pt>
                <c:pt idx="10" formatCode="General">
                  <c:v>44</c:v>
                </c:pt>
                <c:pt idx="11" formatCode="General">
                  <c:v>37</c:v>
                </c:pt>
                <c:pt idx="12" formatCode="General">
                  <c:v>50</c:v>
                </c:pt>
                <c:pt idx="13">
                  <c:v>40.020000000000003</c:v>
                </c:pt>
                <c:pt idx="14">
                  <c:v>23.38</c:v>
                </c:pt>
                <c:pt idx="15">
                  <c:v>24.64</c:v>
                </c:pt>
                <c:pt idx="16" formatCode="General">
                  <c:v>36</c:v>
                </c:pt>
              </c:numCache>
            </c:numRef>
          </c:val>
          <c:extLst>
            <c:ext xmlns:c16="http://schemas.microsoft.com/office/drawing/2014/chart" uri="{C3380CC4-5D6E-409C-BE32-E72D297353CC}">
              <c16:uniqueId val="{00000001-5A0E-4B17-BA57-47BD65E7E57B}"/>
            </c:ext>
          </c:extLst>
        </c:ser>
        <c:ser>
          <c:idx val="2"/>
          <c:order val="2"/>
          <c:tx>
            <c:strRef>
              <c:f>'Grain Size'!$E$2</c:f>
              <c:strCache>
                <c:ptCount val="1"/>
                <c:pt idx="0">
                  <c:v>Fine Sand</c:v>
                </c:pt>
              </c:strCache>
            </c:strRef>
          </c:tx>
          <c:invertIfNegative val="0"/>
          <c:cat>
            <c:multiLvlStrRef>
              <c:f>'Grain Size'!$A$4:$B$20</c:f>
              <c:multiLvlStrCache>
                <c:ptCount val="17"/>
                <c:lvl>
                  <c:pt idx="0">
                    <c:v>SedBC01</c:v>
                  </c:pt>
                  <c:pt idx="1">
                    <c:v>SedBC02</c:v>
                  </c:pt>
                  <c:pt idx="2">
                    <c:v>SedBC03</c:v>
                  </c:pt>
                  <c:pt idx="3">
                    <c:v>SedBC04</c:v>
                  </c:pt>
                  <c:pt idx="4">
                    <c:v>SedBC05</c:v>
                  </c:pt>
                  <c:pt idx="5">
                    <c:v>SedBC06</c:v>
                  </c:pt>
                  <c:pt idx="6">
                    <c:v>SedPel07</c:v>
                  </c:pt>
                  <c:pt idx="7">
                    <c:v>SedPel08</c:v>
                  </c:pt>
                  <c:pt idx="8">
                    <c:v>SedPel09</c:v>
                  </c:pt>
                  <c:pt idx="9">
                    <c:v>SedPel10</c:v>
                  </c:pt>
                  <c:pt idx="10">
                    <c:v>SedPel11</c:v>
                  </c:pt>
                  <c:pt idx="11">
                    <c:v>SedTC12</c:v>
                  </c:pt>
                  <c:pt idx="12">
                    <c:v>SedTC13</c:v>
                  </c:pt>
                  <c:pt idx="13">
                    <c:v>SedTC14</c:v>
                  </c:pt>
                  <c:pt idx="14">
                    <c:v>SedTC15</c:v>
                  </c:pt>
                  <c:pt idx="15">
                    <c:v>SedTC16</c:v>
                  </c:pt>
                  <c:pt idx="16">
                    <c:v>SedTC17</c:v>
                  </c:pt>
                </c:lvl>
                <c:lvl>
                  <c:pt idx="0">
                    <c:v>Bear Creek Transect</c:v>
                  </c:pt>
                  <c:pt idx="6">
                    <c:v>Pelican Point Transect</c:v>
                  </c:pt>
                  <c:pt idx="11">
                    <c:v>Turkey Creek Transect</c:v>
                  </c:pt>
                </c:lvl>
              </c:multiLvlStrCache>
            </c:multiLvlStrRef>
          </c:cat>
          <c:val>
            <c:numRef>
              <c:f>'Grain Size'!$E$4:$E$20</c:f>
              <c:numCache>
                <c:formatCode>0</c:formatCode>
                <c:ptCount val="17"/>
                <c:pt idx="0" formatCode="General">
                  <c:v>6</c:v>
                </c:pt>
                <c:pt idx="1">
                  <c:v>32.867000000000004</c:v>
                </c:pt>
                <c:pt idx="2" formatCode="General">
                  <c:v>28</c:v>
                </c:pt>
                <c:pt idx="3">
                  <c:v>30.76923076923077</c:v>
                </c:pt>
                <c:pt idx="4" formatCode="General">
                  <c:v>18</c:v>
                </c:pt>
                <c:pt idx="5">
                  <c:v>27.151</c:v>
                </c:pt>
                <c:pt idx="6" formatCode="General">
                  <c:v>18</c:v>
                </c:pt>
                <c:pt idx="7" formatCode="General">
                  <c:v>28</c:v>
                </c:pt>
                <c:pt idx="8">
                  <c:v>35.42</c:v>
                </c:pt>
                <c:pt idx="9">
                  <c:v>25.049999999999997</c:v>
                </c:pt>
                <c:pt idx="10" formatCode="General">
                  <c:v>16</c:v>
                </c:pt>
                <c:pt idx="11" formatCode="General">
                  <c:v>24</c:v>
                </c:pt>
                <c:pt idx="12" formatCode="General">
                  <c:v>18</c:v>
                </c:pt>
                <c:pt idx="13">
                  <c:v>28.014000000000003</c:v>
                </c:pt>
                <c:pt idx="14">
                  <c:v>33.4</c:v>
                </c:pt>
                <c:pt idx="15">
                  <c:v>33.880000000000003</c:v>
                </c:pt>
                <c:pt idx="16" formatCode="General">
                  <c:v>28</c:v>
                </c:pt>
              </c:numCache>
            </c:numRef>
          </c:val>
          <c:extLst>
            <c:ext xmlns:c16="http://schemas.microsoft.com/office/drawing/2014/chart" uri="{C3380CC4-5D6E-409C-BE32-E72D297353CC}">
              <c16:uniqueId val="{00000002-5A0E-4B17-BA57-47BD65E7E57B}"/>
            </c:ext>
          </c:extLst>
        </c:ser>
        <c:ser>
          <c:idx val="3"/>
          <c:order val="3"/>
          <c:tx>
            <c:strRef>
              <c:f>'Grain Size'!$F$2</c:f>
              <c:strCache>
                <c:ptCount val="1"/>
                <c:pt idx="0">
                  <c:v>Very Fine Sand</c:v>
                </c:pt>
              </c:strCache>
            </c:strRef>
          </c:tx>
          <c:invertIfNegative val="0"/>
          <c:cat>
            <c:multiLvlStrRef>
              <c:f>'Grain Size'!$A$4:$B$20</c:f>
              <c:multiLvlStrCache>
                <c:ptCount val="17"/>
                <c:lvl>
                  <c:pt idx="0">
                    <c:v>SedBC01</c:v>
                  </c:pt>
                  <c:pt idx="1">
                    <c:v>SedBC02</c:v>
                  </c:pt>
                  <c:pt idx="2">
                    <c:v>SedBC03</c:v>
                  </c:pt>
                  <c:pt idx="3">
                    <c:v>SedBC04</c:v>
                  </c:pt>
                  <c:pt idx="4">
                    <c:v>SedBC05</c:v>
                  </c:pt>
                  <c:pt idx="5">
                    <c:v>SedBC06</c:v>
                  </c:pt>
                  <c:pt idx="6">
                    <c:v>SedPel07</c:v>
                  </c:pt>
                  <c:pt idx="7">
                    <c:v>SedPel08</c:v>
                  </c:pt>
                  <c:pt idx="8">
                    <c:v>SedPel09</c:v>
                  </c:pt>
                  <c:pt idx="9">
                    <c:v>SedPel10</c:v>
                  </c:pt>
                  <c:pt idx="10">
                    <c:v>SedPel11</c:v>
                  </c:pt>
                  <c:pt idx="11">
                    <c:v>SedTC12</c:v>
                  </c:pt>
                  <c:pt idx="12">
                    <c:v>SedTC13</c:v>
                  </c:pt>
                  <c:pt idx="13">
                    <c:v>SedTC14</c:v>
                  </c:pt>
                  <c:pt idx="14">
                    <c:v>SedTC15</c:v>
                  </c:pt>
                  <c:pt idx="15">
                    <c:v>SedTC16</c:v>
                  </c:pt>
                  <c:pt idx="16">
                    <c:v>SedTC17</c:v>
                  </c:pt>
                </c:lvl>
                <c:lvl>
                  <c:pt idx="0">
                    <c:v>Bear Creek Transect</c:v>
                  </c:pt>
                  <c:pt idx="6">
                    <c:v>Pelican Point Transect</c:v>
                  </c:pt>
                  <c:pt idx="11">
                    <c:v>Turkey Creek Transect</c:v>
                  </c:pt>
                </c:lvl>
              </c:multiLvlStrCache>
            </c:multiLvlStrRef>
          </c:cat>
          <c:val>
            <c:numRef>
              <c:f>'Grain Size'!$F$4:$F$20</c:f>
              <c:numCache>
                <c:formatCode>0</c:formatCode>
                <c:ptCount val="17"/>
                <c:pt idx="0" formatCode="General">
                  <c:v>1.5</c:v>
                </c:pt>
                <c:pt idx="1">
                  <c:v>17.148</c:v>
                </c:pt>
                <c:pt idx="2" formatCode="General">
                  <c:v>12</c:v>
                </c:pt>
                <c:pt idx="3">
                  <c:v>18.461538461538463</c:v>
                </c:pt>
                <c:pt idx="4" formatCode="General">
                  <c:v>11</c:v>
                </c:pt>
                <c:pt idx="5">
                  <c:v>17.148</c:v>
                </c:pt>
                <c:pt idx="6" formatCode="General">
                  <c:v>8</c:v>
                </c:pt>
                <c:pt idx="7" formatCode="General">
                  <c:v>14</c:v>
                </c:pt>
                <c:pt idx="8">
                  <c:v>12.32</c:v>
                </c:pt>
                <c:pt idx="9">
                  <c:v>13.36</c:v>
                </c:pt>
                <c:pt idx="10" formatCode="General">
                  <c:v>16</c:v>
                </c:pt>
                <c:pt idx="11" formatCode="General">
                  <c:v>16</c:v>
                </c:pt>
                <c:pt idx="12" formatCode="General">
                  <c:v>11</c:v>
                </c:pt>
                <c:pt idx="13">
                  <c:v>6.67</c:v>
                </c:pt>
                <c:pt idx="14">
                  <c:v>18.369999999999997</c:v>
                </c:pt>
                <c:pt idx="15">
                  <c:v>12.32</c:v>
                </c:pt>
                <c:pt idx="16" formatCode="General">
                  <c:v>14</c:v>
                </c:pt>
              </c:numCache>
            </c:numRef>
          </c:val>
          <c:extLst>
            <c:ext xmlns:c16="http://schemas.microsoft.com/office/drawing/2014/chart" uri="{C3380CC4-5D6E-409C-BE32-E72D297353CC}">
              <c16:uniqueId val="{00000003-5A0E-4B17-BA57-47BD65E7E57B}"/>
            </c:ext>
          </c:extLst>
        </c:ser>
        <c:ser>
          <c:idx val="4"/>
          <c:order val="4"/>
          <c:tx>
            <c:strRef>
              <c:f>'Grain Size'!$G$2</c:f>
              <c:strCache>
                <c:ptCount val="1"/>
                <c:pt idx="0">
                  <c:v>Silt/Clay</c:v>
                </c:pt>
              </c:strCache>
            </c:strRef>
          </c:tx>
          <c:invertIfNegative val="0"/>
          <c:cat>
            <c:multiLvlStrRef>
              <c:f>'Grain Size'!$A$4:$B$20</c:f>
              <c:multiLvlStrCache>
                <c:ptCount val="17"/>
                <c:lvl>
                  <c:pt idx="0">
                    <c:v>SedBC01</c:v>
                  </c:pt>
                  <c:pt idx="1">
                    <c:v>SedBC02</c:v>
                  </c:pt>
                  <c:pt idx="2">
                    <c:v>SedBC03</c:v>
                  </c:pt>
                  <c:pt idx="3">
                    <c:v>SedBC04</c:v>
                  </c:pt>
                  <c:pt idx="4">
                    <c:v>SedBC05</c:v>
                  </c:pt>
                  <c:pt idx="5">
                    <c:v>SedBC06</c:v>
                  </c:pt>
                  <c:pt idx="6">
                    <c:v>SedPel07</c:v>
                  </c:pt>
                  <c:pt idx="7">
                    <c:v>SedPel08</c:v>
                  </c:pt>
                  <c:pt idx="8">
                    <c:v>SedPel09</c:v>
                  </c:pt>
                  <c:pt idx="9">
                    <c:v>SedPel10</c:v>
                  </c:pt>
                  <c:pt idx="10">
                    <c:v>SedPel11</c:v>
                  </c:pt>
                  <c:pt idx="11">
                    <c:v>SedTC12</c:v>
                  </c:pt>
                  <c:pt idx="12">
                    <c:v>SedTC13</c:v>
                  </c:pt>
                  <c:pt idx="13">
                    <c:v>SedTC14</c:v>
                  </c:pt>
                  <c:pt idx="14">
                    <c:v>SedTC15</c:v>
                  </c:pt>
                  <c:pt idx="15">
                    <c:v>SedTC16</c:v>
                  </c:pt>
                  <c:pt idx="16">
                    <c:v>SedTC17</c:v>
                  </c:pt>
                </c:lvl>
                <c:lvl>
                  <c:pt idx="0">
                    <c:v>Bear Creek Transect</c:v>
                  </c:pt>
                  <c:pt idx="6">
                    <c:v>Pelican Point Transect</c:v>
                  </c:pt>
                  <c:pt idx="11">
                    <c:v>Turkey Creek Transect</c:v>
                  </c:pt>
                </c:lvl>
              </c:multiLvlStrCache>
            </c:multiLvlStrRef>
          </c:cat>
          <c:val>
            <c:numRef>
              <c:f>'Grain Size'!$G$4:$G$20</c:f>
              <c:numCache>
                <c:formatCode>0</c:formatCode>
                <c:ptCount val="17"/>
                <c:pt idx="0" formatCode="General">
                  <c:v>1</c:v>
                </c:pt>
                <c:pt idx="1">
                  <c:v>21.435000000000002</c:v>
                </c:pt>
                <c:pt idx="2" formatCode="General">
                  <c:v>36</c:v>
                </c:pt>
                <c:pt idx="3">
                  <c:v>18.461538461538463</c:v>
                </c:pt>
                <c:pt idx="4" formatCode="General">
                  <c:v>21</c:v>
                </c:pt>
                <c:pt idx="5">
                  <c:v>15.719000000000001</c:v>
                </c:pt>
                <c:pt idx="6" formatCode="General">
                  <c:v>12</c:v>
                </c:pt>
                <c:pt idx="7" formatCode="General">
                  <c:v>10</c:v>
                </c:pt>
                <c:pt idx="8">
                  <c:v>23.1</c:v>
                </c:pt>
                <c:pt idx="9">
                  <c:v>18.369999999999997</c:v>
                </c:pt>
                <c:pt idx="10" formatCode="General">
                  <c:v>18</c:v>
                </c:pt>
                <c:pt idx="11" formatCode="General">
                  <c:v>9</c:v>
                </c:pt>
                <c:pt idx="12" formatCode="General">
                  <c:v>19</c:v>
                </c:pt>
                <c:pt idx="13">
                  <c:v>13.34</c:v>
                </c:pt>
                <c:pt idx="14">
                  <c:v>18.369999999999997</c:v>
                </c:pt>
                <c:pt idx="15">
                  <c:v>18.48</c:v>
                </c:pt>
                <c:pt idx="16" formatCode="General">
                  <c:v>18</c:v>
                </c:pt>
              </c:numCache>
            </c:numRef>
          </c:val>
          <c:extLst>
            <c:ext xmlns:c16="http://schemas.microsoft.com/office/drawing/2014/chart" uri="{C3380CC4-5D6E-409C-BE32-E72D297353CC}">
              <c16:uniqueId val="{00000004-5A0E-4B17-BA57-47BD65E7E57B}"/>
            </c:ext>
          </c:extLst>
        </c:ser>
        <c:dLbls>
          <c:showLegendKey val="0"/>
          <c:showVal val="0"/>
          <c:showCatName val="0"/>
          <c:showSerName val="0"/>
          <c:showPercent val="0"/>
          <c:showBubbleSize val="0"/>
        </c:dLbls>
        <c:gapWidth val="150"/>
        <c:overlap val="100"/>
        <c:axId val="139680384"/>
        <c:axId val="139686272"/>
      </c:barChart>
      <c:catAx>
        <c:axId val="139680384"/>
        <c:scaling>
          <c:orientation val="minMax"/>
        </c:scaling>
        <c:delete val="0"/>
        <c:axPos val="l"/>
        <c:numFmt formatCode="General" sourceLinked="0"/>
        <c:majorTickMark val="out"/>
        <c:minorTickMark val="none"/>
        <c:tickLblPos val="nextTo"/>
        <c:crossAx val="139686272"/>
        <c:crosses val="autoZero"/>
        <c:auto val="1"/>
        <c:lblAlgn val="ctr"/>
        <c:lblOffset val="100"/>
        <c:noMultiLvlLbl val="0"/>
      </c:catAx>
      <c:valAx>
        <c:axId val="139686272"/>
        <c:scaling>
          <c:orientation val="minMax"/>
          <c:max val="100"/>
        </c:scaling>
        <c:delete val="0"/>
        <c:axPos val="b"/>
        <c:majorGridlines/>
        <c:title>
          <c:tx>
            <c:rich>
              <a:bodyPr/>
              <a:lstStyle/>
              <a:p>
                <a:pPr>
                  <a:defRPr/>
                </a:pPr>
                <a:r>
                  <a:rPr lang="en-US"/>
                  <a:t>Percentage</a:t>
                </a:r>
              </a:p>
            </c:rich>
          </c:tx>
          <c:overlay val="0"/>
        </c:title>
        <c:numFmt formatCode="General" sourceLinked="1"/>
        <c:majorTickMark val="out"/>
        <c:minorTickMark val="none"/>
        <c:tickLblPos val="nextTo"/>
        <c:crossAx val="139680384"/>
        <c:crosses val="autoZero"/>
        <c:crossBetween val="between"/>
      </c:valAx>
    </c:plotArea>
    <c:legend>
      <c:legendPos val="t"/>
      <c:layout>
        <c:manualLayout>
          <c:xMode val="edge"/>
          <c:yMode val="edge"/>
          <c:x val="0.22373168835381127"/>
          <c:y val="3.7898373760979036E-2"/>
          <c:w val="0.70083647784934089"/>
          <c:h val="5.7134021752192114E-2"/>
        </c:manualLayout>
      </c:layout>
      <c:overlay val="0"/>
    </c:legend>
    <c:plotVisOnly val="1"/>
    <c:dispBlanksAs val="gap"/>
    <c:showDLblsOverMax val="0"/>
  </c:chart>
  <c:printSettings>
    <c:headerFooter/>
    <c:pageMargins b="0.75000000000001144" l="0.70000000000000062" r="0.70000000000000062" t="0.75000000000001144"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571741032371027E-2"/>
          <c:y val="5.1400554097404488E-2"/>
          <c:w val="0.84973381452320651"/>
          <c:h val="0.71729512977544452"/>
        </c:manualLayout>
      </c:layout>
      <c:lineChart>
        <c:grouping val="standard"/>
        <c:varyColors val="0"/>
        <c:ser>
          <c:idx val="0"/>
          <c:order val="0"/>
          <c:tx>
            <c:strRef>
              <c:f>'Rec Use'!$A$4</c:f>
              <c:strCache>
                <c:ptCount val="1"/>
                <c:pt idx="0">
                  <c:v>Walking/ Running </c:v>
                </c:pt>
              </c:strCache>
            </c:strRef>
          </c:tx>
          <c:marker>
            <c:symbol val="none"/>
          </c:marker>
          <c:cat>
            <c:strRef>
              <c:f>'Rec Use'!$B$2:$P$2</c:f>
              <c:strCache>
                <c:ptCount val="15"/>
                <c:pt idx="0">
                  <c:v>Jan</c:v>
                </c:pt>
                <c:pt idx="1">
                  <c:v>Feb</c:v>
                </c:pt>
                <c:pt idx="2">
                  <c:v>Mar</c:v>
                </c:pt>
                <c:pt idx="3">
                  <c:v>Apr</c:v>
                </c:pt>
                <c:pt idx="4">
                  <c:v>May</c:v>
                </c:pt>
                <c:pt idx="5">
                  <c:v>Jun</c:v>
                </c:pt>
                <c:pt idx="6">
                  <c:v>Jul</c:v>
                </c:pt>
                <c:pt idx="7">
                  <c:v>Jul</c:v>
                </c:pt>
                <c:pt idx="8">
                  <c:v>Aug</c:v>
                </c:pt>
                <c:pt idx="9">
                  <c:v>Aug</c:v>
                </c:pt>
                <c:pt idx="10">
                  <c:v>Sep</c:v>
                </c:pt>
                <c:pt idx="11">
                  <c:v>Sep</c:v>
                </c:pt>
                <c:pt idx="12">
                  <c:v>Oct</c:v>
                </c:pt>
                <c:pt idx="13">
                  <c:v>Nov</c:v>
                </c:pt>
                <c:pt idx="14">
                  <c:v>Dec</c:v>
                </c:pt>
              </c:strCache>
            </c:strRef>
          </c:cat>
          <c:val>
            <c:numRef>
              <c:f>'Rec Use'!$B$4:$P$4</c:f>
              <c:numCache>
                <c:formatCode>General</c:formatCode>
                <c:ptCount val="15"/>
                <c:pt idx="0">
                  <c:v>29</c:v>
                </c:pt>
                <c:pt idx="1">
                  <c:v>33</c:v>
                </c:pt>
                <c:pt idx="2">
                  <c:v>27</c:v>
                </c:pt>
                <c:pt idx="3">
                  <c:v>14</c:v>
                </c:pt>
                <c:pt idx="4">
                  <c:v>26</c:v>
                </c:pt>
                <c:pt idx="5">
                  <c:v>29</c:v>
                </c:pt>
                <c:pt idx="6">
                  <c:v>44</c:v>
                </c:pt>
                <c:pt idx="7">
                  <c:v>47</c:v>
                </c:pt>
                <c:pt idx="8">
                  <c:v>4</c:v>
                </c:pt>
                <c:pt idx="9">
                  <c:v>28</c:v>
                </c:pt>
                <c:pt idx="10">
                  <c:v>19</c:v>
                </c:pt>
                <c:pt idx="11">
                  <c:v>28</c:v>
                </c:pt>
                <c:pt idx="12">
                  <c:v>16</c:v>
                </c:pt>
                <c:pt idx="13">
                  <c:v>19</c:v>
                </c:pt>
                <c:pt idx="14">
                  <c:v>34</c:v>
                </c:pt>
              </c:numCache>
            </c:numRef>
          </c:val>
          <c:smooth val="0"/>
          <c:extLst>
            <c:ext xmlns:c16="http://schemas.microsoft.com/office/drawing/2014/chart" uri="{C3380CC4-5D6E-409C-BE32-E72D297353CC}">
              <c16:uniqueId val="{00000000-5E97-4DD9-B059-7FF622166941}"/>
            </c:ext>
          </c:extLst>
        </c:ser>
        <c:ser>
          <c:idx val="1"/>
          <c:order val="1"/>
          <c:tx>
            <c:strRef>
              <c:f>'Rec Use'!$A$7</c:f>
              <c:strCache>
                <c:ptCount val="1"/>
                <c:pt idx="0">
                  <c:v>Bicycle</c:v>
                </c:pt>
              </c:strCache>
            </c:strRef>
          </c:tx>
          <c:marker>
            <c:symbol val="none"/>
          </c:marker>
          <c:cat>
            <c:strRef>
              <c:f>'Rec Use'!$B$2:$P$2</c:f>
              <c:strCache>
                <c:ptCount val="15"/>
                <c:pt idx="0">
                  <c:v>Jan</c:v>
                </c:pt>
                <c:pt idx="1">
                  <c:v>Feb</c:v>
                </c:pt>
                <c:pt idx="2">
                  <c:v>Mar</c:v>
                </c:pt>
                <c:pt idx="3">
                  <c:v>Apr</c:v>
                </c:pt>
                <c:pt idx="4">
                  <c:v>May</c:v>
                </c:pt>
                <c:pt idx="5">
                  <c:v>Jun</c:v>
                </c:pt>
                <c:pt idx="6">
                  <c:v>Jul</c:v>
                </c:pt>
                <c:pt idx="7">
                  <c:v>Jul</c:v>
                </c:pt>
                <c:pt idx="8">
                  <c:v>Aug</c:v>
                </c:pt>
                <c:pt idx="9">
                  <c:v>Aug</c:v>
                </c:pt>
                <c:pt idx="10">
                  <c:v>Sep</c:v>
                </c:pt>
                <c:pt idx="11">
                  <c:v>Sep</c:v>
                </c:pt>
                <c:pt idx="12">
                  <c:v>Oct</c:v>
                </c:pt>
                <c:pt idx="13">
                  <c:v>Nov</c:v>
                </c:pt>
                <c:pt idx="14">
                  <c:v>Dec</c:v>
                </c:pt>
              </c:strCache>
            </c:strRef>
          </c:cat>
          <c:val>
            <c:numRef>
              <c:f>'Rec Use'!$B$7:$P$7</c:f>
              <c:numCache>
                <c:formatCode>General</c:formatCode>
                <c:ptCount val="15"/>
                <c:pt idx="0">
                  <c:v>6</c:v>
                </c:pt>
                <c:pt idx="1">
                  <c:v>11</c:v>
                </c:pt>
                <c:pt idx="2">
                  <c:v>31</c:v>
                </c:pt>
                <c:pt idx="3">
                  <c:v>9</c:v>
                </c:pt>
                <c:pt idx="4">
                  <c:v>57</c:v>
                </c:pt>
                <c:pt idx="5">
                  <c:v>69</c:v>
                </c:pt>
                <c:pt idx="6">
                  <c:v>31</c:v>
                </c:pt>
                <c:pt idx="7">
                  <c:v>47</c:v>
                </c:pt>
                <c:pt idx="8">
                  <c:v>6</c:v>
                </c:pt>
                <c:pt idx="9">
                  <c:v>58</c:v>
                </c:pt>
                <c:pt idx="10">
                  <c:v>50</c:v>
                </c:pt>
                <c:pt idx="11">
                  <c:v>44</c:v>
                </c:pt>
                <c:pt idx="12">
                  <c:v>51</c:v>
                </c:pt>
                <c:pt idx="13">
                  <c:v>8</c:v>
                </c:pt>
                <c:pt idx="14">
                  <c:v>22</c:v>
                </c:pt>
              </c:numCache>
            </c:numRef>
          </c:val>
          <c:smooth val="0"/>
          <c:extLst>
            <c:ext xmlns:c16="http://schemas.microsoft.com/office/drawing/2014/chart" uri="{C3380CC4-5D6E-409C-BE32-E72D297353CC}">
              <c16:uniqueId val="{00000001-5E97-4DD9-B059-7FF622166941}"/>
            </c:ext>
          </c:extLst>
        </c:ser>
        <c:ser>
          <c:idx val="2"/>
          <c:order val="2"/>
          <c:tx>
            <c:strRef>
              <c:f>'Rec Use'!$A$11</c:f>
              <c:strCache>
                <c:ptCount val="1"/>
                <c:pt idx="0">
                  <c:v>Fishing</c:v>
                </c:pt>
              </c:strCache>
            </c:strRef>
          </c:tx>
          <c:marker>
            <c:symbol val="none"/>
          </c:marker>
          <c:cat>
            <c:strRef>
              <c:f>'Rec Use'!$B$2:$P$2</c:f>
              <c:strCache>
                <c:ptCount val="15"/>
                <c:pt idx="0">
                  <c:v>Jan</c:v>
                </c:pt>
                <c:pt idx="1">
                  <c:v>Feb</c:v>
                </c:pt>
                <c:pt idx="2">
                  <c:v>Mar</c:v>
                </c:pt>
                <c:pt idx="3">
                  <c:v>Apr</c:v>
                </c:pt>
                <c:pt idx="4">
                  <c:v>May</c:v>
                </c:pt>
                <c:pt idx="5">
                  <c:v>Jun</c:v>
                </c:pt>
                <c:pt idx="6">
                  <c:v>Jul</c:v>
                </c:pt>
                <c:pt idx="7">
                  <c:v>Jul</c:v>
                </c:pt>
                <c:pt idx="8">
                  <c:v>Aug</c:v>
                </c:pt>
                <c:pt idx="9">
                  <c:v>Aug</c:v>
                </c:pt>
                <c:pt idx="10">
                  <c:v>Sep</c:v>
                </c:pt>
                <c:pt idx="11">
                  <c:v>Sep</c:v>
                </c:pt>
                <c:pt idx="12">
                  <c:v>Oct</c:v>
                </c:pt>
                <c:pt idx="13">
                  <c:v>Nov</c:v>
                </c:pt>
                <c:pt idx="14">
                  <c:v>Dec</c:v>
                </c:pt>
              </c:strCache>
            </c:strRef>
          </c:cat>
          <c:val>
            <c:numRef>
              <c:f>'Rec Use'!$B$11:$P$11</c:f>
              <c:numCache>
                <c:formatCode>General</c:formatCode>
                <c:ptCount val="15"/>
                <c:pt idx="0">
                  <c:v>23</c:v>
                </c:pt>
                <c:pt idx="1">
                  <c:v>17</c:v>
                </c:pt>
                <c:pt idx="2">
                  <c:v>42</c:v>
                </c:pt>
                <c:pt idx="3">
                  <c:v>26</c:v>
                </c:pt>
                <c:pt idx="4">
                  <c:v>37</c:v>
                </c:pt>
                <c:pt idx="5">
                  <c:v>60</c:v>
                </c:pt>
                <c:pt idx="6">
                  <c:v>19</c:v>
                </c:pt>
                <c:pt idx="7">
                  <c:v>27</c:v>
                </c:pt>
                <c:pt idx="8">
                  <c:v>6</c:v>
                </c:pt>
                <c:pt idx="9">
                  <c:v>22</c:v>
                </c:pt>
                <c:pt idx="10">
                  <c:v>28</c:v>
                </c:pt>
                <c:pt idx="11">
                  <c:v>26</c:v>
                </c:pt>
                <c:pt idx="12">
                  <c:v>29</c:v>
                </c:pt>
                <c:pt idx="13">
                  <c:v>24</c:v>
                </c:pt>
                <c:pt idx="14">
                  <c:v>15</c:v>
                </c:pt>
              </c:numCache>
            </c:numRef>
          </c:val>
          <c:smooth val="0"/>
          <c:extLst>
            <c:ext xmlns:c16="http://schemas.microsoft.com/office/drawing/2014/chart" uri="{C3380CC4-5D6E-409C-BE32-E72D297353CC}">
              <c16:uniqueId val="{00000002-5E97-4DD9-B059-7FF622166941}"/>
            </c:ext>
          </c:extLst>
        </c:ser>
        <c:ser>
          <c:idx val="3"/>
          <c:order val="3"/>
          <c:tx>
            <c:strRef>
              <c:f>'Rec Use'!$A$13</c:f>
              <c:strCache>
                <c:ptCount val="1"/>
                <c:pt idx="0">
                  <c:v>Camping</c:v>
                </c:pt>
              </c:strCache>
            </c:strRef>
          </c:tx>
          <c:marker>
            <c:symbol val="none"/>
          </c:marker>
          <c:cat>
            <c:strRef>
              <c:f>'Rec Use'!$B$2:$P$2</c:f>
              <c:strCache>
                <c:ptCount val="15"/>
                <c:pt idx="0">
                  <c:v>Jan</c:v>
                </c:pt>
                <c:pt idx="1">
                  <c:v>Feb</c:v>
                </c:pt>
                <c:pt idx="2">
                  <c:v>Mar</c:v>
                </c:pt>
                <c:pt idx="3">
                  <c:v>Apr</c:v>
                </c:pt>
                <c:pt idx="4">
                  <c:v>May</c:v>
                </c:pt>
                <c:pt idx="5">
                  <c:v>Jun</c:v>
                </c:pt>
                <c:pt idx="6">
                  <c:v>Jul</c:v>
                </c:pt>
                <c:pt idx="7">
                  <c:v>Jul</c:v>
                </c:pt>
                <c:pt idx="8">
                  <c:v>Aug</c:v>
                </c:pt>
                <c:pt idx="9">
                  <c:v>Aug</c:v>
                </c:pt>
                <c:pt idx="10">
                  <c:v>Sep</c:v>
                </c:pt>
                <c:pt idx="11">
                  <c:v>Sep</c:v>
                </c:pt>
                <c:pt idx="12">
                  <c:v>Oct</c:v>
                </c:pt>
                <c:pt idx="13">
                  <c:v>Nov</c:v>
                </c:pt>
                <c:pt idx="14">
                  <c:v>Dec</c:v>
                </c:pt>
              </c:strCache>
            </c:strRef>
          </c:cat>
          <c:val>
            <c:numRef>
              <c:f>'Rec Use'!$B$13:$P$13</c:f>
              <c:numCache>
                <c:formatCode>General</c:formatCode>
                <c:ptCount val="15"/>
                <c:pt idx="0">
                  <c:v>0</c:v>
                </c:pt>
                <c:pt idx="1">
                  <c:v>0</c:v>
                </c:pt>
                <c:pt idx="2">
                  <c:v>0</c:v>
                </c:pt>
                <c:pt idx="3">
                  <c:v>0</c:v>
                </c:pt>
                <c:pt idx="4">
                  <c:v>16</c:v>
                </c:pt>
                <c:pt idx="5">
                  <c:v>30</c:v>
                </c:pt>
                <c:pt idx="6">
                  <c:v>27</c:v>
                </c:pt>
                <c:pt idx="7">
                  <c:v>26</c:v>
                </c:pt>
                <c:pt idx="8">
                  <c:v>16</c:v>
                </c:pt>
                <c:pt idx="9">
                  <c:v>15</c:v>
                </c:pt>
                <c:pt idx="10">
                  <c:v>22</c:v>
                </c:pt>
                <c:pt idx="11">
                  <c:v>14</c:v>
                </c:pt>
                <c:pt idx="12">
                  <c:v>5</c:v>
                </c:pt>
                <c:pt idx="13">
                  <c:v>0</c:v>
                </c:pt>
                <c:pt idx="14">
                  <c:v>0</c:v>
                </c:pt>
              </c:numCache>
            </c:numRef>
          </c:val>
          <c:smooth val="0"/>
          <c:extLst>
            <c:ext xmlns:c16="http://schemas.microsoft.com/office/drawing/2014/chart" uri="{C3380CC4-5D6E-409C-BE32-E72D297353CC}">
              <c16:uniqueId val="{00000003-5E97-4DD9-B059-7FF622166941}"/>
            </c:ext>
          </c:extLst>
        </c:ser>
        <c:ser>
          <c:idx val="4"/>
          <c:order val="4"/>
          <c:tx>
            <c:strRef>
              <c:f>'Rec Use'!$A$14</c:f>
              <c:strCache>
                <c:ptCount val="1"/>
                <c:pt idx="0">
                  <c:v>Beach</c:v>
                </c:pt>
              </c:strCache>
            </c:strRef>
          </c:tx>
          <c:marker>
            <c:symbol val="none"/>
          </c:marker>
          <c:val>
            <c:numRef>
              <c:f>'Rec Use'!$B$14:$P$14</c:f>
              <c:numCache>
                <c:formatCode>General</c:formatCode>
                <c:ptCount val="15"/>
                <c:pt idx="0">
                  <c:v>0</c:v>
                </c:pt>
                <c:pt idx="1">
                  <c:v>0</c:v>
                </c:pt>
                <c:pt idx="2">
                  <c:v>0</c:v>
                </c:pt>
                <c:pt idx="3">
                  <c:v>0</c:v>
                </c:pt>
                <c:pt idx="4">
                  <c:v>4</c:v>
                </c:pt>
                <c:pt idx="5">
                  <c:v>50</c:v>
                </c:pt>
                <c:pt idx="6">
                  <c:v>100</c:v>
                </c:pt>
                <c:pt idx="7">
                  <c:v>110</c:v>
                </c:pt>
                <c:pt idx="8">
                  <c:v>135</c:v>
                </c:pt>
                <c:pt idx="9">
                  <c:v>125</c:v>
                </c:pt>
                <c:pt idx="10">
                  <c:v>2</c:v>
                </c:pt>
                <c:pt idx="11">
                  <c:v>1</c:v>
                </c:pt>
                <c:pt idx="12">
                  <c:v>0</c:v>
                </c:pt>
                <c:pt idx="13">
                  <c:v>0</c:v>
                </c:pt>
                <c:pt idx="14">
                  <c:v>0</c:v>
                </c:pt>
              </c:numCache>
            </c:numRef>
          </c:val>
          <c:smooth val="0"/>
          <c:extLst>
            <c:ext xmlns:c16="http://schemas.microsoft.com/office/drawing/2014/chart" uri="{C3380CC4-5D6E-409C-BE32-E72D297353CC}">
              <c16:uniqueId val="{00000004-5E97-4DD9-B059-7FF622166941}"/>
            </c:ext>
          </c:extLst>
        </c:ser>
        <c:dLbls>
          <c:showLegendKey val="0"/>
          <c:showVal val="0"/>
          <c:showCatName val="0"/>
          <c:showSerName val="0"/>
          <c:showPercent val="0"/>
          <c:showBubbleSize val="0"/>
        </c:dLbls>
        <c:smooth val="0"/>
        <c:axId val="132771200"/>
        <c:axId val="139728000"/>
      </c:lineChart>
      <c:catAx>
        <c:axId val="132771200"/>
        <c:scaling>
          <c:orientation val="minMax"/>
        </c:scaling>
        <c:delete val="0"/>
        <c:axPos val="b"/>
        <c:numFmt formatCode="[$-409]mmm\-yy;@" sourceLinked="0"/>
        <c:majorTickMark val="out"/>
        <c:minorTickMark val="none"/>
        <c:tickLblPos val="nextTo"/>
        <c:crossAx val="139728000"/>
        <c:crosses val="autoZero"/>
        <c:auto val="1"/>
        <c:lblAlgn val="ctr"/>
        <c:lblOffset val="100"/>
        <c:noMultiLvlLbl val="0"/>
      </c:catAx>
      <c:valAx>
        <c:axId val="139728000"/>
        <c:scaling>
          <c:orientation val="minMax"/>
        </c:scaling>
        <c:delete val="0"/>
        <c:axPos val="l"/>
        <c:majorGridlines/>
        <c:numFmt formatCode="General" sourceLinked="1"/>
        <c:majorTickMark val="out"/>
        <c:minorTickMark val="none"/>
        <c:tickLblPos val="nextTo"/>
        <c:crossAx val="132771200"/>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plotArea>
    <c:legend>
      <c:legendPos val="r"/>
      <c:layout>
        <c:manualLayout>
          <c:xMode val="edge"/>
          <c:yMode val="edge"/>
          <c:x val="0.65354227442882595"/>
          <c:y val="5.2618847301621537E-2"/>
          <c:w val="0.29058333333333336"/>
          <c:h val="0.25616506270049577"/>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0999" l="0.70000000000000062" r="0.70000000000000062" t="0.75000000000000999"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Use Estimates for Week-Days 2011</a:t>
            </a:r>
          </a:p>
        </c:rich>
      </c:tx>
      <c:overlay val="1"/>
    </c:title>
    <c:autoTitleDeleted val="0"/>
    <c:plotArea>
      <c:layout>
        <c:manualLayout>
          <c:layoutTarget val="inner"/>
          <c:xMode val="edge"/>
          <c:yMode val="edge"/>
          <c:x val="9.8571741032371027E-2"/>
          <c:y val="0.13399639204391744"/>
          <c:w val="0.86084492563430826"/>
          <c:h val="0.68942559171254036"/>
        </c:manualLayout>
      </c:layout>
      <c:lineChart>
        <c:grouping val="standard"/>
        <c:varyColors val="0"/>
        <c:ser>
          <c:idx val="0"/>
          <c:order val="0"/>
          <c:tx>
            <c:strRef>
              <c:f>'Rec Use'!$S$4</c:f>
              <c:strCache>
                <c:ptCount val="1"/>
                <c:pt idx="0">
                  <c:v>Walking/ Running </c:v>
                </c:pt>
              </c:strCache>
            </c:strRef>
          </c:tx>
          <c:marker>
            <c:symbol val="none"/>
          </c:marker>
          <c:cat>
            <c:strRef>
              <c:f>'Rec Use'!$T$2:$AE$2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'Rec Use'!$T$4:$AE$4</c:f>
              <c:numCache>
                <c:formatCode>General</c:formatCode>
                <c:ptCount val="12"/>
                <c:pt idx="0">
                  <c:v>58</c:v>
                </c:pt>
                <c:pt idx="1">
                  <c:v>66</c:v>
                </c:pt>
                <c:pt idx="2">
                  <c:v>54</c:v>
                </c:pt>
                <c:pt idx="3">
                  <c:v>28</c:v>
                </c:pt>
                <c:pt idx="4">
                  <c:v>52</c:v>
                </c:pt>
                <c:pt idx="5">
                  <c:v>58</c:v>
                </c:pt>
                <c:pt idx="6">
                  <c:v>91</c:v>
                </c:pt>
                <c:pt idx="7">
                  <c:v>32</c:v>
                </c:pt>
                <c:pt idx="8">
                  <c:v>47</c:v>
                </c:pt>
                <c:pt idx="9">
                  <c:v>32</c:v>
                </c:pt>
                <c:pt idx="10">
                  <c:v>38</c:v>
                </c:pt>
                <c:pt idx="11">
                  <c:v>68</c:v>
                </c:pt>
              </c:numCache>
            </c:numRef>
          </c:val>
          <c:smooth val="0"/>
          <c:extLst>
            <c:ext xmlns:c16="http://schemas.microsoft.com/office/drawing/2014/chart" uri="{C3380CC4-5D6E-409C-BE32-E72D297353CC}">
              <c16:uniqueId val="{00000000-E0A9-4945-9223-07F075A12616}"/>
            </c:ext>
          </c:extLst>
        </c:ser>
        <c:ser>
          <c:idx val="1"/>
          <c:order val="1"/>
          <c:tx>
            <c:strRef>
              <c:f>'Rec Use'!$S$7</c:f>
              <c:strCache>
                <c:ptCount val="1"/>
                <c:pt idx="0">
                  <c:v>Bicycle</c:v>
                </c:pt>
              </c:strCache>
            </c:strRef>
          </c:tx>
          <c:marker>
            <c:symbol val="none"/>
          </c:marker>
          <c:val>
            <c:numRef>
              <c:f>'Rec Use'!$T$7:$AE$7</c:f>
              <c:numCache>
                <c:formatCode>General</c:formatCode>
                <c:ptCount val="12"/>
                <c:pt idx="0">
                  <c:v>12</c:v>
                </c:pt>
                <c:pt idx="1">
                  <c:v>22</c:v>
                </c:pt>
                <c:pt idx="2">
                  <c:v>62</c:v>
                </c:pt>
                <c:pt idx="3">
                  <c:v>18</c:v>
                </c:pt>
                <c:pt idx="4">
                  <c:v>114</c:v>
                </c:pt>
                <c:pt idx="5">
                  <c:v>138</c:v>
                </c:pt>
                <c:pt idx="6">
                  <c:v>78</c:v>
                </c:pt>
                <c:pt idx="7">
                  <c:v>64</c:v>
                </c:pt>
                <c:pt idx="8">
                  <c:v>94</c:v>
                </c:pt>
                <c:pt idx="9">
                  <c:v>102</c:v>
                </c:pt>
                <c:pt idx="10">
                  <c:v>16</c:v>
                </c:pt>
                <c:pt idx="11">
                  <c:v>44</c:v>
                </c:pt>
              </c:numCache>
            </c:numRef>
          </c:val>
          <c:smooth val="0"/>
          <c:extLst>
            <c:ext xmlns:c16="http://schemas.microsoft.com/office/drawing/2014/chart" uri="{C3380CC4-5D6E-409C-BE32-E72D297353CC}">
              <c16:uniqueId val="{00000001-E0A9-4945-9223-07F075A12616}"/>
            </c:ext>
          </c:extLst>
        </c:ser>
        <c:ser>
          <c:idx val="2"/>
          <c:order val="2"/>
          <c:tx>
            <c:strRef>
              <c:f>'Rec Use'!$S$11</c:f>
              <c:strCache>
                <c:ptCount val="1"/>
                <c:pt idx="0">
                  <c:v>Fishing</c:v>
                </c:pt>
              </c:strCache>
            </c:strRef>
          </c:tx>
          <c:marker>
            <c:symbol val="none"/>
          </c:marker>
          <c:val>
            <c:numRef>
              <c:f>'Rec Use'!$T$11:$AE$11</c:f>
              <c:numCache>
                <c:formatCode>General</c:formatCode>
                <c:ptCount val="12"/>
                <c:pt idx="0">
                  <c:v>46</c:v>
                </c:pt>
                <c:pt idx="1">
                  <c:v>34</c:v>
                </c:pt>
                <c:pt idx="2">
                  <c:v>84</c:v>
                </c:pt>
                <c:pt idx="3">
                  <c:v>52</c:v>
                </c:pt>
                <c:pt idx="4">
                  <c:v>74</c:v>
                </c:pt>
                <c:pt idx="5">
                  <c:v>120</c:v>
                </c:pt>
                <c:pt idx="6">
                  <c:v>46</c:v>
                </c:pt>
                <c:pt idx="7">
                  <c:v>28</c:v>
                </c:pt>
                <c:pt idx="8">
                  <c:v>54</c:v>
                </c:pt>
                <c:pt idx="9">
                  <c:v>58</c:v>
                </c:pt>
                <c:pt idx="10">
                  <c:v>48</c:v>
                </c:pt>
                <c:pt idx="11">
                  <c:v>30</c:v>
                </c:pt>
              </c:numCache>
            </c:numRef>
          </c:val>
          <c:smooth val="0"/>
          <c:extLst>
            <c:ext xmlns:c16="http://schemas.microsoft.com/office/drawing/2014/chart" uri="{C3380CC4-5D6E-409C-BE32-E72D297353CC}">
              <c16:uniqueId val="{00000002-E0A9-4945-9223-07F075A12616}"/>
            </c:ext>
          </c:extLst>
        </c:ser>
        <c:dLbls>
          <c:showLegendKey val="0"/>
          <c:showVal val="0"/>
          <c:showCatName val="0"/>
          <c:showSerName val="0"/>
          <c:showPercent val="0"/>
          <c:showBubbleSize val="0"/>
        </c:dLbls>
        <c:smooth val="0"/>
        <c:axId val="139749248"/>
        <c:axId val="139750784"/>
      </c:lineChart>
      <c:catAx>
        <c:axId val="139749248"/>
        <c:scaling>
          <c:orientation val="minMax"/>
        </c:scaling>
        <c:delete val="0"/>
        <c:axPos val="b"/>
        <c:numFmt formatCode="General" sourceLinked="0"/>
        <c:majorTickMark val="out"/>
        <c:minorTickMark val="none"/>
        <c:tickLblPos val="nextTo"/>
        <c:crossAx val="139750784"/>
        <c:crosses val="autoZero"/>
        <c:auto val="1"/>
        <c:lblAlgn val="ctr"/>
        <c:lblOffset val="100"/>
        <c:noMultiLvlLbl val="0"/>
      </c:catAx>
      <c:valAx>
        <c:axId val="139750784"/>
        <c:scaling>
          <c:orientation val="minMax"/>
        </c:scaling>
        <c:delete val="0"/>
        <c:axPos val="l"/>
        <c:majorGridlines/>
        <c:numFmt formatCode="General" sourceLinked="1"/>
        <c:majorTickMark val="out"/>
        <c:minorTickMark val="none"/>
        <c:tickLblPos val="nextTo"/>
        <c:crossAx val="139749248"/>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lotArea>
    <c:legend>
      <c:legendPos val="r"/>
      <c:layout>
        <c:manualLayout>
          <c:xMode val="edge"/>
          <c:yMode val="edge"/>
          <c:x val="0.70992172166162515"/>
          <c:y val="0.12787663219893475"/>
          <c:w val="0.24757260181187024"/>
          <c:h val="0.18238338423917441"/>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999" l="0.70000000000000062" r="0.70000000000000062" t="0.75000000000000999" header="0.30000000000000032" footer="0.30000000000000032"/>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Transition Water Quality July 2010</a:t>
            </a:r>
          </a:p>
        </c:rich>
      </c:tx>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title>
    <c:autoTitleDeleted val="0"/>
    <c:plotArea>
      <c:layout/>
      <c:lineChart>
        <c:grouping val="standard"/>
        <c:varyColors val="0"/>
        <c:ser>
          <c:idx val="0"/>
          <c:order val="0"/>
          <c:tx>
            <c:strRef>
              <c:f>Transition!$F$3</c:f>
              <c:strCache>
                <c:ptCount val="1"/>
                <c:pt idx="0">
                  <c:v>Temperature (c)</c:v>
                </c:pt>
              </c:strCache>
            </c:strRef>
          </c:tx>
          <c:marker>
            <c:symbol val="none"/>
          </c:marker>
          <c:cat>
            <c:strRef>
              <c:f>Transition!$B$4:$B$16</c:f>
              <c:strCache>
                <c:ptCount val="13"/>
                <c:pt idx="0">
                  <c:v>Summit Lake </c:v>
                </c:pt>
                <c:pt idx="1">
                  <c:v>Below Summit Lake </c:v>
                </c:pt>
                <c:pt idx="2">
                  <c:v>Bear Tracks</c:v>
                </c:pt>
                <c:pt idx="3">
                  <c:v>Singin' River Ranch </c:v>
                </c:pt>
                <c:pt idx="4">
                  <c:v>Above Evergreen Lake </c:v>
                </c:pt>
                <c:pt idx="5">
                  <c:v>Downtown Evergreen</c:v>
                </c:pt>
                <c:pt idx="6">
                  <c:v>Bear Creek Cabins </c:v>
                </c:pt>
                <c:pt idx="7">
                  <c:v>O'Fallon Park</c:v>
                </c:pt>
                <c:pt idx="8">
                  <c:v>Lair o' the Bear</c:v>
                </c:pt>
                <c:pt idx="9">
                  <c:v>Idledale</c:v>
                </c:pt>
                <c:pt idx="10">
                  <c:v>Morrison </c:v>
                </c:pt>
                <c:pt idx="11">
                  <c:v>Bear Creek Park</c:v>
                </c:pt>
                <c:pt idx="12">
                  <c:v>Below Reservoir</c:v>
                </c:pt>
              </c:strCache>
            </c:strRef>
          </c:cat>
          <c:val>
            <c:numRef>
              <c:f>Transition!$F$4:$F$16</c:f>
              <c:numCache>
                <c:formatCode>General</c:formatCode>
                <c:ptCount val="13"/>
                <c:pt idx="0">
                  <c:v>7.9</c:v>
                </c:pt>
                <c:pt idx="1">
                  <c:v>7.9</c:v>
                </c:pt>
                <c:pt idx="2">
                  <c:v>10.38</c:v>
                </c:pt>
                <c:pt idx="3">
                  <c:v>8.9</c:v>
                </c:pt>
                <c:pt idx="4">
                  <c:v>11.4</c:v>
                </c:pt>
                <c:pt idx="5">
                  <c:v>14.8</c:v>
                </c:pt>
                <c:pt idx="6">
                  <c:v>15.2</c:v>
                </c:pt>
                <c:pt idx="7">
                  <c:v>15.3</c:v>
                </c:pt>
                <c:pt idx="8">
                  <c:v>15.2</c:v>
                </c:pt>
                <c:pt idx="9">
                  <c:v>15.2</c:v>
                </c:pt>
                <c:pt idx="10">
                  <c:v>15.2</c:v>
                </c:pt>
                <c:pt idx="11">
                  <c:v>16.87</c:v>
                </c:pt>
                <c:pt idx="12">
                  <c:v>22.48</c:v>
                </c:pt>
              </c:numCache>
            </c:numRef>
          </c:val>
          <c:smooth val="0"/>
          <c:extLst>
            <c:ext xmlns:c16="http://schemas.microsoft.com/office/drawing/2014/chart" uri="{C3380CC4-5D6E-409C-BE32-E72D297353CC}">
              <c16:uniqueId val="{00000000-D6B3-4ED2-8A3E-6E955D56B852}"/>
            </c:ext>
          </c:extLst>
        </c:ser>
        <c:ser>
          <c:idx val="1"/>
          <c:order val="1"/>
          <c:tx>
            <c:strRef>
              <c:f>Transition!$G$3</c:f>
              <c:strCache>
                <c:ptCount val="1"/>
                <c:pt idx="0">
                  <c:v>pH</c:v>
                </c:pt>
              </c:strCache>
            </c:strRef>
          </c:tx>
          <c:marker>
            <c:symbol val="none"/>
          </c:marker>
          <c:val>
            <c:numRef>
              <c:f>Transition!$G$4:$G$16</c:f>
              <c:numCache>
                <c:formatCode>General</c:formatCode>
                <c:ptCount val="13"/>
                <c:pt idx="0">
                  <c:v>8.43</c:v>
                </c:pt>
                <c:pt idx="1">
                  <c:v>9.0399999999999991</c:v>
                </c:pt>
                <c:pt idx="2">
                  <c:v>6.1</c:v>
                </c:pt>
                <c:pt idx="3">
                  <c:v>7.99</c:v>
                </c:pt>
                <c:pt idx="4">
                  <c:v>8.18</c:v>
                </c:pt>
                <c:pt idx="5">
                  <c:v>8.16</c:v>
                </c:pt>
                <c:pt idx="6">
                  <c:v>8.1300000000000008</c:v>
                </c:pt>
                <c:pt idx="7">
                  <c:v>8.17</c:v>
                </c:pt>
                <c:pt idx="8">
                  <c:v>8.39</c:v>
                </c:pt>
                <c:pt idx="9">
                  <c:v>8.35</c:v>
                </c:pt>
                <c:pt idx="10">
                  <c:v>8.2799999999999994</c:v>
                </c:pt>
                <c:pt idx="11">
                  <c:v>8.1199999999999992</c:v>
                </c:pt>
                <c:pt idx="12">
                  <c:v>8.5399999999999991</c:v>
                </c:pt>
              </c:numCache>
            </c:numRef>
          </c:val>
          <c:smooth val="0"/>
          <c:extLst>
            <c:ext xmlns:c16="http://schemas.microsoft.com/office/drawing/2014/chart" uri="{C3380CC4-5D6E-409C-BE32-E72D297353CC}">
              <c16:uniqueId val="{00000001-D6B3-4ED2-8A3E-6E955D56B852}"/>
            </c:ext>
          </c:extLst>
        </c:ser>
        <c:ser>
          <c:idx val="2"/>
          <c:order val="2"/>
          <c:tx>
            <c:strRef>
              <c:f>Transition!$D$3</c:f>
              <c:strCache>
                <c:ptCount val="1"/>
                <c:pt idx="0">
                  <c:v>Dissolved Oxygen (mg/l)</c:v>
                </c:pt>
              </c:strCache>
            </c:strRef>
          </c:tx>
          <c:marker>
            <c:symbol val="none"/>
          </c:marker>
          <c:val>
            <c:numRef>
              <c:f>Transition!$D$4:$D$16</c:f>
              <c:numCache>
                <c:formatCode>General</c:formatCode>
                <c:ptCount val="13"/>
                <c:pt idx="0">
                  <c:v>7.46</c:v>
                </c:pt>
                <c:pt idx="1">
                  <c:v>7.64</c:v>
                </c:pt>
                <c:pt idx="2">
                  <c:v>8.7200000000000006</c:v>
                </c:pt>
                <c:pt idx="3">
                  <c:v>11.41</c:v>
                </c:pt>
                <c:pt idx="4">
                  <c:v>10.74</c:v>
                </c:pt>
                <c:pt idx="5">
                  <c:v>9.7799999999999994</c:v>
                </c:pt>
                <c:pt idx="6">
                  <c:v>9.69</c:v>
                </c:pt>
                <c:pt idx="7">
                  <c:v>9.5399999999999991</c:v>
                </c:pt>
                <c:pt idx="8">
                  <c:v>9.7899999999999991</c:v>
                </c:pt>
                <c:pt idx="9">
                  <c:v>9.73</c:v>
                </c:pt>
                <c:pt idx="10">
                  <c:v>9.84</c:v>
                </c:pt>
                <c:pt idx="11">
                  <c:v>7.96</c:v>
                </c:pt>
                <c:pt idx="12">
                  <c:v>7.71</c:v>
                </c:pt>
              </c:numCache>
            </c:numRef>
          </c:val>
          <c:smooth val="0"/>
          <c:extLst>
            <c:ext xmlns:c16="http://schemas.microsoft.com/office/drawing/2014/chart" uri="{C3380CC4-5D6E-409C-BE32-E72D297353CC}">
              <c16:uniqueId val="{00000002-D6B3-4ED2-8A3E-6E955D56B852}"/>
            </c:ext>
          </c:extLst>
        </c:ser>
        <c:dLbls>
          <c:showLegendKey val="0"/>
          <c:showVal val="0"/>
          <c:showCatName val="0"/>
          <c:showSerName val="0"/>
          <c:showPercent val="0"/>
          <c:showBubbleSize val="0"/>
        </c:dLbls>
        <c:smooth val="0"/>
        <c:axId val="143337728"/>
        <c:axId val="143343616"/>
      </c:lineChart>
      <c:catAx>
        <c:axId val="143337728"/>
        <c:scaling>
          <c:orientation val="minMax"/>
        </c:scaling>
        <c:delete val="0"/>
        <c:axPos val="b"/>
        <c:numFmt formatCode="General" sourceLinked="0"/>
        <c:majorTickMark val="none"/>
        <c:minorTickMark val="none"/>
        <c:tickLblPos val="nextTo"/>
        <c:crossAx val="143343616"/>
        <c:crosses val="autoZero"/>
        <c:auto val="1"/>
        <c:lblAlgn val="ctr"/>
        <c:lblOffset val="100"/>
        <c:noMultiLvlLbl val="0"/>
      </c:catAx>
      <c:valAx>
        <c:axId val="143343616"/>
        <c:scaling>
          <c:orientation val="minMax"/>
        </c:scaling>
        <c:delete val="0"/>
        <c:axPos val="l"/>
        <c:majorGridlines/>
        <c:minorGridlines/>
        <c:numFmt formatCode="General" sourceLinked="1"/>
        <c:majorTickMark val="none"/>
        <c:minorTickMark val="none"/>
        <c:tickLblPos val="nextTo"/>
        <c:spPr>
          <a:ln w="9525">
            <a:noFill/>
          </a:ln>
        </c:spPr>
        <c:crossAx val="143337728"/>
        <c:crosses val="autoZero"/>
        <c:crossBetween val="between"/>
      </c:valAx>
    </c:plotArea>
    <c:legend>
      <c:legendPos val="b"/>
      <c:layout>
        <c:manualLayout>
          <c:xMode val="edge"/>
          <c:yMode val="edge"/>
          <c:x val="0.14782269559020444"/>
          <c:y val="0.92538800676774857"/>
          <c:w val="0.71263253724079856"/>
          <c:h val="5.3950836207457505E-2"/>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txPr>
        <a:bodyPr/>
        <a:lstStyle/>
        <a:p>
          <a:pPr>
            <a:defRPr sz="800"/>
          </a:pPr>
          <a:endParaRPr lang="en-US"/>
        </a:p>
      </c:txPr>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Transition Water Quality July 2010</a:t>
            </a:r>
          </a:p>
        </c:rich>
      </c:tx>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title>
    <c:autoTitleDeleted val="0"/>
    <c:plotArea>
      <c:layout/>
      <c:lineChart>
        <c:grouping val="standard"/>
        <c:varyColors val="0"/>
        <c:ser>
          <c:idx val="0"/>
          <c:order val="0"/>
          <c:tx>
            <c:strRef>
              <c:f>Transition!$C$3</c:f>
              <c:strCache>
                <c:ptCount val="1"/>
                <c:pt idx="0">
                  <c:v>Flow (cfs)</c:v>
                </c:pt>
              </c:strCache>
            </c:strRef>
          </c:tx>
          <c:marker>
            <c:symbol val="none"/>
          </c:marker>
          <c:cat>
            <c:strRef>
              <c:f>Transition!$B$4:$B$16</c:f>
              <c:strCache>
                <c:ptCount val="13"/>
                <c:pt idx="0">
                  <c:v>Summit Lake </c:v>
                </c:pt>
                <c:pt idx="1">
                  <c:v>Below Summit Lake </c:v>
                </c:pt>
                <c:pt idx="2">
                  <c:v>Bear Tracks</c:v>
                </c:pt>
                <c:pt idx="3">
                  <c:v>Singin' River Ranch </c:v>
                </c:pt>
                <c:pt idx="4">
                  <c:v>Above Evergreen Lake </c:v>
                </c:pt>
                <c:pt idx="5">
                  <c:v>Downtown Evergreen</c:v>
                </c:pt>
                <c:pt idx="6">
                  <c:v>Bear Creek Cabins </c:v>
                </c:pt>
                <c:pt idx="7">
                  <c:v>O'Fallon Park</c:v>
                </c:pt>
                <c:pt idx="8">
                  <c:v>Lair o' the Bear</c:v>
                </c:pt>
                <c:pt idx="9">
                  <c:v>Idledale</c:v>
                </c:pt>
                <c:pt idx="10">
                  <c:v>Morrison </c:v>
                </c:pt>
                <c:pt idx="11">
                  <c:v>Bear Creek Park</c:v>
                </c:pt>
                <c:pt idx="12">
                  <c:v>Below Reservoir</c:v>
                </c:pt>
              </c:strCache>
            </c:strRef>
          </c:cat>
          <c:val>
            <c:numRef>
              <c:f>Transition!$C$4:$C$16</c:f>
              <c:numCache>
                <c:formatCode>General</c:formatCode>
                <c:ptCount val="13"/>
                <c:pt idx="0">
                  <c:v>3</c:v>
                </c:pt>
                <c:pt idx="1">
                  <c:v>3.1</c:v>
                </c:pt>
                <c:pt idx="2">
                  <c:v>17.600000000000001</c:v>
                </c:pt>
                <c:pt idx="3">
                  <c:v>39.299999999999997</c:v>
                </c:pt>
                <c:pt idx="4">
                  <c:v>49.5</c:v>
                </c:pt>
                <c:pt idx="5">
                  <c:v>62.2</c:v>
                </c:pt>
                <c:pt idx="6">
                  <c:v>63</c:v>
                </c:pt>
                <c:pt idx="7">
                  <c:v>52.4</c:v>
                </c:pt>
                <c:pt idx="8">
                  <c:v>63</c:v>
                </c:pt>
                <c:pt idx="9">
                  <c:v>74.099999999999994</c:v>
                </c:pt>
                <c:pt idx="10">
                  <c:v>67.8</c:v>
                </c:pt>
                <c:pt idx="11">
                  <c:v>22.2</c:v>
                </c:pt>
                <c:pt idx="12">
                  <c:v>24.2</c:v>
                </c:pt>
              </c:numCache>
            </c:numRef>
          </c:val>
          <c:smooth val="0"/>
          <c:extLst>
            <c:ext xmlns:c16="http://schemas.microsoft.com/office/drawing/2014/chart" uri="{C3380CC4-5D6E-409C-BE32-E72D297353CC}">
              <c16:uniqueId val="{00000000-EA78-40C6-A145-C5995C73AB7A}"/>
            </c:ext>
          </c:extLst>
        </c:ser>
        <c:ser>
          <c:idx val="1"/>
          <c:order val="1"/>
          <c:tx>
            <c:strRef>
              <c:f>Transition!$K$3</c:f>
              <c:strCache>
                <c:ptCount val="1"/>
                <c:pt idx="0">
                  <c:v>Total Phosphorus (ug/l)</c:v>
                </c:pt>
              </c:strCache>
            </c:strRef>
          </c:tx>
          <c:marker>
            <c:symbol val="none"/>
          </c:marker>
          <c:val>
            <c:numRef>
              <c:f>Transition!$K$4:$K$16</c:f>
              <c:numCache>
                <c:formatCode>General</c:formatCode>
                <c:ptCount val="13"/>
                <c:pt idx="0">
                  <c:v>17</c:v>
                </c:pt>
                <c:pt idx="1">
                  <c:v>10</c:v>
                </c:pt>
                <c:pt idx="2">
                  <c:v>7</c:v>
                </c:pt>
                <c:pt idx="3">
                  <c:v>8</c:v>
                </c:pt>
                <c:pt idx="4">
                  <c:v>11</c:v>
                </c:pt>
                <c:pt idx="5">
                  <c:v>14</c:v>
                </c:pt>
                <c:pt idx="6">
                  <c:v>24</c:v>
                </c:pt>
                <c:pt idx="7">
                  <c:v>19</c:v>
                </c:pt>
                <c:pt idx="8">
                  <c:v>32</c:v>
                </c:pt>
                <c:pt idx="9">
                  <c:v>13</c:v>
                </c:pt>
                <c:pt idx="10">
                  <c:v>21</c:v>
                </c:pt>
                <c:pt idx="11">
                  <c:v>37</c:v>
                </c:pt>
                <c:pt idx="12">
                  <c:v>20</c:v>
                </c:pt>
              </c:numCache>
            </c:numRef>
          </c:val>
          <c:smooth val="0"/>
          <c:extLst>
            <c:ext xmlns:c16="http://schemas.microsoft.com/office/drawing/2014/chart" uri="{C3380CC4-5D6E-409C-BE32-E72D297353CC}">
              <c16:uniqueId val="{00000001-EA78-40C6-A145-C5995C73AB7A}"/>
            </c:ext>
          </c:extLst>
        </c:ser>
        <c:dLbls>
          <c:showLegendKey val="0"/>
          <c:showVal val="0"/>
          <c:showCatName val="0"/>
          <c:showSerName val="0"/>
          <c:showPercent val="0"/>
          <c:showBubbleSize val="0"/>
        </c:dLbls>
        <c:smooth val="0"/>
        <c:axId val="143363072"/>
        <c:axId val="143368960"/>
      </c:lineChart>
      <c:catAx>
        <c:axId val="143363072"/>
        <c:scaling>
          <c:orientation val="minMax"/>
        </c:scaling>
        <c:delete val="0"/>
        <c:axPos val="b"/>
        <c:numFmt formatCode="General" sourceLinked="0"/>
        <c:majorTickMark val="none"/>
        <c:minorTickMark val="none"/>
        <c:tickLblPos val="nextTo"/>
        <c:crossAx val="143368960"/>
        <c:crosses val="autoZero"/>
        <c:auto val="1"/>
        <c:lblAlgn val="ctr"/>
        <c:lblOffset val="100"/>
        <c:noMultiLvlLbl val="0"/>
      </c:catAx>
      <c:valAx>
        <c:axId val="143368960"/>
        <c:scaling>
          <c:orientation val="minMax"/>
        </c:scaling>
        <c:delete val="0"/>
        <c:axPos val="l"/>
        <c:majorGridlines/>
        <c:minorGridlines/>
        <c:numFmt formatCode="General" sourceLinked="1"/>
        <c:majorTickMark val="none"/>
        <c:minorTickMark val="none"/>
        <c:tickLblPos val="nextTo"/>
        <c:spPr>
          <a:ln w="9525">
            <a:noFill/>
          </a:ln>
        </c:spPr>
        <c:crossAx val="143363072"/>
        <c:crosses val="autoZero"/>
        <c:crossBetween val="between"/>
      </c:valAx>
    </c:plotArea>
    <c:legend>
      <c:legendPos val="b"/>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Transition Water Quality July 2010</a:t>
            </a:r>
          </a:p>
        </c:rich>
      </c:tx>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title>
    <c:autoTitleDeleted val="0"/>
    <c:plotArea>
      <c:layout/>
      <c:lineChart>
        <c:grouping val="standard"/>
        <c:varyColors val="0"/>
        <c:ser>
          <c:idx val="0"/>
          <c:order val="0"/>
          <c:tx>
            <c:strRef>
              <c:f>Transition!$I$3</c:f>
              <c:strCache>
                <c:ptCount val="1"/>
                <c:pt idx="0">
                  <c:v>Nitrate-Nitrogen (ug/l)</c:v>
                </c:pt>
              </c:strCache>
            </c:strRef>
          </c:tx>
          <c:marker>
            <c:symbol val="none"/>
          </c:marker>
          <c:cat>
            <c:strRef>
              <c:f>Transition!$B$4:$B$16</c:f>
              <c:strCache>
                <c:ptCount val="13"/>
                <c:pt idx="0">
                  <c:v>Summit Lake </c:v>
                </c:pt>
                <c:pt idx="1">
                  <c:v>Below Summit Lake </c:v>
                </c:pt>
                <c:pt idx="2">
                  <c:v>Bear Tracks</c:v>
                </c:pt>
                <c:pt idx="3">
                  <c:v>Singin' River Ranch </c:v>
                </c:pt>
                <c:pt idx="4">
                  <c:v>Above Evergreen Lake </c:v>
                </c:pt>
                <c:pt idx="5">
                  <c:v>Downtown Evergreen</c:v>
                </c:pt>
                <c:pt idx="6">
                  <c:v>Bear Creek Cabins </c:v>
                </c:pt>
                <c:pt idx="7">
                  <c:v>O'Fallon Park</c:v>
                </c:pt>
                <c:pt idx="8">
                  <c:v>Lair o' the Bear</c:v>
                </c:pt>
                <c:pt idx="9">
                  <c:v>Idledale</c:v>
                </c:pt>
                <c:pt idx="10">
                  <c:v>Morrison </c:v>
                </c:pt>
                <c:pt idx="11">
                  <c:v>Bear Creek Park</c:v>
                </c:pt>
                <c:pt idx="12">
                  <c:v>Below Reservoir</c:v>
                </c:pt>
              </c:strCache>
            </c:strRef>
          </c:cat>
          <c:val>
            <c:numRef>
              <c:f>Transition!$I$4:$I$16</c:f>
              <c:numCache>
                <c:formatCode>General</c:formatCode>
                <c:ptCount val="13"/>
                <c:pt idx="0">
                  <c:v>3</c:v>
                </c:pt>
                <c:pt idx="1">
                  <c:v>24</c:v>
                </c:pt>
                <c:pt idx="2">
                  <c:v>57</c:v>
                </c:pt>
                <c:pt idx="3">
                  <c:v>38</c:v>
                </c:pt>
                <c:pt idx="4">
                  <c:v>23</c:v>
                </c:pt>
                <c:pt idx="5">
                  <c:v>19</c:v>
                </c:pt>
                <c:pt idx="6">
                  <c:v>61</c:v>
                </c:pt>
                <c:pt idx="7">
                  <c:v>121</c:v>
                </c:pt>
                <c:pt idx="8">
                  <c:v>201</c:v>
                </c:pt>
                <c:pt idx="9">
                  <c:v>208</c:v>
                </c:pt>
                <c:pt idx="10">
                  <c:v>168</c:v>
                </c:pt>
                <c:pt idx="11">
                  <c:v>599</c:v>
                </c:pt>
                <c:pt idx="12">
                  <c:v>224</c:v>
                </c:pt>
              </c:numCache>
            </c:numRef>
          </c:val>
          <c:smooth val="0"/>
          <c:extLst>
            <c:ext xmlns:c16="http://schemas.microsoft.com/office/drawing/2014/chart" uri="{C3380CC4-5D6E-409C-BE32-E72D297353CC}">
              <c16:uniqueId val="{00000000-BE4E-48F2-B0AF-9C3196336CD4}"/>
            </c:ext>
          </c:extLst>
        </c:ser>
        <c:ser>
          <c:idx val="1"/>
          <c:order val="1"/>
          <c:tx>
            <c:strRef>
              <c:f>Transition!$H$3</c:f>
              <c:strCache>
                <c:ptCount val="1"/>
                <c:pt idx="0">
                  <c:v>Total Nitrogen (ug/l)</c:v>
                </c:pt>
              </c:strCache>
            </c:strRef>
          </c:tx>
          <c:marker>
            <c:symbol val="none"/>
          </c:marker>
          <c:cat>
            <c:strRef>
              <c:f>Transition!$B$4:$B$16</c:f>
              <c:strCache>
                <c:ptCount val="13"/>
                <c:pt idx="0">
                  <c:v>Summit Lake </c:v>
                </c:pt>
                <c:pt idx="1">
                  <c:v>Below Summit Lake </c:v>
                </c:pt>
                <c:pt idx="2">
                  <c:v>Bear Tracks</c:v>
                </c:pt>
                <c:pt idx="3">
                  <c:v>Singin' River Ranch </c:v>
                </c:pt>
                <c:pt idx="4">
                  <c:v>Above Evergreen Lake </c:v>
                </c:pt>
                <c:pt idx="5">
                  <c:v>Downtown Evergreen</c:v>
                </c:pt>
                <c:pt idx="6">
                  <c:v>Bear Creek Cabins </c:v>
                </c:pt>
                <c:pt idx="7">
                  <c:v>O'Fallon Park</c:v>
                </c:pt>
                <c:pt idx="8">
                  <c:v>Lair o' the Bear</c:v>
                </c:pt>
                <c:pt idx="9">
                  <c:v>Idledale</c:v>
                </c:pt>
                <c:pt idx="10">
                  <c:v>Morrison </c:v>
                </c:pt>
                <c:pt idx="11">
                  <c:v>Bear Creek Park</c:v>
                </c:pt>
                <c:pt idx="12">
                  <c:v>Below Reservoir</c:v>
                </c:pt>
              </c:strCache>
            </c:strRef>
          </c:cat>
          <c:val>
            <c:numRef>
              <c:f>Transition!$H$4:$H$16</c:f>
              <c:numCache>
                <c:formatCode>General</c:formatCode>
                <c:ptCount val="13"/>
                <c:pt idx="0">
                  <c:v>237</c:v>
                </c:pt>
                <c:pt idx="1">
                  <c:v>211</c:v>
                </c:pt>
                <c:pt idx="2">
                  <c:v>169</c:v>
                </c:pt>
                <c:pt idx="11">
                  <c:v>932</c:v>
                </c:pt>
                <c:pt idx="12">
                  <c:v>568</c:v>
                </c:pt>
              </c:numCache>
            </c:numRef>
          </c:val>
          <c:smooth val="0"/>
          <c:extLst>
            <c:ext xmlns:c16="http://schemas.microsoft.com/office/drawing/2014/chart" uri="{C3380CC4-5D6E-409C-BE32-E72D297353CC}">
              <c16:uniqueId val="{00000001-BE4E-48F2-B0AF-9C3196336CD4}"/>
            </c:ext>
          </c:extLst>
        </c:ser>
        <c:dLbls>
          <c:showLegendKey val="0"/>
          <c:showVal val="0"/>
          <c:showCatName val="0"/>
          <c:showSerName val="0"/>
          <c:showPercent val="0"/>
          <c:showBubbleSize val="0"/>
        </c:dLbls>
        <c:smooth val="0"/>
        <c:axId val="140121216"/>
        <c:axId val="140122752"/>
      </c:lineChart>
      <c:catAx>
        <c:axId val="140121216"/>
        <c:scaling>
          <c:orientation val="minMax"/>
        </c:scaling>
        <c:delete val="0"/>
        <c:axPos val="b"/>
        <c:numFmt formatCode="General" sourceLinked="0"/>
        <c:majorTickMark val="none"/>
        <c:minorTickMark val="none"/>
        <c:tickLblPos val="nextTo"/>
        <c:crossAx val="140122752"/>
        <c:crosses val="autoZero"/>
        <c:auto val="1"/>
        <c:lblAlgn val="ctr"/>
        <c:lblOffset val="100"/>
        <c:noMultiLvlLbl val="0"/>
      </c:catAx>
      <c:valAx>
        <c:axId val="140122752"/>
        <c:scaling>
          <c:orientation val="minMax"/>
        </c:scaling>
        <c:delete val="0"/>
        <c:axPos val="l"/>
        <c:majorGridlines/>
        <c:minorGridlines/>
        <c:numFmt formatCode="General" sourceLinked="1"/>
        <c:majorTickMark val="none"/>
        <c:minorTickMark val="none"/>
        <c:tickLblPos val="nextTo"/>
        <c:spPr>
          <a:ln w="9525">
            <a:noFill/>
          </a:ln>
        </c:spPr>
        <c:crossAx val="140121216"/>
        <c:crosses val="autoZero"/>
        <c:crossBetween val="between"/>
      </c:valAx>
    </c:plotArea>
    <c:legend>
      <c:legendPos val="b"/>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Transition Water Quality July 2010</a:t>
            </a:r>
          </a:p>
        </c:rich>
      </c:tx>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title>
    <c:autoTitleDeleted val="0"/>
    <c:plotArea>
      <c:layout/>
      <c:lineChart>
        <c:grouping val="standard"/>
        <c:varyColors val="0"/>
        <c:ser>
          <c:idx val="0"/>
          <c:order val="0"/>
          <c:tx>
            <c:strRef>
              <c:f>Transition!$E$3</c:f>
              <c:strCache>
                <c:ptCount val="1"/>
                <c:pt idx="0">
                  <c:v>Specific Conductance (ms)</c:v>
                </c:pt>
              </c:strCache>
            </c:strRef>
          </c:tx>
          <c:marker>
            <c:symbol val="none"/>
          </c:marker>
          <c:cat>
            <c:strRef>
              <c:f>Transition!$B$4:$B$16</c:f>
              <c:strCache>
                <c:ptCount val="13"/>
                <c:pt idx="0">
                  <c:v>Summit Lake </c:v>
                </c:pt>
                <c:pt idx="1">
                  <c:v>Below Summit Lake </c:v>
                </c:pt>
                <c:pt idx="2">
                  <c:v>Bear Tracks</c:v>
                </c:pt>
                <c:pt idx="3">
                  <c:v>Singin' River Ranch </c:v>
                </c:pt>
                <c:pt idx="4">
                  <c:v>Above Evergreen Lake </c:v>
                </c:pt>
                <c:pt idx="5">
                  <c:v>Downtown Evergreen</c:v>
                </c:pt>
                <c:pt idx="6">
                  <c:v>Bear Creek Cabins </c:v>
                </c:pt>
                <c:pt idx="7">
                  <c:v>O'Fallon Park</c:v>
                </c:pt>
                <c:pt idx="8">
                  <c:v>Lair o' the Bear</c:v>
                </c:pt>
                <c:pt idx="9">
                  <c:v>Idledale</c:v>
                </c:pt>
                <c:pt idx="10">
                  <c:v>Morrison </c:v>
                </c:pt>
                <c:pt idx="11">
                  <c:v>Bear Creek Park</c:v>
                </c:pt>
                <c:pt idx="12">
                  <c:v>Below Reservoir</c:v>
                </c:pt>
              </c:strCache>
            </c:strRef>
          </c:cat>
          <c:val>
            <c:numRef>
              <c:f>Transition!$E$4:$E$16</c:f>
              <c:numCache>
                <c:formatCode>General</c:formatCode>
                <c:ptCount val="13"/>
                <c:pt idx="0">
                  <c:v>0.02</c:v>
                </c:pt>
                <c:pt idx="1">
                  <c:v>0.02</c:v>
                </c:pt>
                <c:pt idx="2">
                  <c:v>3.6999999999999998E-2</c:v>
                </c:pt>
                <c:pt idx="3">
                  <c:v>4.3999999999999997E-2</c:v>
                </c:pt>
                <c:pt idx="4">
                  <c:v>6.8000000000000005E-2</c:v>
                </c:pt>
                <c:pt idx="5">
                  <c:v>8.1000000000000003E-2</c:v>
                </c:pt>
                <c:pt idx="6">
                  <c:v>9.0999999999999998E-2</c:v>
                </c:pt>
                <c:pt idx="7">
                  <c:v>0.121</c:v>
                </c:pt>
                <c:pt idx="8">
                  <c:v>0.14599999999999999</c:v>
                </c:pt>
                <c:pt idx="9">
                  <c:v>0.153</c:v>
                </c:pt>
                <c:pt idx="10">
                  <c:v>0.14499999999999999</c:v>
                </c:pt>
                <c:pt idx="11">
                  <c:v>0.247</c:v>
                </c:pt>
                <c:pt idx="12">
                  <c:v>0.29299999999999998</c:v>
                </c:pt>
              </c:numCache>
            </c:numRef>
          </c:val>
          <c:smooth val="0"/>
          <c:extLst>
            <c:ext xmlns:c16="http://schemas.microsoft.com/office/drawing/2014/chart" uri="{C3380CC4-5D6E-409C-BE32-E72D297353CC}">
              <c16:uniqueId val="{00000000-A791-4CDE-8CB3-8C70F74B7AE8}"/>
            </c:ext>
          </c:extLst>
        </c:ser>
        <c:dLbls>
          <c:showLegendKey val="0"/>
          <c:showVal val="0"/>
          <c:showCatName val="0"/>
          <c:showSerName val="0"/>
          <c:showPercent val="0"/>
          <c:showBubbleSize val="0"/>
        </c:dLbls>
        <c:smooth val="0"/>
        <c:axId val="140146944"/>
        <c:axId val="140161024"/>
      </c:lineChart>
      <c:catAx>
        <c:axId val="140146944"/>
        <c:scaling>
          <c:orientation val="minMax"/>
        </c:scaling>
        <c:delete val="0"/>
        <c:axPos val="b"/>
        <c:numFmt formatCode="General" sourceLinked="0"/>
        <c:majorTickMark val="none"/>
        <c:minorTickMark val="none"/>
        <c:tickLblPos val="nextTo"/>
        <c:crossAx val="140161024"/>
        <c:crosses val="autoZero"/>
        <c:auto val="1"/>
        <c:lblAlgn val="ctr"/>
        <c:lblOffset val="100"/>
        <c:noMultiLvlLbl val="0"/>
      </c:catAx>
      <c:valAx>
        <c:axId val="140161024"/>
        <c:scaling>
          <c:orientation val="minMax"/>
        </c:scaling>
        <c:delete val="0"/>
        <c:axPos val="l"/>
        <c:majorGridlines/>
        <c:numFmt formatCode="General" sourceLinked="1"/>
        <c:majorTickMark val="none"/>
        <c:minorTickMark val="none"/>
        <c:tickLblPos val="nextTo"/>
        <c:spPr>
          <a:ln w="9525">
            <a:noFill/>
          </a:ln>
        </c:spPr>
        <c:crossAx val="140146944"/>
        <c:crosses val="autoZero"/>
        <c:crossBetween val="between"/>
      </c:valAx>
    </c:plotArea>
    <c:legend>
      <c:legendPos val="b"/>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611" l="0.70000000000000062" r="0.70000000000000062" t="0.750000000000006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Bear Creek Watershed - Total Phosphorus Trends 
</a:t>
            </a:r>
          </a:p>
        </c:rich>
      </c:tx>
      <c:layout>
        <c:manualLayout>
          <c:xMode val="edge"/>
          <c:yMode val="edge"/>
          <c:x val="0.19651347068145841"/>
          <c:y val="3.4482758620689655E-2"/>
        </c:manualLayout>
      </c:layout>
      <c:overlay val="0"/>
      <c:spPr>
        <a:noFill/>
        <a:ln w="25400">
          <a:noFill/>
        </a:ln>
      </c:spPr>
    </c:title>
    <c:autoTitleDeleted val="0"/>
    <c:plotArea>
      <c:layout>
        <c:manualLayout>
          <c:layoutTarget val="inner"/>
          <c:xMode val="edge"/>
          <c:yMode val="edge"/>
          <c:x val="8.8748087692594582E-2"/>
          <c:y val="0.1285268424992079"/>
          <c:w val="0.9033287497281951"/>
          <c:h val="0.74608264670271851"/>
        </c:manualLayout>
      </c:layout>
      <c:barChart>
        <c:barDir val="col"/>
        <c:grouping val="clustered"/>
        <c:varyColors val="0"/>
        <c:ser>
          <c:idx val="0"/>
          <c:order val="0"/>
          <c:tx>
            <c:strRef>
              <c:f>'Phosphorus Trends'!$E$3</c:f>
              <c:strCache>
                <c:ptCount val="1"/>
                <c:pt idx="0">
                  <c:v>Bear Creek Inflow</c:v>
                </c:pt>
              </c:strCache>
            </c:strRef>
          </c:tx>
          <c:spPr>
            <a:solidFill>
              <a:srgbClr val="9999FF"/>
            </a:solidFill>
            <a:ln w="12700">
              <a:solidFill>
                <a:srgbClr val="000000"/>
              </a:solidFill>
              <a:prstDash val="solid"/>
            </a:ln>
          </c:spPr>
          <c:invertIfNegative val="0"/>
          <c:cat>
            <c:numRef>
              <c:f>'Phosphorus Trends'!$F$3:$F$22</c:f>
              <c:numCache>
                <c:formatCode>General</c:formatCode>
                <c:ptCount val="2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numCache>
            </c:numRef>
          </c:cat>
          <c:val>
            <c:numRef>
              <c:f>'Phosphorus Trends'!$G$3:$G$22</c:f>
              <c:numCache>
                <c:formatCode>0</c:formatCode>
                <c:ptCount val="20"/>
                <c:pt idx="0">
                  <c:v>334</c:v>
                </c:pt>
                <c:pt idx="1">
                  <c:v>267</c:v>
                </c:pt>
                <c:pt idx="2">
                  <c:v>277</c:v>
                </c:pt>
                <c:pt idx="3">
                  <c:v>216</c:v>
                </c:pt>
                <c:pt idx="4">
                  <c:v>122</c:v>
                </c:pt>
                <c:pt idx="5">
                  <c:v>73</c:v>
                </c:pt>
                <c:pt idx="6">
                  <c:v>58.5</c:v>
                </c:pt>
                <c:pt idx="7">
                  <c:v>63.093039493995008</c:v>
                </c:pt>
                <c:pt idx="8">
                  <c:v>40.799999999999997</c:v>
                </c:pt>
                <c:pt idx="9">
                  <c:v>38</c:v>
                </c:pt>
                <c:pt idx="10">
                  <c:v>37</c:v>
                </c:pt>
                <c:pt idx="11">
                  <c:v>22</c:v>
                </c:pt>
                <c:pt idx="12">
                  <c:v>137.30000000000001</c:v>
                </c:pt>
                <c:pt idx="13">
                  <c:v>113.3</c:v>
                </c:pt>
                <c:pt idx="14">
                  <c:v>34.1</c:v>
                </c:pt>
                <c:pt idx="15">
                  <c:v>44</c:v>
                </c:pt>
                <c:pt idx="16">
                  <c:v>21.3</c:v>
                </c:pt>
                <c:pt idx="17">
                  <c:v>41</c:v>
                </c:pt>
                <c:pt idx="18">
                  <c:v>37.700000000000003</c:v>
                </c:pt>
                <c:pt idx="19">
                  <c:v>19.100000000000001</c:v>
                </c:pt>
              </c:numCache>
            </c:numRef>
          </c:val>
          <c:extLst>
            <c:ext xmlns:c16="http://schemas.microsoft.com/office/drawing/2014/chart" uri="{C3380CC4-5D6E-409C-BE32-E72D297353CC}">
              <c16:uniqueId val="{00000000-C9F1-48EF-9B9A-F19BD7BD76A3}"/>
            </c:ext>
          </c:extLst>
        </c:ser>
        <c:ser>
          <c:idx val="1"/>
          <c:order val="1"/>
          <c:tx>
            <c:strRef>
              <c:f>'Phosphorus Trends'!$E$46</c:f>
              <c:strCache>
                <c:ptCount val="1"/>
                <c:pt idx="0">
                  <c:v>Turkey Creek Inflow</c:v>
                </c:pt>
              </c:strCache>
            </c:strRef>
          </c:tx>
          <c:spPr>
            <a:solidFill>
              <a:srgbClr val="993366"/>
            </a:solidFill>
            <a:ln w="12700">
              <a:solidFill>
                <a:srgbClr val="000000"/>
              </a:solidFill>
              <a:prstDash val="solid"/>
            </a:ln>
          </c:spPr>
          <c:invertIfNegative val="0"/>
          <c:cat>
            <c:numRef>
              <c:f>'Phosphorus Trends'!$F$3:$F$19</c:f>
              <c:numCache>
                <c:formatCode>General</c:formatCode>
                <c:ptCount val="1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numCache>
            </c:numRef>
          </c:cat>
          <c:val>
            <c:numRef>
              <c:f>'Phosphorus Trends'!$G$46:$G$64</c:f>
              <c:numCache>
                <c:formatCode>0</c:formatCode>
                <c:ptCount val="19"/>
                <c:pt idx="0" formatCode="General">
                  <c:v>537</c:v>
                </c:pt>
                <c:pt idx="1">
                  <c:v>383</c:v>
                </c:pt>
                <c:pt idx="2">
                  <c:v>362</c:v>
                </c:pt>
                <c:pt idx="3">
                  <c:v>269</c:v>
                </c:pt>
                <c:pt idx="4">
                  <c:v>91</c:v>
                </c:pt>
                <c:pt idx="5">
                  <c:v>47</c:v>
                </c:pt>
                <c:pt idx="6">
                  <c:v>16.0625</c:v>
                </c:pt>
                <c:pt idx="7" formatCode="0.0_)">
                  <c:v>80</c:v>
                </c:pt>
                <c:pt idx="8" formatCode="0.0_)">
                  <c:v>33</c:v>
                </c:pt>
                <c:pt idx="9" formatCode="0.0_)">
                  <c:v>47</c:v>
                </c:pt>
                <c:pt idx="10" formatCode="0.0_)">
                  <c:v>19</c:v>
                </c:pt>
                <c:pt idx="11" formatCode="0.0_)">
                  <c:v>22</c:v>
                </c:pt>
                <c:pt idx="12" formatCode="0.0_)">
                  <c:v>14.9</c:v>
                </c:pt>
                <c:pt idx="13" formatCode="0.0_)">
                  <c:v>22.6</c:v>
                </c:pt>
                <c:pt idx="14" formatCode="0.0_)">
                  <c:v>21.7</c:v>
                </c:pt>
                <c:pt idx="15" formatCode="0.0_)">
                  <c:v>23</c:v>
                </c:pt>
                <c:pt idx="16" formatCode="0.0_)">
                  <c:v>7.6</c:v>
                </c:pt>
                <c:pt idx="17" formatCode="0.0_)">
                  <c:v>23</c:v>
                </c:pt>
                <c:pt idx="18" formatCode="0.0_)">
                  <c:v>14.8</c:v>
                </c:pt>
              </c:numCache>
            </c:numRef>
          </c:val>
          <c:extLst>
            <c:ext xmlns:c16="http://schemas.microsoft.com/office/drawing/2014/chart" uri="{C3380CC4-5D6E-409C-BE32-E72D297353CC}">
              <c16:uniqueId val="{00000001-C9F1-48EF-9B9A-F19BD7BD76A3}"/>
            </c:ext>
          </c:extLst>
        </c:ser>
        <c:dLbls>
          <c:showLegendKey val="0"/>
          <c:showVal val="0"/>
          <c:showCatName val="0"/>
          <c:showSerName val="0"/>
          <c:showPercent val="0"/>
          <c:showBubbleSize val="0"/>
        </c:dLbls>
        <c:gapWidth val="150"/>
        <c:axId val="97417856"/>
        <c:axId val="97419648"/>
      </c:barChart>
      <c:catAx>
        <c:axId val="97417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97419648"/>
        <c:crosses val="autoZero"/>
        <c:auto val="1"/>
        <c:lblAlgn val="ctr"/>
        <c:lblOffset val="100"/>
        <c:tickLblSkip val="1"/>
        <c:tickMarkSkip val="1"/>
        <c:noMultiLvlLbl val="0"/>
      </c:catAx>
      <c:valAx>
        <c:axId val="97419648"/>
        <c:scaling>
          <c:orientation val="minMax"/>
        </c:scaling>
        <c:delete val="0"/>
        <c:axPos val="l"/>
        <c:majorGridlines>
          <c:spPr>
            <a:ln w="3175">
              <a:solidFill>
                <a:srgbClr val="000000"/>
              </a:solidFill>
              <a:prstDash val="solid"/>
            </a:ln>
          </c:spPr>
        </c:majorGridlines>
        <c:minorGridlines/>
        <c:title>
          <c:tx>
            <c:rich>
              <a:bodyPr/>
              <a:lstStyle/>
              <a:p>
                <a:pPr>
                  <a:defRPr sz="1150" b="1" i="0" u="none" strike="noStrike" baseline="0">
                    <a:solidFill>
                      <a:srgbClr val="000000"/>
                    </a:solidFill>
                    <a:latin typeface="Arial"/>
                    <a:ea typeface="Arial"/>
                    <a:cs typeface="Arial"/>
                  </a:defRPr>
                </a:pPr>
                <a:r>
                  <a:rPr lang="en-US"/>
                  <a:t>Total Phosphorus [ug/l]</a:t>
                </a:r>
              </a:p>
            </c:rich>
          </c:tx>
          <c:layout>
            <c:manualLayout>
              <c:xMode val="edge"/>
              <c:yMode val="edge"/>
              <c:x val="7.9239302694136312E-3"/>
              <c:y val="0.2351100469808045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97417856"/>
        <c:crosses val="autoZero"/>
        <c:crossBetween val="between"/>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legend>
      <c:legendPos val="r"/>
      <c:layout>
        <c:manualLayout>
          <c:xMode val="edge"/>
          <c:yMode val="edge"/>
          <c:x val="0.41732749333435626"/>
          <c:y val="0.13585509048211244"/>
          <c:w val="0.22345499997920226"/>
          <c:h val="0.14360961458765023"/>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25400">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July 24-30 Temperature MWAT Segment 1e</a:t>
            </a:r>
          </a:p>
        </c:rich>
      </c:tx>
      <c:layout>
        <c:manualLayout>
          <c:xMode val="edge"/>
          <c:yMode val="edge"/>
          <c:x val="0.21804895161051729"/>
          <c:y val="4.1666666666666664E-2"/>
        </c:manualLayout>
      </c:layout>
      <c:overlay val="0"/>
    </c:title>
    <c:autoTitleDeleted val="0"/>
    <c:plotArea>
      <c:layout>
        <c:manualLayout>
          <c:layoutTarget val="inner"/>
          <c:xMode val="edge"/>
          <c:yMode val="edge"/>
          <c:x val="0.2490727004535061"/>
          <c:y val="0.19480351414406533"/>
          <c:w val="0.75092729954649795"/>
          <c:h val="0.6387230242053108"/>
        </c:manualLayout>
      </c:layout>
      <c:barChart>
        <c:barDir val="col"/>
        <c:grouping val="clustered"/>
        <c:varyColors val="0"/>
        <c:ser>
          <c:idx val="0"/>
          <c:order val="0"/>
          <c:tx>
            <c:strRef>
              <c:f>'Temp 2010'!$D$1:$E$1</c:f>
              <c:strCache>
                <c:ptCount val="1"/>
                <c:pt idx="0">
                  <c:v>19.3°C MWAT</c:v>
                </c:pt>
              </c:strCache>
            </c:strRef>
          </c:tx>
          <c:invertIfNegative val="0"/>
          <c:trendline>
            <c:trendlineType val="linear"/>
            <c:dispRSqr val="0"/>
            <c:dispEq val="0"/>
          </c:trendline>
          <c:cat>
            <c:strRef>
              <c:f>'Temp 2010'!$D$3:$D$8</c:f>
              <c:strCache>
                <c:ptCount val="6"/>
                <c:pt idx="0">
                  <c:v>5</c:v>
                </c:pt>
                <c:pt idx="1">
                  <c:v>8a</c:v>
                </c:pt>
                <c:pt idx="2">
                  <c:v>9</c:v>
                </c:pt>
                <c:pt idx="3">
                  <c:v>12</c:v>
                </c:pt>
                <c:pt idx="4">
                  <c:v>13a</c:v>
                </c:pt>
                <c:pt idx="5">
                  <c:v>14</c:v>
                </c:pt>
              </c:strCache>
            </c:strRef>
          </c:cat>
          <c:val>
            <c:numRef>
              <c:f>'Temp 2010'!$E$3:$E$8</c:f>
              <c:numCache>
                <c:formatCode>General</c:formatCode>
                <c:ptCount val="6"/>
                <c:pt idx="0">
                  <c:v>19.7</c:v>
                </c:pt>
                <c:pt idx="1">
                  <c:v>19.3</c:v>
                </c:pt>
                <c:pt idx="2">
                  <c:v>19.399999999999999</c:v>
                </c:pt>
                <c:pt idx="3">
                  <c:v>19.100000000000001</c:v>
                </c:pt>
                <c:pt idx="4">
                  <c:v>19.2</c:v>
                </c:pt>
                <c:pt idx="5">
                  <c:v>19.2</c:v>
                </c:pt>
              </c:numCache>
            </c:numRef>
          </c:val>
          <c:extLst>
            <c:ext xmlns:c16="http://schemas.microsoft.com/office/drawing/2014/chart" uri="{C3380CC4-5D6E-409C-BE32-E72D297353CC}">
              <c16:uniqueId val="{00000001-2AF5-4B09-8993-3D800F8FD795}"/>
            </c:ext>
          </c:extLst>
        </c:ser>
        <c:dLbls>
          <c:showLegendKey val="0"/>
          <c:showVal val="0"/>
          <c:showCatName val="0"/>
          <c:showSerName val="0"/>
          <c:showPercent val="0"/>
          <c:showBubbleSize val="0"/>
        </c:dLbls>
        <c:gapWidth val="150"/>
        <c:axId val="138560640"/>
        <c:axId val="138562176"/>
      </c:barChart>
      <c:catAx>
        <c:axId val="138560640"/>
        <c:scaling>
          <c:orientation val="minMax"/>
        </c:scaling>
        <c:delete val="0"/>
        <c:axPos val="b"/>
        <c:numFmt formatCode="General" sourceLinked="0"/>
        <c:majorTickMark val="none"/>
        <c:minorTickMark val="none"/>
        <c:tickLblPos val="nextTo"/>
        <c:crossAx val="138562176"/>
        <c:crosses val="autoZero"/>
        <c:auto val="1"/>
        <c:lblAlgn val="ctr"/>
        <c:lblOffset val="100"/>
        <c:noMultiLvlLbl val="0"/>
      </c:catAx>
      <c:valAx>
        <c:axId val="138562176"/>
        <c:scaling>
          <c:orientation val="minMax"/>
        </c:scaling>
        <c:delete val="0"/>
        <c:axPos val="l"/>
        <c:majorGridlines/>
        <c:title>
          <c:tx>
            <c:rich>
              <a:bodyPr/>
              <a:lstStyle/>
              <a:p>
                <a:pPr>
                  <a:defRPr/>
                </a:pPr>
                <a:r>
                  <a:rPr lang="en-US"/>
                  <a:t>Temperature C</a:t>
                </a:r>
              </a:p>
            </c:rich>
          </c:tx>
          <c:overlay val="0"/>
        </c:title>
        <c:numFmt formatCode="General" sourceLinked="1"/>
        <c:majorTickMark val="none"/>
        <c:minorTickMark val="none"/>
        <c:tickLblPos val="nextTo"/>
        <c:crossAx val="138560640"/>
        <c:crosses val="autoZero"/>
        <c:crossBetween val="between"/>
      </c:valAx>
      <c:dTable>
        <c:showHorzBorder val="1"/>
        <c:showVertBorder val="1"/>
        <c:showOutline val="1"/>
        <c:showKeys val="1"/>
      </c:dTable>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0289" l="0.70000000000000062" r="0.70000000000000062" t="0.75000000000000289"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Air Temperature (F) Trend Evergreen Colorado</a:t>
            </a:r>
          </a:p>
        </c:rich>
      </c:tx>
      <c:overlay val="0"/>
    </c:title>
    <c:autoTitleDeleted val="0"/>
    <c:plotArea>
      <c:layout/>
      <c:lineChart>
        <c:grouping val="standard"/>
        <c:varyColors val="0"/>
        <c:ser>
          <c:idx val="0"/>
          <c:order val="0"/>
          <c:tx>
            <c:strRef>
              <c:f>'Temp 2010'!$AD$63:$AE$63</c:f>
              <c:strCache>
                <c:ptCount val="1"/>
                <c:pt idx="0">
                  <c:v>JUL</c:v>
                </c:pt>
              </c:strCache>
            </c:strRef>
          </c:tx>
          <c:marker>
            <c:symbol val="none"/>
          </c:marker>
          <c:trendline>
            <c:trendlineType val="linear"/>
            <c:dispRSqr val="0"/>
            <c:dispEq val="0"/>
          </c:trendline>
          <c:cat>
            <c:numRef>
              <c:f>'Temp 2010'!$Q$64:$Q$113</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'Temp 2010'!$AD$64:$AD$114</c:f>
              <c:numCache>
                <c:formatCode>General</c:formatCode>
                <c:ptCount val="51"/>
                <c:pt idx="0">
                  <c:v>80.900000000000006</c:v>
                </c:pt>
                <c:pt idx="1">
                  <c:v>86.77</c:v>
                </c:pt>
                <c:pt idx="2">
                  <c:v>85.1</c:v>
                </c:pt>
                <c:pt idx="3">
                  <c:v>84.03</c:v>
                </c:pt>
                <c:pt idx="4">
                  <c:v>79.52</c:v>
                </c:pt>
                <c:pt idx="5">
                  <c:v>85.23</c:v>
                </c:pt>
                <c:pt idx="6">
                  <c:v>79.06</c:v>
                </c:pt>
                <c:pt idx="7">
                  <c:v>79.58</c:v>
                </c:pt>
                <c:pt idx="8">
                  <c:v>81.87</c:v>
                </c:pt>
                <c:pt idx="9">
                  <c:v>81.19</c:v>
                </c:pt>
                <c:pt idx="10">
                  <c:v>79.55</c:v>
                </c:pt>
                <c:pt idx="11">
                  <c:v>82.45</c:v>
                </c:pt>
                <c:pt idx="12">
                  <c:v>78</c:v>
                </c:pt>
                <c:pt idx="13">
                  <c:v>82.42</c:v>
                </c:pt>
                <c:pt idx="14">
                  <c:v>80.45</c:v>
                </c:pt>
                <c:pt idx="15">
                  <c:v>81.13</c:v>
                </c:pt>
                <c:pt idx="16">
                  <c:v>81</c:v>
                </c:pt>
                <c:pt idx="17">
                  <c:v>82.29</c:v>
                </c:pt>
                <c:pt idx="18">
                  <c:v>81.55</c:v>
                </c:pt>
                <c:pt idx="19">
                  <c:v>82.61</c:v>
                </c:pt>
                <c:pt idx="20">
                  <c:v>79.73</c:v>
                </c:pt>
                <c:pt idx="21">
                  <c:v>79.33</c:v>
                </c:pt>
                <c:pt idx="22">
                  <c:v>81</c:v>
                </c:pt>
                <c:pt idx="23">
                  <c:v>81.319999999999993</c:v>
                </c:pt>
                <c:pt idx="24">
                  <c:v>78.739999999999995</c:v>
                </c:pt>
                <c:pt idx="25">
                  <c:v>79.709999999999994</c:v>
                </c:pt>
                <c:pt idx="26">
                  <c:v>82.27</c:v>
                </c:pt>
                <c:pt idx="27">
                  <c:v>81.19</c:v>
                </c:pt>
                <c:pt idx="28">
                  <c:v>81.84</c:v>
                </c:pt>
                <c:pt idx="29">
                  <c:v>76.099999999999994</c:v>
                </c:pt>
                <c:pt idx="30">
                  <c:v>78.58</c:v>
                </c:pt>
                <c:pt idx="31">
                  <c:v>76.97</c:v>
                </c:pt>
                <c:pt idx="32">
                  <c:v>79.349999999999994</c:v>
                </c:pt>
                <c:pt idx="33">
                  <c:v>80.97</c:v>
                </c:pt>
                <c:pt idx="34">
                  <c:v>81.23</c:v>
                </c:pt>
                <c:pt idx="35">
                  <c:v>82.03</c:v>
                </c:pt>
                <c:pt idx="36">
                  <c:v>81.45</c:v>
                </c:pt>
                <c:pt idx="37">
                  <c:v>82.1</c:v>
                </c:pt>
                <c:pt idx="38">
                  <c:v>83.42</c:v>
                </c:pt>
                <c:pt idx="39">
                  <c:v>86.06</c:v>
                </c:pt>
                <c:pt idx="40">
                  <c:v>85.74</c:v>
                </c:pt>
                <c:pt idx="41">
                  <c:v>87.52</c:v>
                </c:pt>
                <c:pt idx="42">
                  <c:v>88.26</c:v>
                </c:pt>
                <c:pt idx="43">
                  <c:v>77.87</c:v>
                </c:pt>
                <c:pt idx="44">
                  <c:v>85.45</c:v>
                </c:pt>
                <c:pt idx="45">
                  <c:v>82</c:v>
                </c:pt>
                <c:pt idx="46">
                  <c:v>83</c:v>
                </c:pt>
                <c:pt idx="47">
                  <c:v>84</c:v>
                </c:pt>
                <c:pt idx="48">
                  <c:v>78</c:v>
                </c:pt>
                <c:pt idx="49">
                  <c:v>82</c:v>
                </c:pt>
                <c:pt idx="50" formatCode="0.00">
                  <c:v>85.478999999999999</c:v>
                </c:pt>
              </c:numCache>
            </c:numRef>
          </c:val>
          <c:smooth val="0"/>
          <c:extLst>
            <c:ext xmlns:c16="http://schemas.microsoft.com/office/drawing/2014/chart" uri="{C3380CC4-5D6E-409C-BE32-E72D297353CC}">
              <c16:uniqueId val="{00000001-95D5-4FE8-912D-933739369478}"/>
            </c:ext>
          </c:extLst>
        </c:ser>
        <c:ser>
          <c:idx val="1"/>
          <c:order val="1"/>
          <c:tx>
            <c:strRef>
              <c:f>'Temp 2010'!$AF$63:$AG$63</c:f>
              <c:strCache>
                <c:ptCount val="1"/>
                <c:pt idx="0">
                  <c:v>AUG</c:v>
                </c:pt>
              </c:strCache>
            </c:strRef>
          </c:tx>
          <c:marker>
            <c:symbol val="none"/>
          </c:marker>
          <c:trendline>
            <c:trendlineType val="linear"/>
            <c:dispRSqr val="0"/>
            <c:dispEq val="0"/>
          </c:trendline>
          <c:val>
            <c:numRef>
              <c:f>'Temp 2010'!$AF$64:$AF$113</c:f>
              <c:numCache>
                <c:formatCode>General</c:formatCode>
                <c:ptCount val="50"/>
                <c:pt idx="0">
                  <c:v>78.42</c:v>
                </c:pt>
                <c:pt idx="2">
                  <c:v>78.39</c:v>
                </c:pt>
                <c:pt idx="3">
                  <c:v>78.55</c:v>
                </c:pt>
                <c:pt idx="4">
                  <c:v>77.290000000000006</c:v>
                </c:pt>
                <c:pt idx="5">
                  <c:v>78.709999999999994</c:v>
                </c:pt>
                <c:pt idx="6">
                  <c:v>77</c:v>
                </c:pt>
                <c:pt idx="7">
                  <c:v>77.03</c:v>
                </c:pt>
                <c:pt idx="8">
                  <c:v>82.84</c:v>
                </c:pt>
                <c:pt idx="9">
                  <c:v>82.16</c:v>
                </c:pt>
                <c:pt idx="10">
                  <c:v>81.19</c:v>
                </c:pt>
                <c:pt idx="11">
                  <c:v>80.319999999999993</c:v>
                </c:pt>
                <c:pt idx="12">
                  <c:v>81.97</c:v>
                </c:pt>
                <c:pt idx="13">
                  <c:v>78.290000000000006</c:v>
                </c:pt>
                <c:pt idx="14">
                  <c:v>79.97</c:v>
                </c:pt>
                <c:pt idx="15">
                  <c:v>77.87</c:v>
                </c:pt>
                <c:pt idx="16">
                  <c:v>76.48</c:v>
                </c:pt>
                <c:pt idx="17">
                  <c:v>77.290000000000006</c:v>
                </c:pt>
                <c:pt idx="19">
                  <c:v>79.709999999999994</c:v>
                </c:pt>
                <c:pt idx="20">
                  <c:v>75.650000000000006</c:v>
                </c:pt>
                <c:pt idx="21">
                  <c:v>79.16</c:v>
                </c:pt>
                <c:pt idx="22">
                  <c:v>81.58</c:v>
                </c:pt>
                <c:pt idx="23">
                  <c:v>77.680000000000007</c:v>
                </c:pt>
                <c:pt idx="24">
                  <c:v>81.87</c:v>
                </c:pt>
                <c:pt idx="25">
                  <c:v>79.81</c:v>
                </c:pt>
                <c:pt idx="26">
                  <c:v>76.48</c:v>
                </c:pt>
                <c:pt idx="27">
                  <c:v>80.349999999999994</c:v>
                </c:pt>
                <c:pt idx="28">
                  <c:v>77.739999999999995</c:v>
                </c:pt>
                <c:pt idx="29">
                  <c:v>78.03</c:v>
                </c:pt>
                <c:pt idx="30">
                  <c:v>78.13</c:v>
                </c:pt>
                <c:pt idx="31">
                  <c:v>76.099999999999994</c:v>
                </c:pt>
                <c:pt idx="32">
                  <c:v>75.739999999999995</c:v>
                </c:pt>
                <c:pt idx="33">
                  <c:v>81.709999999999994</c:v>
                </c:pt>
                <c:pt idx="34">
                  <c:v>83.81</c:v>
                </c:pt>
                <c:pt idx="35">
                  <c:v>81.739999999999995</c:v>
                </c:pt>
                <c:pt idx="36">
                  <c:v>77.709999999999994</c:v>
                </c:pt>
                <c:pt idx="37">
                  <c:v>80.709999999999994</c:v>
                </c:pt>
                <c:pt idx="38">
                  <c:v>78.13</c:v>
                </c:pt>
                <c:pt idx="39">
                  <c:v>84</c:v>
                </c:pt>
                <c:pt idx="40">
                  <c:v>85.84</c:v>
                </c:pt>
                <c:pt idx="41">
                  <c:v>82.39</c:v>
                </c:pt>
                <c:pt idx="42">
                  <c:v>83.9</c:v>
                </c:pt>
                <c:pt idx="43">
                  <c:v>76.260000000000005</c:v>
                </c:pt>
                <c:pt idx="44">
                  <c:v>77.709999999999994</c:v>
                </c:pt>
                <c:pt idx="45">
                  <c:v>78</c:v>
                </c:pt>
                <c:pt idx="46">
                  <c:v>81</c:v>
                </c:pt>
                <c:pt idx="47">
                  <c:v>78</c:v>
                </c:pt>
                <c:pt idx="48">
                  <c:v>78</c:v>
                </c:pt>
                <c:pt idx="49">
                  <c:v>80</c:v>
                </c:pt>
              </c:numCache>
            </c:numRef>
          </c:val>
          <c:smooth val="0"/>
          <c:extLst>
            <c:ext xmlns:c16="http://schemas.microsoft.com/office/drawing/2014/chart" uri="{C3380CC4-5D6E-409C-BE32-E72D297353CC}">
              <c16:uniqueId val="{00000003-95D5-4FE8-912D-933739369478}"/>
            </c:ext>
          </c:extLst>
        </c:ser>
        <c:dLbls>
          <c:showLegendKey val="0"/>
          <c:showVal val="0"/>
          <c:showCatName val="0"/>
          <c:showSerName val="0"/>
          <c:showPercent val="0"/>
          <c:showBubbleSize val="0"/>
        </c:dLbls>
        <c:smooth val="0"/>
        <c:axId val="138598656"/>
        <c:axId val="138608640"/>
      </c:lineChart>
      <c:catAx>
        <c:axId val="138598656"/>
        <c:scaling>
          <c:orientation val="minMax"/>
        </c:scaling>
        <c:delete val="0"/>
        <c:axPos val="b"/>
        <c:numFmt formatCode="General" sourceLinked="1"/>
        <c:majorTickMark val="none"/>
        <c:minorTickMark val="none"/>
        <c:tickLblPos val="nextTo"/>
        <c:crossAx val="138608640"/>
        <c:crosses val="autoZero"/>
        <c:auto val="1"/>
        <c:lblAlgn val="ctr"/>
        <c:lblOffset val="100"/>
        <c:noMultiLvlLbl val="0"/>
      </c:catAx>
      <c:valAx>
        <c:axId val="138608640"/>
        <c:scaling>
          <c:orientation val="minMax"/>
          <c:max val="88"/>
          <c:min val="74"/>
        </c:scaling>
        <c:delete val="0"/>
        <c:axPos val="l"/>
        <c:majorGridlines/>
        <c:title>
          <c:tx>
            <c:rich>
              <a:bodyPr rot="-5400000" vert="horz"/>
              <a:lstStyle/>
              <a:p>
                <a:pPr>
                  <a:defRPr/>
                </a:pPr>
                <a:r>
                  <a:rPr lang="en-US"/>
                  <a:t>Maximum Average Temperature (F)</a:t>
                </a:r>
              </a:p>
            </c:rich>
          </c:tx>
          <c:overlay val="0"/>
        </c:title>
        <c:numFmt formatCode="General" sourceLinked="1"/>
        <c:majorTickMark val="none"/>
        <c:minorTickMark val="none"/>
        <c:tickLblPos val="nextTo"/>
        <c:spPr>
          <a:ln w="9525">
            <a:noFill/>
          </a:ln>
        </c:spPr>
        <c:crossAx val="138598656"/>
        <c:crosses val="autoZero"/>
        <c:crossBetween val="between"/>
      </c:valAx>
    </c:plotArea>
    <c:legend>
      <c:legendPos val="b"/>
      <c:overlay val="0"/>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0278" l="0.70000000000000062" r="0.70000000000000062" t="0.7500000000000027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Total Phosphorus Distributon In Water Column</a:t>
            </a:r>
          </a:p>
        </c:rich>
      </c:tx>
      <c:layout>
        <c:manualLayout>
          <c:xMode val="edge"/>
          <c:yMode val="edge"/>
          <c:x val="0.21894409937888973"/>
          <c:y val="3.333333333333334E-2"/>
        </c:manualLayout>
      </c:layout>
      <c:overlay val="0"/>
      <c:spPr>
        <a:noFill/>
        <a:ln w="25400">
          <a:noFill/>
        </a:ln>
      </c:spPr>
    </c:title>
    <c:autoTitleDeleted val="0"/>
    <c:plotArea>
      <c:layout>
        <c:manualLayout>
          <c:layoutTarget val="inner"/>
          <c:xMode val="edge"/>
          <c:yMode val="edge"/>
          <c:x val="0.13899613899614927"/>
          <c:y val="0.11794925634295711"/>
          <c:w val="0.83397683397683464"/>
          <c:h val="0.68557486917908861"/>
        </c:manualLayout>
      </c:layout>
      <c:barChart>
        <c:barDir val="col"/>
        <c:grouping val="stacked"/>
        <c:varyColors val="0"/>
        <c:ser>
          <c:idx val="0"/>
          <c:order val="0"/>
          <c:tx>
            <c:strRef>
              <c:f>'Phosphorus Trends'!$A$46</c:f>
              <c:strCache>
                <c:ptCount val="1"/>
                <c:pt idx="0">
                  <c:v>Reservoir Top</c:v>
                </c:pt>
              </c:strCache>
            </c:strRef>
          </c:tx>
          <c:spPr>
            <a:solidFill>
              <a:srgbClr val="9999FF"/>
            </a:solidFill>
            <a:ln w="12700">
              <a:solidFill>
                <a:srgbClr val="000000"/>
              </a:solidFill>
              <a:prstDash val="solid"/>
            </a:ln>
          </c:spPr>
          <c:invertIfNegative val="0"/>
          <c:cat>
            <c:numRef>
              <c:f>'Phosphorus Trends'!$B$46:$B$65</c:f>
              <c:numCache>
                <c:formatCode>General</c:formatCode>
                <c:ptCount val="2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numCache>
            </c:numRef>
          </c:cat>
          <c:val>
            <c:numRef>
              <c:f>'Phosphorus Trends'!$C$46:$C$65</c:f>
              <c:numCache>
                <c:formatCode>0</c:formatCode>
                <c:ptCount val="20"/>
                <c:pt idx="0">
                  <c:v>129</c:v>
                </c:pt>
                <c:pt idx="1">
                  <c:v>144</c:v>
                </c:pt>
                <c:pt idx="2">
                  <c:v>146</c:v>
                </c:pt>
                <c:pt idx="3">
                  <c:v>175</c:v>
                </c:pt>
                <c:pt idx="4">
                  <c:v>83</c:v>
                </c:pt>
                <c:pt idx="5">
                  <c:v>34</c:v>
                </c:pt>
                <c:pt idx="6">
                  <c:v>29.4375</c:v>
                </c:pt>
                <c:pt idx="7" formatCode="0.0_)">
                  <c:v>38</c:v>
                </c:pt>
                <c:pt idx="8" formatCode="0.0_)">
                  <c:v>33.299999999999997</c:v>
                </c:pt>
                <c:pt idx="9" formatCode="0.0_)">
                  <c:v>34</c:v>
                </c:pt>
                <c:pt idx="10" formatCode="0.0_)">
                  <c:v>59</c:v>
                </c:pt>
                <c:pt idx="11" formatCode="0.0_)">
                  <c:v>42</c:v>
                </c:pt>
                <c:pt idx="12" formatCode="0.0_)">
                  <c:v>46.1</c:v>
                </c:pt>
                <c:pt idx="13" formatCode="0.0_)">
                  <c:v>49.1</c:v>
                </c:pt>
                <c:pt idx="14" formatCode="0.0_)">
                  <c:v>24.3</c:v>
                </c:pt>
                <c:pt idx="15" formatCode="0.0_)">
                  <c:v>33</c:v>
                </c:pt>
                <c:pt idx="16" formatCode="0.0_)">
                  <c:v>21.6</c:v>
                </c:pt>
                <c:pt idx="17" formatCode="0.0_)">
                  <c:v>30</c:v>
                </c:pt>
                <c:pt idx="18" formatCode="0.0_)">
                  <c:v>39.799999999999997</c:v>
                </c:pt>
                <c:pt idx="19" formatCode="0.0_)">
                  <c:v>34.200000000000003</c:v>
                </c:pt>
              </c:numCache>
            </c:numRef>
          </c:val>
          <c:extLst>
            <c:ext xmlns:c16="http://schemas.microsoft.com/office/drawing/2014/chart" uri="{C3380CC4-5D6E-409C-BE32-E72D297353CC}">
              <c16:uniqueId val="{00000000-16BD-4D8F-9BB8-DBF934545DE8}"/>
            </c:ext>
          </c:extLst>
        </c:ser>
        <c:ser>
          <c:idx val="1"/>
          <c:order val="1"/>
          <c:tx>
            <c:strRef>
              <c:f>'Phosphorus Trends'!$A$25</c:f>
              <c:strCache>
                <c:ptCount val="1"/>
                <c:pt idx="0">
                  <c:v>Reservoir Middle</c:v>
                </c:pt>
              </c:strCache>
            </c:strRef>
          </c:tx>
          <c:spPr>
            <a:solidFill>
              <a:srgbClr val="993366"/>
            </a:solidFill>
            <a:ln w="12700">
              <a:solidFill>
                <a:srgbClr val="000000"/>
              </a:solidFill>
              <a:prstDash val="solid"/>
            </a:ln>
          </c:spPr>
          <c:invertIfNegative val="0"/>
          <c:val>
            <c:numRef>
              <c:f>'Phosphorus Trends'!$C$25:$C$44</c:f>
              <c:numCache>
                <c:formatCode>0</c:formatCode>
                <c:ptCount val="20"/>
                <c:pt idx="0">
                  <c:v>124.5</c:v>
                </c:pt>
                <c:pt idx="1">
                  <c:v>137.19999999999999</c:v>
                </c:pt>
                <c:pt idx="2">
                  <c:v>140.21430000000001</c:v>
                </c:pt>
                <c:pt idx="3">
                  <c:v>164</c:v>
                </c:pt>
                <c:pt idx="4">
                  <c:v>79</c:v>
                </c:pt>
                <c:pt idx="5">
                  <c:v>37</c:v>
                </c:pt>
                <c:pt idx="6">
                  <c:v>33.0625</c:v>
                </c:pt>
                <c:pt idx="7">
                  <c:v>44.577577959420516</c:v>
                </c:pt>
                <c:pt idx="8">
                  <c:v>39.799999999999997</c:v>
                </c:pt>
                <c:pt idx="9">
                  <c:v>37</c:v>
                </c:pt>
                <c:pt idx="10">
                  <c:v>57</c:v>
                </c:pt>
                <c:pt idx="11">
                  <c:v>42</c:v>
                </c:pt>
                <c:pt idx="12">
                  <c:v>49</c:v>
                </c:pt>
                <c:pt idx="13">
                  <c:v>46.6</c:v>
                </c:pt>
                <c:pt idx="14">
                  <c:v>26.9</c:v>
                </c:pt>
                <c:pt idx="15">
                  <c:v>34</c:v>
                </c:pt>
                <c:pt idx="16">
                  <c:v>24.3</c:v>
                </c:pt>
                <c:pt idx="17">
                  <c:v>31</c:v>
                </c:pt>
              </c:numCache>
            </c:numRef>
          </c:val>
          <c:extLst>
            <c:ext xmlns:c16="http://schemas.microsoft.com/office/drawing/2014/chart" uri="{C3380CC4-5D6E-409C-BE32-E72D297353CC}">
              <c16:uniqueId val="{00000001-16BD-4D8F-9BB8-DBF934545DE8}"/>
            </c:ext>
          </c:extLst>
        </c:ser>
        <c:ser>
          <c:idx val="2"/>
          <c:order val="2"/>
          <c:tx>
            <c:strRef>
              <c:f>'Phosphorus Trends'!$A$3</c:f>
              <c:strCache>
                <c:ptCount val="1"/>
                <c:pt idx="0">
                  <c:v>Reservoir Bottom</c:v>
                </c:pt>
              </c:strCache>
            </c:strRef>
          </c:tx>
          <c:spPr>
            <a:solidFill>
              <a:srgbClr val="FFFFCC"/>
            </a:solidFill>
            <a:ln w="12700">
              <a:solidFill>
                <a:srgbClr val="000000"/>
              </a:solidFill>
              <a:prstDash val="solid"/>
            </a:ln>
          </c:spPr>
          <c:invertIfNegative val="0"/>
          <c:val>
            <c:numRef>
              <c:f>'Phosphorus Trends'!$C$3:$C$22</c:f>
              <c:numCache>
                <c:formatCode>0</c:formatCode>
                <c:ptCount val="20"/>
                <c:pt idx="0">
                  <c:v>119.5</c:v>
                </c:pt>
                <c:pt idx="1">
                  <c:v>270</c:v>
                </c:pt>
                <c:pt idx="2">
                  <c:v>201</c:v>
                </c:pt>
                <c:pt idx="3">
                  <c:v>240</c:v>
                </c:pt>
                <c:pt idx="4">
                  <c:v>100</c:v>
                </c:pt>
                <c:pt idx="5">
                  <c:v>52</c:v>
                </c:pt>
                <c:pt idx="6">
                  <c:v>66.1875</c:v>
                </c:pt>
                <c:pt idx="7">
                  <c:v>85.579818007202547</c:v>
                </c:pt>
                <c:pt idx="8">
                  <c:v>69.2</c:v>
                </c:pt>
                <c:pt idx="9">
                  <c:v>54</c:v>
                </c:pt>
                <c:pt idx="10">
                  <c:v>56</c:v>
                </c:pt>
                <c:pt idx="11">
                  <c:v>64</c:v>
                </c:pt>
                <c:pt idx="12">
                  <c:v>55.5</c:v>
                </c:pt>
                <c:pt idx="13">
                  <c:v>52.9</c:v>
                </c:pt>
                <c:pt idx="14">
                  <c:v>44.3</c:v>
                </c:pt>
                <c:pt idx="15">
                  <c:v>47</c:v>
                </c:pt>
                <c:pt idx="16">
                  <c:v>26</c:v>
                </c:pt>
                <c:pt idx="17">
                  <c:v>31</c:v>
                </c:pt>
                <c:pt idx="18">
                  <c:v>62.2</c:v>
                </c:pt>
                <c:pt idx="19">
                  <c:v>35.299999999999997</c:v>
                </c:pt>
              </c:numCache>
            </c:numRef>
          </c:val>
          <c:extLst>
            <c:ext xmlns:c16="http://schemas.microsoft.com/office/drawing/2014/chart" uri="{C3380CC4-5D6E-409C-BE32-E72D297353CC}">
              <c16:uniqueId val="{00000002-16BD-4D8F-9BB8-DBF934545DE8}"/>
            </c:ext>
          </c:extLst>
        </c:ser>
        <c:dLbls>
          <c:showLegendKey val="0"/>
          <c:showVal val="0"/>
          <c:showCatName val="0"/>
          <c:showSerName val="0"/>
          <c:showPercent val="0"/>
          <c:showBubbleSize val="0"/>
        </c:dLbls>
        <c:gapWidth val="150"/>
        <c:overlap val="100"/>
        <c:axId val="98588544"/>
        <c:axId val="98590080"/>
      </c:barChart>
      <c:catAx>
        <c:axId val="98588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1" i="0" u="none" strike="noStrike" baseline="0">
                <a:solidFill>
                  <a:srgbClr val="000000"/>
                </a:solidFill>
                <a:latin typeface="Arial"/>
                <a:ea typeface="Arial"/>
                <a:cs typeface="Arial"/>
              </a:defRPr>
            </a:pPr>
            <a:endParaRPr lang="en-US"/>
          </a:p>
        </c:txPr>
        <c:crossAx val="98590080"/>
        <c:crosses val="autoZero"/>
        <c:auto val="1"/>
        <c:lblAlgn val="ctr"/>
        <c:lblOffset val="100"/>
        <c:tickLblSkip val="1"/>
        <c:tickMarkSkip val="1"/>
        <c:noMultiLvlLbl val="0"/>
      </c:catAx>
      <c:valAx>
        <c:axId val="98590080"/>
        <c:scaling>
          <c:orientation val="minMax"/>
        </c:scaling>
        <c:delete val="0"/>
        <c:axPos val="l"/>
        <c:majorGridlines>
          <c:spPr>
            <a:ln w="3175">
              <a:solidFill>
                <a:srgbClr val="000000"/>
              </a:solidFill>
              <a:prstDash val="solid"/>
            </a:ln>
          </c:spPr>
        </c:majorGridlines>
        <c:minorGridlines/>
        <c:title>
          <c:tx>
            <c:rich>
              <a:bodyPr/>
              <a:lstStyle/>
              <a:p>
                <a:pPr>
                  <a:defRPr sz="1000" b="1" i="0" u="none" strike="noStrike" baseline="0">
                    <a:solidFill>
                      <a:srgbClr val="000000"/>
                    </a:solidFill>
                    <a:latin typeface="Arial"/>
                    <a:ea typeface="Arial"/>
                    <a:cs typeface="Arial"/>
                  </a:defRPr>
                </a:pPr>
                <a:r>
                  <a:rPr lang="en-US"/>
                  <a:t>Total Phosphorus ug/l</a:t>
                </a:r>
              </a:p>
            </c:rich>
          </c:tx>
          <c:layout>
            <c:manualLayout>
              <c:xMode val="edge"/>
              <c:yMode val="edge"/>
              <c:x val="3.7099166951957092E-2"/>
              <c:y val="0.2150306211723539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98588544"/>
        <c:crosses val="autoZero"/>
        <c:crossBetween val="between"/>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t"/>
      <c:layout>
        <c:manualLayout>
          <c:xMode val="edge"/>
          <c:yMode val="edge"/>
          <c:x val="0.23938230547268549"/>
          <c:y val="0.12307719227404265"/>
          <c:w val="0.6332047081071388"/>
          <c:h val="6.1538730735581137E-2"/>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Bear Creek Reservoir Annual Average
Total Phosphorus Trend</a:t>
            </a:r>
          </a:p>
        </c:rich>
      </c:tx>
      <c:layout>
        <c:manualLayout>
          <c:xMode val="edge"/>
          <c:yMode val="edge"/>
          <c:x val="0.28368794326242625"/>
          <c:y val="3.333333333333334E-2"/>
        </c:manualLayout>
      </c:layout>
      <c:overlay val="0"/>
      <c:spPr>
        <a:noFill/>
        <a:ln w="25400">
          <a:noFill/>
        </a:ln>
      </c:spPr>
    </c:title>
    <c:autoTitleDeleted val="0"/>
    <c:plotArea>
      <c:layout>
        <c:manualLayout>
          <c:layoutTarget val="inner"/>
          <c:xMode val="edge"/>
          <c:yMode val="edge"/>
          <c:x val="0.10815621564061427"/>
          <c:y val="0.13672940150778942"/>
          <c:w val="0.86524972512490061"/>
          <c:h val="0.7533521926213147"/>
        </c:manualLayout>
      </c:layout>
      <c:barChart>
        <c:barDir val="col"/>
        <c:grouping val="clustered"/>
        <c:varyColors val="0"/>
        <c:ser>
          <c:idx val="0"/>
          <c:order val="0"/>
          <c:tx>
            <c:strRef>
              <c:f>'Phosphorus Trends'!$A$93</c:f>
              <c:strCache>
                <c:ptCount val="1"/>
                <c:pt idx="0">
                  <c:v>Reservoir Average</c:v>
                </c:pt>
              </c:strCache>
            </c:strRef>
          </c:tx>
          <c:spPr>
            <a:solidFill>
              <a:srgbClr val="9999FF"/>
            </a:solidFill>
            <a:ln w="12700">
              <a:solidFill>
                <a:srgbClr val="000000"/>
              </a:solidFill>
              <a:prstDash val="solid"/>
            </a:ln>
          </c:spPr>
          <c:invertIfNegative val="0"/>
          <c:trendline>
            <c:spPr>
              <a:ln w="25400">
                <a:solidFill>
                  <a:srgbClr val="000000"/>
                </a:solidFill>
                <a:prstDash val="solid"/>
              </a:ln>
            </c:spPr>
            <c:trendlineType val="poly"/>
            <c:order val="3"/>
            <c:dispRSqr val="0"/>
            <c:dispEq val="0"/>
          </c:trendline>
          <c:cat>
            <c:numRef>
              <c:f>'Phosphorus Trends'!$B$93:$B$114</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'Phosphorus Trends'!$C$93:$C$114</c:f>
              <c:numCache>
                <c:formatCode>0</c:formatCode>
                <c:ptCount val="22"/>
                <c:pt idx="0">
                  <c:v>124.33333333333333</c:v>
                </c:pt>
                <c:pt idx="1">
                  <c:v>183.73333333333335</c:v>
                </c:pt>
                <c:pt idx="2">
                  <c:v>162.40476666666666</c:v>
                </c:pt>
                <c:pt idx="3">
                  <c:v>193</c:v>
                </c:pt>
                <c:pt idx="4">
                  <c:v>87.333333333333329</c:v>
                </c:pt>
                <c:pt idx="5">
                  <c:v>41</c:v>
                </c:pt>
                <c:pt idx="6">
                  <c:v>42.895833333333336</c:v>
                </c:pt>
                <c:pt idx="7">
                  <c:v>56.052465322207688</c:v>
                </c:pt>
                <c:pt idx="8">
                  <c:v>47.433333333333337</c:v>
                </c:pt>
                <c:pt idx="9">
                  <c:v>41.666666666666664</c:v>
                </c:pt>
                <c:pt idx="10">
                  <c:v>57.333333333333336</c:v>
                </c:pt>
                <c:pt idx="11">
                  <c:v>49.333333333333336</c:v>
                </c:pt>
                <c:pt idx="12">
                  <c:v>50.199999999999996</c:v>
                </c:pt>
                <c:pt idx="13">
                  <c:v>49.533333333333331</c:v>
                </c:pt>
                <c:pt idx="14">
                  <c:v>31.833333333333329</c:v>
                </c:pt>
                <c:pt idx="15">
                  <c:v>39</c:v>
                </c:pt>
                <c:pt idx="16" formatCode="General">
                  <c:v>24</c:v>
                </c:pt>
                <c:pt idx="17" formatCode="General">
                  <c:v>30.7</c:v>
                </c:pt>
                <c:pt idx="18">
                  <c:v>50.6</c:v>
                </c:pt>
                <c:pt idx="19">
                  <c:v>34.799999999999997</c:v>
                </c:pt>
                <c:pt idx="20">
                  <c:v>33.6</c:v>
                </c:pt>
                <c:pt idx="21">
                  <c:v>40.799999999999997</c:v>
                </c:pt>
              </c:numCache>
            </c:numRef>
          </c:val>
          <c:extLst>
            <c:ext xmlns:c16="http://schemas.microsoft.com/office/drawing/2014/chart" uri="{C3380CC4-5D6E-409C-BE32-E72D297353CC}">
              <c16:uniqueId val="{00000001-AFD5-4F83-A7FC-2BB9A213A70C}"/>
            </c:ext>
          </c:extLst>
        </c:ser>
        <c:dLbls>
          <c:showLegendKey val="0"/>
          <c:showVal val="0"/>
          <c:showCatName val="0"/>
          <c:showSerName val="0"/>
          <c:showPercent val="0"/>
          <c:showBubbleSize val="0"/>
        </c:dLbls>
        <c:gapWidth val="150"/>
        <c:axId val="98628736"/>
        <c:axId val="98630272"/>
      </c:barChart>
      <c:catAx>
        <c:axId val="98628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98630272"/>
        <c:crosses val="autoZero"/>
        <c:auto val="1"/>
        <c:lblAlgn val="ctr"/>
        <c:lblOffset val="100"/>
        <c:tickLblSkip val="1"/>
        <c:tickMarkSkip val="1"/>
        <c:noMultiLvlLbl val="0"/>
      </c:catAx>
      <c:valAx>
        <c:axId val="98630272"/>
        <c:scaling>
          <c:orientation val="minMax"/>
        </c:scaling>
        <c:delete val="0"/>
        <c:axPos val="l"/>
        <c:majorGridlines>
          <c:spPr>
            <a:ln w="3175">
              <a:solidFill>
                <a:srgbClr val="000000"/>
              </a:solidFill>
              <a:prstDash val="solid"/>
            </a:ln>
          </c:spPr>
        </c:majorGridlines>
        <c:minorGridlines/>
        <c:title>
          <c:tx>
            <c:rich>
              <a:bodyPr/>
              <a:lstStyle/>
              <a:p>
                <a:pPr>
                  <a:defRPr sz="800" b="1" i="0" u="none" strike="noStrike" baseline="0">
                    <a:solidFill>
                      <a:srgbClr val="000000"/>
                    </a:solidFill>
                    <a:latin typeface="Arial"/>
                    <a:ea typeface="Arial"/>
                    <a:cs typeface="Arial"/>
                  </a:defRPr>
                </a:pPr>
                <a:r>
                  <a:rPr lang="en-US"/>
                  <a:t>Total Phosphorus [ug/l]</a:t>
                </a:r>
              </a:p>
            </c:rich>
          </c:tx>
          <c:layout>
            <c:manualLayout>
              <c:xMode val="edge"/>
              <c:yMode val="edge"/>
              <c:x val="2.1276595744680847E-2"/>
              <c:y val="0.335121340601655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98628736"/>
        <c:crosses val="autoZero"/>
        <c:crossBetween val="between"/>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n-US"/>
              <a:t>Bear Creek Reservoir - Total Phosphorus Average Trends</a:t>
            </a:r>
          </a:p>
        </c:rich>
      </c:tx>
      <c:layout>
        <c:manualLayout>
          <c:xMode val="edge"/>
          <c:yMode val="edge"/>
          <c:x val="0.13982300884955737"/>
          <c:y val="4.6461465044142412E-2"/>
        </c:manualLayout>
      </c:layout>
      <c:overlay val="0"/>
      <c:spPr>
        <a:noFill/>
        <a:ln w="25400">
          <a:noFill/>
        </a:ln>
      </c:spPr>
    </c:title>
    <c:autoTitleDeleted val="0"/>
    <c:plotArea>
      <c:layout>
        <c:manualLayout>
          <c:layoutTarget val="inner"/>
          <c:xMode val="edge"/>
          <c:yMode val="edge"/>
          <c:x val="0.12212399934665688"/>
          <c:y val="0.14130434782608794"/>
          <c:w val="0.86017773452862401"/>
          <c:h val="0.69836956521739058"/>
        </c:manualLayout>
      </c:layout>
      <c:lineChart>
        <c:grouping val="standard"/>
        <c:varyColors val="0"/>
        <c:ser>
          <c:idx val="0"/>
          <c:order val="0"/>
          <c:tx>
            <c:strRef>
              <c:f>'Phosphorus Trends'!$E$70</c:f>
              <c:strCache>
                <c:ptCount val="1"/>
                <c:pt idx="0">
                  <c:v>Average Inflow</c:v>
                </c:pt>
              </c:strCache>
            </c:strRef>
          </c:tx>
          <c:spPr>
            <a:ln w="38100">
              <a:solidFill>
                <a:srgbClr val="000080"/>
              </a:solidFill>
              <a:prstDash val="solid"/>
            </a:ln>
          </c:spPr>
          <c:marker>
            <c:symbol val="diamond"/>
            <c:size val="9"/>
            <c:spPr>
              <a:solidFill>
                <a:srgbClr val="000080"/>
              </a:solidFill>
              <a:ln>
                <a:solidFill>
                  <a:srgbClr val="000080"/>
                </a:solidFill>
                <a:prstDash val="solid"/>
              </a:ln>
            </c:spPr>
          </c:marker>
          <c:cat>
            <c:numRef>
              <c:f>'Phosphorus Trends'!$F$70:$F$91</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'Phosphorus Trends'!$G$70:$G$91</c:f>
              <c:numCache>
                <c:formatCode>0</c:formatCode>
                <c:ptCount val="22"/>
                <c:pt idx="0">
                  <c:v>435.5</c:v>
                </c:pt>
                <c:pt idx="1">
                  <c:v>325</c:v>
                </c:pt>
                <c:pt idx="2">
                  <c:v>319.5</c:v>
                </c:pt>
                <c:pt idx="3">
                  <c:v>242.5</c:v>
                </c:pt>
                <c:pt idx="4">
                  <c:v>106.5</c:v>
                </c:pt>
                <c:pt idx="5">
                  <c:v>60</c:v>
                </c:pt>
                <c:pt idx="6">
                  <c:v>37.28125</c:v>
                </c:pt>
                <c:pt idx="7">
                  <c:v>71.546519746997504</c:v>
                </c:pt>
                <c:pt idx="8">
                  <c:v>36.9</c:v>
                </c:pt>
                <c:pt idx="9">
                  <c:v>42.5</c:v>
                </c:pt>
                <c:pt idx="10">
                  <c:v>28</c:v>
                </c:pt>
                <c:pt idx="11">
                  <c:v>22</c:v>
                </c:pt>
                <c:pt idx="12">
                  <c:v>76.100000000000009</c:v>
                </c:pt>
                <c:pt idx="13">
                  <c:v>67.95</c:v>
                </c:pt>
                <c:pt idx="14">
                  <c:v>27.9</c:v>
                </c:pt>
                <c:pt idx="15">
                  <c:v>33.5</c:v>
                </c:pt>
                <c:pt idx="16">
                  <c:v>14.45</c:v>
                </c:pt>
                <c:pt idx="17">
                  <c:v>32</c:v>
                </c:pt>
                <c:pt idx="18">
                  <c:v>26.25</c:v>
                </c:pt>
                <c:pt idx="19">
                  <c:v>27.3</c:v>
                </c:pt>
                <c:pt idx="20">
                  <c:v>32.6</c:v>
                </c:pt>
                <c:pt idx="21">
                  <c:v>24.7</c:v>
                </c:pt>
              </c:numCache>
            </c:numRef>
          </c:val>
          <c:smooth val="0"/>
          <c:extLst>
            <c:ext xmlns:c16="http://schemas.microsoft.com/office/drawing/2014/chart" uri="{C3380CC4-5D6E-409C-BE32-E72D297353CC}">
              <c16:uniqueId val="{00000000-82B0-44DE-A0DF-CA8F3A1C9E71}"/>
            </c:ext>
          </c:extLst>
        </c:ser>
        <c:ser>
          <c:idx val="1"/>
          <c:order val="1"/>
          <c:tx>
            <c:strRef>
              <c:f>'Phosphorus Trends'!$E$93</c:f>
              <c:strCache>
                <c:ptCount val="1"/>
                <c:pt idx="0">
                  <c:v>Retained In Reservoir</c:v>
                </c:pt>
              </c:strCache>
            </c:strRef>
          </c:tx>
          <c:spPr>
            <a:ln w="25400">
              <a:solidFill>
                <a:srgbClr val="FF00FF"/>
              </a:solidFill>
              <a:prstDash val="solid"/>
            </a:ln>
          </c:spPr>
          <c:marker>
            <c:symbol val="square"/>
            <c:size val="6"/>
            <c:spPr>
              <a:solidFill>
                <a:srgbClr val="FF00FF"/>
              </a:solidFill>
              <a:ln>
                <a:solidFill>
                  <a:srgbClr val="FF00FF"/>
                </a:solidFill>
                <a:prstDash val="solid"/>
              </a:ln>
            </c:spPr>
          </c:marker>
          <c:cat>
            <c:numRef>
              <c:f>'Phosphorus Trends'!$F$70:$F$91</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'Phosphorus Trends'!$G$93:$G$114</c:f>
              <c:numCache>
                <c:formatCode>0</c:formatCode>
                <c:ptCount val="22"/>
                <c:pt idx="0" formatCode="General">
                  <c:v>307.5</c:v>
                </c:pt>
                <c:pt idx="1">
                  <c:v>144</c:v>
                </c:pt>
                <c:pt idx="2">
                  <c:v>162.5</c:v>
                </c:pt>
                <c:pt idx="3">
                  <c:v>65.5</c:v>
                </c:pt>
                <c:pt idx="4">
                  <c:v>14.5</c:v>
                </c:pt>
                <c:pt idx="5">
                  <c:v>24</c:v>
                </c:pt>
                <c:pt idx="6">
                  <c:v>2.34375</c:v>
                </c:pt>
                <c:pt idx="7">
                  <c:v>32.546519746997504</c:v>
                </c:pt>
                <c:pt idx="8">
                  <c:v>2.3999999999999986</c:v>
                </c:pt>
                <c:pt idx="9">
                  <c:v>7.5</c:v>
                </c:pt>
                <c:pt idx="10">
                  <c:v>-30</c:v>
                </c:pt>
                <c:pt idx="11">
                  <c:v>-24</c:v>
                </c:pt>
                <c:pt idx="12">
                  <c:v>29.20000000000001</c:v>
                </c:pt>
                <c:pt idx="13">
                  <c:v>4.6500000000000057</c:v>
                </c:pt>
                <c:pt idx="14">
                  <c:v>-2.2000000000000028</c:v>
                </c:pt>
                <c:pt idx="15">
                  <c:v>1.5</c:v>
                </c:pt>
                <c:pt idx="16">
                  <c:v>-8.3500000000000014</c:v>
                </c:pt>
                <c:pt idx="17">
                  <c:v>1</c:v>
                </c:pt>
                <c:pt idx="18">
                  <c:v>-2.75</c:v>
                </c:pt>
                <c:pt idx="19">
                  <c:v>3.1000000000000014</c:v>
                </c:pt>
                <c:pt idx="20">
                  <c:v>1.5</c:v>
                </c:pt>
                <c:pt idx="21">
                  <c:v>-14.8</c:v>
                </c:pt>
              </c:numCache>
            </c:numRef>
          </c:val>
          <c:smooth val="0"/>
          <c:extLst>
            <c:ext xmlns:c16="http://schemas.microsoft.com/office/drawing/2014/chart" uri="{C3380CC4-5D6E-409C-BE32-E72D297353CC}">
              <c16:uniqueId val="{00000001-82B0-44DE-A0DF-CA8F3A1C9E71}"/>
            </c:ext>
          </c:extLst>
        </c:ser>
        <c:ser>
          <c:idx val="2"/>
          <c:order val="2"/>
          <c:tx>
            <c:strRef>
              <c:f>'Phosphorus Trends'!$A$70</c:f>
              <c:strCache>
                <c:ptCount val="1"/>
                <c:pt idx="0">
                  <c:v>Bear Creek Outflow</c:v>
                </c:pt>
              </c:strCache>
            </c:strRef>
          </c:tx>
          <c:spPr>
            <a:ln w="38100">
              <a:solidFill>
                <a:srgbClr val="FF0000"/>
              </a:solidFill>
              <a:prstDash val="solid"/>
            </a:ln>
          </c:spPr>
          <c:marker>
            <c:symbol val="triangle"/>
            <c:size val="9"/>
            <c:spPr>
              <a:solidFill>
                <a:srgbClr val="FF0000"/>
              </a:solidFill>
              <a:ln>
                <a:solidFill>
                  <a:srgbClr val="FF0000"/>
                </a:solidFill>
                <a:prstDash val="solid"/>
              </a:ln>
            </c:spPr>
          </c:marker>
          <c:cat>
            <c:numRef>
              <c:f>'Phosphorus Trends'!$F$70:$F$91</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'Phosphorus Trends'!$C$70:$C$91</c:f>
              <c:numCache>
                <c:formatCode>0</c:formatCode>
                <c:ptCount val="22"/>
                <c:pt idx="0">
                  <c:v>128</c:v>
                </c:pt>
                <c:pt idx="1">
                  <c:v>181</c:v>
                </c:pt>
                <c:pt idx="2">
                  <c:v>157</c:v>
                </c:pt>
                <c:pt idx="3">
                  <c:v>177</c:v>
                </c:pt>
                <c:pt idx="4">
                  <c:v>92</c:v>
                </c:pt>
                <c:pt idx="5">
                  <c:v>36</c:v>
                </c:pt>
                <c:pt idx="6">
                  <c:v>34.9375</c:v>
                </c:pt>
                <c:pt idx="7">
                  <c:v>39</c:v>
                </c:pt>
                <c:pt idx="8">
                  <c:v>34.5</c:v>
                </c:pt>
                <c:pt idx="9">
                  <c:v>35</c:v>
                </c:pt>
                <c:pt idx="10">
                  <c:v>58</c:v>
                </c:pt>
                <c:pt idx="11">
                  <c:v>46</c:v>
                </c:pt>
                <c:pt idx="12">
                  <c:v>46.9</c:v>
                </c:pt>
                <c:pt idx="13">
                  <c:v>63.3</c:v>
                </c:pt>
                <c:pt idx="14">
                  <c:v>30.1</c:v>
                </c:pt>
                <c:pt idx="15">
                  <c:v>32</c:v>
                </c:pt>
                <c:pt idx="16">
                  <c:v>22.8</c:v>
                </c:pt>
                <c:pt idx="17">
                  <c:v>31</c:v>
                </c:pt>
                <c:pt idx="18">
                  <c:v>29</c:v>
                </c:pt>
                <c:pt idx="19">
                  <c:v>24.2</c:v>
                </c:pt>
                <c:pt idx="20">
                  <c:v>31.1</c:v>
                </c:pt>
                <c:pt idx="21">
                  <c:v>39.5</c:v>
                </c:pt>
              </c:numCache>
            </c:numRef>
          </c:val>
          <c:smooth val="0"/>
          <c:extLst>
            <c:ext xmlns:c16="http://schemas.microsoft.com/office/drawing/2014/chart" uri="{C3380CC4-5D6E-409C-BE32-E72D297353CC}">
              <c16:uniqueId val="{00000002-82B0-44DE-A0DF-CA8F3A1C9E71}"/>
            </c:ext>
          </c:extLst>
        </c:ser>
        <c:dLbls>
          <c:showLegendKey val="0"/>
          <c:showVal val="0"/>
          <c:showCatName val="0"/>
          <c:showSerName val="0"/>
          <c:showPercent val="0"/>
          <c:showBubbleSize val="0"/>
        </c:dLbls>
        <c:marker val="1"/>
        <c:smooth val="0"/>
        <c:axId val="110306432"/>
        <c:axId val="110308352"/>
      </c:lineChart>
      <c:catAx>
        <c:axId val="110306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640000" vert="horz"/>
          <a:lstStyle/>
          <a:p>
            <a:pPr>
              <a:defRPr sz="800" b="1" i="0" u="none" strike="noStrike" baseline="0">
                <a:solidFill>
                  <a:srgbClr val="000000"/>
                </a:solidFill>
                <a:latin typeface="Arial"/>
                <a:ea typeface="Arial"/>
                <a:cs typeface="Arial"/>
              </a:defRPr>
            </a:pPr>
            <a:endParaRPr lang="en-US"/>
          </a:p>
        </c:txPr>
        <c:crossAx val="110308352"/>
        <c:crossesAt val="-50"/>
        <c:auto val="1"/>
        <c:lblAlgn val="ctr"/>
        <c:lblOffset val="100"/>
        <c:tickLblSkip val="1"/>
        <c:tickMarkSkip val="1"/>
        <c:noMultiLvlLbl val="0"/>
      </c:catAx>
      <c:valAx>
        <c:axId val="110308352"/>
        <c:scaling>
          <c:orientation val="minMax"/>
          <c:max val="500"/>
          <c:min val="-50"/>
        </c:scaling>
        <c:delete val="0"/>
        <c:axPos val="l"/>
        <c:majorGridlines>
          <c:spPr>
            <a:ln w="3175">
              <a:solidFill>
                <a:srgbClr val="000000"/>
              </a:solidFill>
              <a:prstDash val="solid"/>
            </a:ln>
          </c:spPr>
        </c:majorGridlines>
        <c:minorGridlines/>
        <c:title>
          <c:tx>
            <c:rich>
              <a:bodyPr/>
              <a:lstStyle/>
              <a:p>
                <a:pPr>
                  <a:defRPr sz="900" b="1" i="0" u="none" strike="noStrike" baseline="0">
                    <a:solidFill>
                      <a:srgbClr val="000000"/>
                    </a:solidFill>
                    <a:latin typeface="Arial"/>
                    <a:ea typeface="Arial"/>
                    <a:cs typeface="Arial"/>
                  </a:defRPr>
                </a:pPr>
                <a:r>
                  <a:rPr lang="en-US"/>
                  <a:t>Total Phosphorus [ug/l]
</a:t>
                </a:r>
              </a:p>
            </c:rich>
          </c:tx>
          <c:layout>
            <c:manualLayout>
              <c:xMode val="edge"/>
              <c:yMode val="edge"/>
              <c:x val="8.8495575221241747E-3"/>
              <c:y val="0.3070652173913043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110306432"/>
        <c:crosses val="autoZero"/>
        <c:crossBetween val="between"/>
        <c:majorUnit val="50"/>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legend>
      <c:legendPos val="r"/>
      <c:layout>
        <c:manualLayout>
          <c:xMode val="edge"/>
          <c:yMode val="edge"/>
          <c:x val="0.57876161939936643"/>
          <c:y val="0.20108695652173941"/>
          <c:w val="0.34513311499779326"/>
          <c:h val="0.15217391304347827"/>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Bear Creek Watershed - Total Phosphorus Trends 
</a:t>
            </a:r>
          </a:p>
        </c:rich>
      </c:tx>
      <c:layout>
        <c:manualLayout>
          <c:xMode val="edge"/>
          <c:yMode val="edge"/>
          <c:x val="0.19651347068145841"/>
          <c:y val="3.4482758620689655E-2"/>
        </c:manualLayout>
      </c:layout>
      <c:overlay val="0"/>
      <c:spPr>
        <a:noFill/>
        <a:ln w="25400">
          <a:noFill/>
        </a:ln>
      </c:spPr>
    </c:title>
    <c:autoTitleDeleted val="0"/>
    <c:plotArea>
      <c:layout>
        <c:manualLayout>
          <c:layoutTarget val="inner"/>
          <c:xMode val="edge"/>
          <c:yMode val="edge"/>
          <c:x val="8.8748087692594582E-2"/>
          <c:y val="0.1285268424992079"/>
          <c:w val="0.9033287497281951"/>
          <c:h val="0.74608264670271851"/>
        </c:manualLayout>
      </c:layout>
      <c:barChart>
        <c:barDir val="col"/>
        <c:grouping val="clustered"/>
        <c:varyColors val="0"/>
        <c:ser>
          <c:idx val="0"/>
          <c:order val="0"/>
          <c:tx>
            <c:strRef>
              <c:f>'Phosphorus Trends'!$E$3</c:f>
              <c:strCache>
                <c:ptCount val="1"/>
                <c:pt idx="0">
                  <c:v>Bear Creek Inflow</c:v>
                </c:pt>
              </c:strCache>
            </c:strRef>
          </c:tx>
          <c:spPr>
            <a:solidFill>
              <a:srgbClr val="9999FF"/>
            </a:solidFill>
            <a:ln w="12700">
              <a:solidFill>
                <a:srgbClr val="000000"/>
              </a:solidFill>
              <a:prstDash val="solid"/>
            </a:ln>
          </c:spPr>
          <c:invertIfNegative val="0"/>
          <c:cat>
            <c:numRef>
              <c:f>'Phosphorus Trends'!$F$3:$F$24</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'Phosphorus Trends'!$G$3:$G$24</c:f>
              <c:numCache>
                <c:formatCode>0</c:formatCode>
                <c:ptCount val="22"/>
                <c:pt idx="0">
                  <c:v>334</c:v>
                </c:pt>
                <c:pt idx="1">
                  <c:v>267</c:v>
                </c:pt>
                <c:pt idx="2">
                  <c:v>277</c:v>
                </c:pt>
                <c:pt idx="3">
                  <c:v>216</c:v>
                </c:pt>
                <c:pt idx="4">
                  <c:v>122</c:v>
                </c:pt>
                <c:pt idx="5">
                  <c:v>73</c:v>
                </c:pt>
                <c:pt idx="6">
                  <c:v>58.5</c:v>
                </c:pt>
                <c:pt idx="7">
                  <c:v>63.093039493995008</c:v>
                </c:pt>
                <c:pt idx="8">
                  <c:v>40.799999999999997</c:v>
                </c:pt>
                <c:pt idx="9">
                  <c:v>38</c:v>
                </c:pt>
                <c:pt idx="10">
                  <c:v>37</c:v>
                </c:pt>
                <c:pt idx="11">
                  <c:v>22</c:v>
                </c:pt>
                <c:pt idx="12">
                  <c:v>137.30000000000001</c:v>
                </c:pt>
                <c:pt idx="13">
                  <c:v>113.3</c:v>
                </c:pt>
                <c:pt idx="14">
                  <c:v>34.1</c:v>
                </c:pt>
                <c:pt idx="15">
                  <c:v>44</c:v>
                </c:pt>
                <c:pt idx="16">
                  <c:v>21.3</c:v>
                </c:pt>
                <c:pt idx="17">
                  <c:v>41</c:v>
                </c:pt>
                <c:pt idx="18">
                  <c:v>37.700000000000003</c:v>
                </c:pt>
                <c:pt idx="19">
                  <c:v>19.100000000000001</c:v>
                </c:pt>
                <c:pt idx="20">
                  <c:v>45.9</c:v>
                </c:pt>
                <c:pt idx="21">
                  <c:v>36.9</c:v>
                </c:pt>
              </c:numCache>
            </c:numRef>
          </c:val>
          <c:extLst>
            <c:ext xmlns:c16="http://schemas.microsoft.com/office/drawing/2014/chart" uri="{C3380CC4-5D6E-409C-BE32-E72D297353CC}">
              <c16:uniqueId val="{00000000-404F-46E7-9C5D-A8AF12143467}"/>
            </c:ext>
          </c:extLst>
        </c:ser>
        <c:ser>
          <c:idx val="1"/>
          <c:order val="1"/>
          <c:tx>
            <c:strRef>
              <c:f>'Phosphorus Trends'!$E$46</c:f>
              <c:strCache>
                <c:ptCount val="1"/>
                <c:pt idx="0">
                  <c:v>Turkey Creek Inflow</c:v>
                </c:pt>
              </c:strCache>
            </c:strRef>
          </c:tx>
          <c:spPr>
            <a:solidFill>
              <a:srgbClr val="993366"/>
            </a:solidFill>
            <a:ln w="12700">
              <a:solidFill>
                <a:srgbClr val="000000"/>
              </a:solidFill>
              <a:prstDash val="solid"/>
            </a:ln>
          </c:spPr>
          <c:invertIfNegative val="0"/>
          <c:cat>
            <c:numRef>
              <c:f>'Phosphorus Trends'!$F$3:$F$24</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'Phosphorus Trends'!$G$46:$G$67</c:f>
              <c:numCache>
                <c:formatCode>0</c:formatCode>
                <c:ptCount val="22"/>
                <c:pt idx="0" formatCode="General">
                  <c:v>537</c:v>
                </c:pt>
                <c:pt idx="1">
                  <c:v>383</c:v>
                </c:pt>
                <c:pt idx="2">
                  <c:v>362</c:v>
                </c:pt>
                <c:pt idx="3">
                  <c:v>269</c:v>
                </c:pt>
                <c:pt idx="4">
                  <c:v>91</c:v>
                </c:pt>
                <c:pt idx="5">
                  <c:v>47</c:v>
                </c:pt>
                <c:pt idx="6">
                  <c:v>16.0625</c:v>
                </c:pt>
                <c:pt idx="7" formatCode="0.0_)">
                  <c:v>80</c:v>
                </c:pt>
                <c:pt idx="8" formatCode="0.0_)">
                  <c:v>33</c:v>
                </c:pt>
                <c:pt idx="9" formatCode="0.0_)">
                  <c:v>47</c:v>
                </c:pt>
                <c:pt idx="10" formatCode="0.0_)">
                  <c:v>19</c:v>
                </c:pt>
                <c:pt idx="11" formatCode="0.0_)">
                  <c:v>22</c:v>
                </c:pt>
                <c:pt idx="12" formatCode="0.0_)">
                  <c:v>14.9</c:v>
                </c:pt>
                <c:pt idx="13" formatCode="0.0_)">
                  <c:v>22.6</c:v>
                </c:pt>
                <c:pt idx="14" formatCode="0.0_)">
                  <c:v>21.7</c:v>
                </c:pt>
                <c:pt idx="15" formatCode="0.0_)">
                  <c:v>23</c:v>
                </c:pt>
                <c:pt idx="16" formatCode="0.0_)">
                  <c:v>7.6</c:v>
                </c:pt>
                <c:pt idx="17" formatCode="0.0_)">
                  <c:v>23</c:v>
                </c:pt>
                <c:pt idx="18" formatCode="0.0_)">
                  <c:v>14.8</c:v>
                </c:pt>
                <c:pt idx="19" formatCode="0.0_)">
                  <c:v>35.5</c:v>
                </c:pt>
                <c:pt idx="20" formatCode="0.0_)">
                  <c:v>19.3</c:v>
                </c:pt>
                <c:pt idx="21" formatCode="0.0_)">
                  <c:v>12.5</c:v>
                </c:pt>
              </c:numCache>
            </c:numRef>
          </c:val>
          <c:extLst>
            <c:ext xmlns:c16="http://schemas.microsoft.com/office/drawing/2014/chart" uri="{C3380CC4-5D6E-409C-BE32-E72D297353CC}">
              <c16:uniqueId val="{00000001-404F-46E7-9C5D-A8AF12143467}"/>
            </c:ext>
          </c:extLst>
        </c:ser>
        <c:dLbls>
          <c:showLegendKey val="0"/>
          <c:showVal val="0"/>
          <c:showCatName val="0"/>
          <c:showSerName val="0"/>
          <c:showPercent val="0"/>
          <c:showBubbleSize val="0"/>
        </c:dLbls>
        <c:gapWidth val="150"/>
        <c:axId val="110332928"/>
        <c:axId val="110347008"/>
      </c:barChart>
      <c:catAx>
        <c:axId val="110332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10347008"/>
        <c:crosses val="autoZero"/>
        <c:auto val="1"/>
        <c:lblAlgn val="ctr"/>
        <c:lblOffset val="100"/>
        <c:tickLblSkip val="1"/>
        <c:tickMarkSkip val="1"/>
        <c:noMultiLvlLbl val="0"/>
      </c:catAx>
      <c:valAx>
        <c:axId val="110347008"/>
        <c:scaling>
          <c:orientation val="minMax"/>
        </c:scaling>
        <c:delete val="0"/>
        <c:axPos val="l"/>
        <c:majorGridlines>
          <c:spPr>
            <a:ln w="3175">
              <a:solidFill>
                <a:srgbClr val="000000"/>
              </a:solidFill>
              <a:prstDash val="solid"/>
            </a:ln>
          </c:spPr>
        </c:majorGridlines>
        <c:minorGridlines/>
        <c:title>
          <c:tx>
            <c:rich>
              <a:bodyPr/>
              <a:lstStyle/>
              <a:p>
                <a:pPr>
                  <a:defRPr sz="1150" b="1" i="0" u="none" strike="noStrike" baseline="0">
                    <a:solidFill>
                      <a:srgbClr val="000000"/>
                    </a:solidFill>
                    <a:latin typeface="Arial"/>
                    <a:ea typeface="Arial"/>
                    <a:cs typeface="Arial"/>
                  </a:defRPr>
                </a:pPr>
                <a:r>
                  <a:rPr lang="en-US"/>
                  <a:t>Total Phosphorus [ug/l]</a:t>
                </a:r>
              </a:p>
            </c:rich>
          </c:tx>
          <c:layout>
            <c:manualLayout>
              <c:xMode val="edge"/>
              <c:yMode val="edge"/>
              <c:x val="7.9239302694136312E-3"/>
              <c:y val="0.2351100469808045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10332928"/>
        <c:crosses val="autoZero"/>
        <c:crossBetween val="between"/>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legend>
      <c:legendPos val="r"/>
      <c:layout>
        <c:manualLayout>
          <c:xMode val="edge"/>
          <c:yMode val="edge"/>
          <c:x val="0.4173274933343506"/>
          <c:y val="0.13585509048211244"/>
          <c:w val="0.22345499997920226"/>
          <c:h val="0.14360961458765023"/>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254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6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Total Phosphorus Distributon In Water Column</a:t>
            </a:r>
          </a:p>
        </c:rich>
      </c:tx>
      <c:layout>
        <c:manualLayout>
          <c:xMode val="edge"/>
          <c:yMode val="edge"/>
          <c:x val="0.21894409937888856"/>
          <c:y val="3.333333333333334E-2"/>
        </c:manualLayout>
      </c:layout>
      <c:overlay val="0"/>
      <c:spPr>
        <a:noFill/>
        <a:ln w="25400">
          <a:noFill/>
        </a:ln>
      </c:spPr>
    </c:title>
    <c:autoTitleDeleted val="0"/>
    <c:plotArea>
      <c:layout>
        <c:manualLayout>
          <c:layoutTarget val="inner"/>
          <c:xMode val="edge"/>
          <c:yMode val="edge"/>
          <c:x val="0.13899613899614774"/>
          <c:y val="0.11794925634295711"/>
          <c:w val="0.83397683397683464"/>
          <c:h val="0.68557486917908861"/>
        </c:manualLayout>
      </c:layout>
      <c:barChart>
        <c:barDir val="col"/>
        <c:grouping val="stacked"/>
        <c:varyColors val="0"/>
        <c:ser>
          <c:idx val="0"/>
          <c:order val="0"/>
          <c:tx>
            <c:strRef>
              <c:f>'Phosphorus Trends'!$A$46</c:f>
              <c:strCache>
                <c:ptCount val="1"/>
                <c:pt idx="0">
                  <c:v>Reservoir Top</c:v>
                </c:pt>
              </c:strCache>
            </c:strRef>
          </c:tx>
          <c:spPr>
            <a:solidFill>
              <a:srgbClr val="9999FF"/>
            </a:solidFill>
            <a:ln w="12700">
              <a:solidFill>
                <a:srgbClr val="000000"/>
              </a:solidFill>
              <a:prstDash val="solid"/>
            </a:ln>
          </c:spPr>
          <c:invertIfNegative val="0"/>
          <c:cat>
            <c:numRef>
              <c:f>'Phosphorus Trends'!$B$46:$B$67</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'Phosphorus Trends'!$C$46:$C$67</c:f>
              <c:numCache>
                <c:formatCode>0</c:formatCode>
                <c:ptCount val="22"/>
                <c:pt idx="0">
                  <c:v>129</c:v>
                </c:pt>
                <c:pt idx="1">
                  <c:v>144</c:v>
                </c:pt>
                <c:pt idx="2">
                  <c:v>146</c:v>
                </c:pt>
                <c:pt idx="3">
                  <c:v>175</c:v>
                </c:pt>
                <c:pt idx="4">
                  <c:v>83</c:v>
                </c:pt>
                <c:pt idx="5">
                  <c:v>34</c:v>
                </c:pt>
                <c:pt idx="6">
                  <c:v>29.4375</c:v>
                </c:pt>
                <c:pt idx="7" formatCode="0.0_)">
                  <c:v>38</c:v>
                </c:pt>
                <c:pt idx="8" formatCode="0.0_)">
                  <c:v>33.299999999999997</c:v>
                </c:pt>
                <c:pt idx="9" formatCode="0.0_)">
                  <c:v>34</c:v>
                </c:pt>
                <c:pt idx="10" formatCode="0.0_)">
                  <c:v>59</c:v>
                </c:pt>
                <c:pt idx="11" formatCode="0.0_)">
                  <c:v>42</c:v>
                </c:pt>
                <c:pt idx="12" formatCode="0.0_)">
                  <c:v>46.1</c:v>
                </c:pt>
                <c:pt idx="13" formatCode="0.0_)">
                  <c:v>49.1</c:v>
                </c:pt>
                <c:pt idx="14" formatCode="0.0_)">
                  <c:v>24.3</c:v>
                </c:pt>
                <c:pt idx="15" formatCode="0.0_)">
                  <c:v>33</c:v>
                </c:pt>
                <c:pt idx="16" formatCode="0.0_)">
                  <c:v>21.6</c:v>
                </c:pt>
                <c:pt idx="17" formatCode="0.0_)">
                  <c:v>30</c:v>
                </c:pt>
                <c:pt idx="18" formatCode="0.0_)">
                  <c:v>39.799999999999997</c:v>
                </c:pt>
                <c:pt idx="19" formatCode="0.0_)">
                  <c:v>34.200000000000003</c:v>
                </c:pt>
                <c:pt idx="20" formatCode="0.0_)">
                  <c:v>28.3</c:v>
                </c:pt>
                <c:pt idx="21" formatCode="0.0_)">
                  <c:v>33.700000000000003</c:v>
                </c:pt>
              </c:numCache>
            </c:numRef>
          </c:val>
          <c:extLst>
            <c:ext xmlns:c16="http://schemas.microsoft.com/office/drawing/2014/chart" uri="{C3380CC4-5D6E-409C-BE32-E72D297353CC}">
              <c16:uniqueId val="{00000000-0F75-4C83-B47C-3D78F8C50160}"/>
            </c:ext>
          </c:extLst>
        </c:ser>
        <c:ser>
          <c:idx val="2"/>
          <c:order val="1"/>
          <c:tx>
            <c:strRef>
              <c:f>'Phosphorus Trends'!$A$3</c:f>
              <c:strCache>
                <c:ptCount val="1"/>
                <c:pt idx="0">
                  <c:v>Reservoir Bottom</c:v>
                </c:pt>
              </c:strCache>
            </c:strRef>
          </c:tx>
          <c:spPr>
            <a:solidFill>
              <a:srgbClr val="FFFFCC"/>
            </a:solidFill>
            <a:ln w="12700">
              <a:solidFill>
                <a:srgbClr val="000000"/>
              </a:solidFill>
              <a:prstDash val="solid"/>
            </a:ln>
          </c:spPr>
          <c:invertIfNegative val="0"/>
          <c:cat>
            <c:numRef>
              <c:f>'Phosphorus Trends'!$B$46:$B$67</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'Phosphorus Trends'!$C$3:$C$24</c:f>
              <c:numCache>
                <c:formatCode>0</c:formatCode>
                <c:ptCount val="22"/>
                <c:pt idx="0">
                  <c:v>119.5</c:v>
                </c:pt>
                <c:pt idx="1">
                  <c:v>270</c:v>
                </c:pt>
                <c:pt idx="2">
                  <c:v>201</c:v>
                </c:pt>
                <c:pt idx="3">
                  <c:v>240</c:v>
                </c:pt>
                <c:pt idx="4">
                  <c:v>100</c:v>
                </c:pt>
                <c:pt idx="5">
                  <c:v>52</c:v>
                </c:pt>
                <c:pt idx="6">
                  <c:v>66.1875</c:v>
                </c:pt>
                <c:pt idx="7">
                  <c:v>85.579818007202547</c:v>
                </c:pt>
                <c:pt idx="8">
                  <c:v>69.2</c:v>
                </c:pt>
                <c:pt idx="9">
                  <c:v>54</c:v>
                </c:pt>
                <c:pt idx="10">
                  <c:v>56</c:v>
                </c:pt>
                <c:pt idx="11">
                  <c:v>64</c:v>
                </c:pt>
                <c:pt idx="12">
                  <c:v>55.5</c:v>
                </c:pt>
                <c:pt idx="13">
                  <c:v>52.9</c:v>
                </c:pt>
                <c:pt idx="14">
                  <c:v>44.3</c:v>
                </c:pt>
                <c:pt idx="15">
                  <c:v>47</c:v>
                </c:pt>
                <c:pt idx="16">
                  <c:v>26</c:v>
                </c:pt>
                <c:pt idx="17">
                  <c:v>31</c:v>
                </c:pt>
                <c:pt idx="18">
                  <c:v>62.2</c:v>
                </c:pt>
                <c:pt idx="19">
                  <c:v>35.299999999999997</c:v>
                </c:pt>
                <c:pt idx="20">
                  <c:v>38.9</c:v>
                </c:pt>
                <c:pt idx="21">
                  <c:v>47.9</c:v>
                </c:pt>
              </c:numCache>
            </c:numRef>
          </c:val>
          <c:extLst>
            <c:ext xmlns:c16="http://schemas.microsoft.com/office/drawing/2014/chart" uri="{C3380CC4-5D6E-409C-BE32-E72D297353CC}">
              <c16:uniqueId val="{00000001-0F75-4C83-B47C-3D78F8C50160}"/>
            </c:ext>
          </c:extLst>
        </c:ser>
        <c:dLbls>
          <c:showLegendKey val="0"/>
          <c:showVal val="0"/>
          <c:showCatName val="0"/>
          <c:showSerName val="0"/>
          <c:showPercent val="0"/>
          <c:showBubbleSize val="0"/>
        </c:dLbls>
        <c:gapWidth val="150"/>
        <c:overlap val="100"/>
        <c:axId val="118384128"/>
        <c:axId val="118385664"/>
      </c:barChart>
      <c:catAx>
        <c:axId val="118384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1" i="0" u="none" strike="noStrike" baseline="0">
                <a:solidFill>
                  <a:srgbClr val="000000"/>
                </a:solidFill>
                <a:latin typeface="Arial"/>
                <a:ea typeface="Arial"/>
                <a:cs typeface="Arial"/>
              </a:defRPr>
            </a:pPr>
            <a:endParaRPr lang="en-US"/>
          </a:p>
        </c:txPr>
        <c:crossAx val="118385664"/>
        <c:crosses val="autoZero"/>
        <c:auto val="1"/>
        <c:lblAlgn val="ctr"/>
        <c:lblOffset val="100"/>
        <c:tickLblSkip val="1"/>
        <c:tickMarkSkip val="1"/>
        <c:noMultiLvlLbl val="0"/>
      </c:catAx>
      <c:valAx>
        <c:axId val="118385664"/>
        <c:scaling>
          <c:orientation val="minMax"/>
        </c:scaling>
        <c:delete val="0"/>
        <c:axPos val="l"/>
        <c:majorGridlines>
          <c:spPr>
            <a:ln w="3175">
              <a:solidFill>
                <a:srgbClr val="000000"/>
              </a:solidFill>
              <a:prstDash val="solid"/>
            </a:ln>
          </c:spPr>
        </c:majorGridlines>
        <c:minorGridlines/>
        <c:title>
          <c:tx>
            <c:rich>
              <a:bodyPr/>
              <a:lstStyle/>
              <a:p>
                <a:pPr>
                  <a:defRPr sz="1000" b="1" i="0" u="none" strike="noStrike" baseline="0">
                    <a:solidFill>
                      <a:srgbClr val="000000"/>
                    </a:solidFill>
                    <a:latin typeface="Arial"/>
                    <a:ea typeface="Arial"/>
                    <a:cs typeface="Arial"/>
                  </a:defRPr>
                </a:pPr>
                <a:r>
                  <a:rPr lang="en-US"/>
                  <a:t>Total Phosphorus ug/l</a:t>
                </a:r>
              </a:p>
            </c:rich>
          </c:tx>
          <c:layout>
            <c:manualLayout>
              <c:xMode val="edge"/>
              <c:yMode val="edge"/>
              <c:x val="3.7099166951957092E-2"/>
              <c:y val="0.2150306211723539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18384128"/>
        <c:crosses val="autoZero"/>
        <c:crossBetween val="between"/>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t"/>
      <c:layout>
        <c:manualLayout>
          <c:xMode val="edge"/>
          <c:yMode val="edge"/>
          <c:x val="0.62447547317456487"/>
          <c:y val="0.12307719227404265"/>
          <c:w val="0.24811154040527544"/>
          <c:h val="0.15378200366463626"/>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a:t>Bear Creek Reservoir Chlorophyll [ug/l] Trend</a:t>
            </a:r>
          </a:p>
        </c:rich>
      </c:tx>
      <c:layout>
        <c:manualLayout>
          <c:xMode val="edge"/>
          <c:yMode val="edge"/>
          <c:x val="0.24096385542168691"/>
          <c:y val="4.065040650406504E-2"/>
        </c:manualLayout>
      </c:layout>
      <c:overlay val="0"/>
      <c:spPr>
        <a:noFill/>
        <a:ln w="25400">
          <a:noFill/>
        </a:ln>
      </c:spPr>
    </c:title>
    <c:autoTitleDeleted val="0"/>
    <c:plotArea>
      <c:layout>
        <c:manualLayout>
          <c:layoutTarget val="inner"/>
          <c:xMode val="edge"/>
          <c:yMode val="edge"/>
          <c:x val="9.6385731178093584E-2"/>
          <c:y val="0.19105766902339388"/>
          <c:w val="0.89357604946357594"/>
          <c:h val="0.60569346137203661"/>
        </c:manualLayout>
      </c:layout>
      <c:barChart>
        <c:barDir val="col"/>
        <c:grouping val="clustered"/>
        <c:varyColors val="0"/>
        <c:ser>
          <c:idx val="0"/>
          <c:order val="0"/>
          <c:tx>
            <c:strRef>
              <c:f>'Annual Reservoir Trends'!$B$4</c:f>
              <c:strCache>
                <c:ptCount val="1"/>
                <c:pt idx="0">
                  <c:v>Top</c:v>
                </c:pt>
              </c:strCache>
            </c:strRef>
          </c:tx>
          <c:spPr>
            <a:solidFill>
              <a:srgbClr val="9999FF"/>
            </a:solidFill>
            <a:ln w="12700">
              <a:solidFill>
                <a:srgbClr val="000000"/>
              </a:solidFill>
              <a:prstDash val="solid"/>
            </a:ln>
          </c:spPr>
          <c:invertIfNegative val="0"/>
          <c:trendline>
            <c:spPr>
              <a:ln w="25400">
                <a:solidFill>
                  <a:srgbClr val="000000"/>
                </a:solidFill>
                <a:prstDash val="solid"/>
              </a:ln>
            </c:spPr>
            <c:trendlineType val="linear"/>
            <c:dispRSqr val="0"/>
            <c:dispEq val="0"/>
          </c:trendline>
          <c:cat>
            <c:numRef>
              <c:f>'Annual Reservoir Trends'!$C$3:$W$3</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'Annual Reservoir Trends'!$C$4:$W$4</c:f>
              <c:numCache>
                <c:formatCode>0.0</c:formatCode>
                <c:ptCount val="21"/>
                <c:pt idx="0">
                  <c:v>17.670000000000002</c:v>
                </c:pt>
                <c:pt idx="1">
                  <c:v>26.03</c:v>
                </c:pt>
                <c:pt idx="2">
                  <c:v>13.73</c:v>
                </c:pt>
                <c:pt idx="3">
                  <c:v>29.68</c:v>
                </c:pt>
                <c:pt idx="4">
                  <c:v>9.4</c:v>
                </c:pt>
                <c:pt idx="5">
                  <c:v>17.100000000000001</c:v>
                </c:pt>
                <c:pt idx="6">
                  <c:v>8.23</c:v>
                </c:pt>
                <c:pt idx="7">
                  <c:v>4.9000000000000004</c:v>
                </c:pt>
                <c:pt idx="8">
                  <c:v>6.2</c:v>
                </c:pt>
                <c:pt idx="9" formatCode="General">
                  <c:v>23.9</c:v>
                </c:pt>
                <c:pt idx="10" formatCode="General">
                  <c:v>24.6</c:v>
                </c:pt>
                <c:pt idx="11" formatCode="General">
                  <c:v>15.4</c:v>
                </c:pt>
                <c:pt idx="12" formatCode="General">
                  <c:v>14.8</c:v>
                </c:pt>
                <c:pt idx="13" formatCode="General">
                  <c:v>6.6</c:v>
                </c:pt>
                <c:pt idx="14" formatCode="General">
                  <c:v>15.4</c:v>
                </c:pt>
                <c:pt idx="15" formatCode="General">
                  <c:v>9.1</c:v>
                </c:pt>
                <c:pt idx="16" formatCode="General">
                  <c:v>9.3000000000000007</c:v>
                </c:pt>
                <c:pt idx="17" formatCode="General">
                  <c:v>17.3</c:v>
                </c:pt>
                <c:pt idx="18" formatCode="General">
                  <c:v>12.5</c:v>
                </c:pt>
                <c:pt idx="19" formatCode="General">
                  <c:v>10.6</c:v>
                </c:pt>
                <c:pt idx="20" formatCode="General">
                  <c:v>10.8</c:v>
                </c:pt>
              </c:numCache>
            </c:numRef>
          </c:val>
          <c:extLst>
            <c:ext xmlns:c16="http://schemas.microsoft.com/office/drawing/2014/chart" uri="{C3380CC4-5D6E-409C-BE32-E72D297353CC}">
              <c16:uniqueId val="{00000001-324A-4F7F-8188-C0A6EC0B5E57}"/>
            </c:ext>
          </c:extLst>
        </c:ser>
        <c:dLbls>
          <c:showLegendKey val="0"/>
          <c:showVal val="0"/>
          <c:showCatName val="0"/>
          <c:showSerName val="0"/>
          <c:showPercent val="0"/>
          <c:showBubbleSize val="0"/>
        </c:dLbls>
        <c:gapWidth val="150"/>
        <c:axId val="133102976"/>
        <c:axId val="134728320"/>
      </c:barChart>
      <c:catAx>
        <c:axId val="133102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Arial"/>
                <a:ea typeface="Arial"/>
                <a:cs typeface="Arial"/>
              </a:defRPr>
            </a:pPr>
            <a:endParaRPr lang="en-US"/>
          </a:p>
        </c:txPr>
        <c:crossAx val="134728320"/>
        <c:crosses val="autoZero"/>
        <c:auto val="1"/>
        <c:lblAlgn val="ctr"/>
        <c:lblOffset val="100"/>
        <c:tickLblSkip val="1"/>
        <c:tickMarkSkip val="1"/>
        <c:noMultiLvlLbl val="0"/>
      </c:catAx>
      <c:valAx>
        <c:axId val="13472832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n-US"/>
          </a:p>
        </c:txPr>
        <c:crossAx val="133102976"/>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a:t>2008 Total Suspended Sediment Load into Reservoir</a:t>
            </a:r>
          </a:p>
        </c:rich>
      </c:tx>
      <c:layout>
        <c:manualLayout>
          <c:xMode val="edge"/>
          <c:yMode val="edge"/>
          <c:x val="0.30093209054593872"/>
          <c:y val="4.2194092827004523E-2"/>
        </c:manualLayout>
      </c:layout>
      <c:overlay val="0"/>
      <c:spPr>
        <a:noFill/>
        <a:ln w="25400">
          <a:noFill/>
        </a:ln>
      </c:spPr>
    </c:title>
    <c:autoTitleDeleted val="0"/>
    <c:plotArea>
      <c:layout>
        <c:manualLayout>
          <c:layoutTarget val="inner"/>
          <c:xMode val="edge"/>
          <c:yMode val="edge"/>
          <c:x val="0.14233576642335766"/>
          <c:y val="0.12658280006757675"/>
          <c:w val="0.83211678832114211"/>
          <c:h val="0.71730253371623909"/>
        </c:manualLayout>
      </c:layout>
      <c:lineChart>
        <c:grouping val="standard"/>
        <c:varyColors val="0"/>
        <c:ser>
          <c:idx val="0"/>
          <c:order val="0"/>
          <c:tx>
            <c:strRef>
              <c:f>Loading!$A$45</c:f>
              <c:strCache>
                <c:ptCount val="1"/>
                <c:pt idx="0">
                  <c:v>Bear Creek </c:v>
                </c:pt>
              </c:strCache>
            </c:strRef>
          </c:tx>
          <c:spPr>
            <a:ln w="38100">
              <a:solidFill>
                <a:srgbClr val="000080"/>
              </a:solidFill>
              <a:prstDash val="solid"/>
            </a:ln>
          </c:spPr>
          <c:marker>
            <c:symbol val="diamond"/>
            <c:size val="9"/>
            <c:spPr>
              <a:solidFill>
                <a:srgbClr val="000080"/>
              </a:solidFill>
              <a:ln>
                <a:solidFill>
                  <a:srgbClr val="000080"/>
                </a:solidFill>
                <a:prstDash val="solid"/>
              </a:ln>
            </c:spPr>
          </c:marker>
          <c:cat>
            <c:strRef>
              <c:f>Loading!$B$43:$M$43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Loading!$B$45:$M$45</c:f>
              <c:numCache>
                <c:formatCode>#,##0</c:formatCode>
                <c:ptCount val="12"/>
                <c:pt idx="0">
                  <c:v>4003.9922176800005</c:v>
                </c:pt>
                <c:pt idx="1">
                  <c:v>2617.9949115600002</c:v>
                </c:pt>
                <c:pt idx="2">
                  <c:v>3156.9938639399998</c:v>
                </c:pt>
                <c:pt idx="3">
                  <c:v>2309.9955102000004</c:v>
                </c:pt>
                <c:pt idx="4">
                  <c:v>9008.9824897800008</c:v>
                </c:pt>
                <c:pt idx="5">
                  <c:v>4080.9920680200003</c:v>
                </c:pt>
                <c:pt idx="6">
                  <c:v>9008.9824897800008</c:v>
                </c:pt>
                <c:pt idx="7">
                  <c:v>3079.9940136000005</c:v>
                </c:pt>
                <c:pt idx="8">
                  <c:v>5851.9886258400002</c:v>
                </c:pt>
                <c:pt idx="9">
                  <c:v>2540.99506122</c:v>
                </c:pt>
                <c:pt idx="10">
                  <c:v>3002.9941632600003</c:v>
                </c:pt>
                <c:pt idx="11">
                  <c:v>1539.9970068000002</c:v>
                </c:pt>
              </c:numCache>
            </c:numRef>
          </c:val>
          <c:smooth val="0"/>
          <c:extLst>
            <c:ext xmlns:c16="http://schemas.microsoft.com/office/drawing/2014/chart" uri="{C3380CC4-5D6E-409C-BE32-E72D297353CC}">
              <c16:uniqueId val="{00000000-1C0C-4BF6-A0A6-344E15F1623F}"/>
            </c:ext>
          </c:extLst>
        </c:ser>
        <c:ser>
          <c:idx val="1"/>
          <c:order val="1"/>
          <c:tx>
            <c:strRef>
              <c:f>Loading!$A$44</c:f>
              <c:strCache>
                <c:ptCount val="1"/>
                <c:pt idx="0">
                  <c:v>Turkey Creek </c:v>
                </c:pt>
              </c:strCache>
            </c:strRef>
          </c:tx>
          <c:spPr>
            <a:ln w="38100">
              <a:solidFill>
                <a:srgbClr val="FF00FF"/>
              </a:solidFill>
              <a:prstDash val="solid"/>
            </a:ln>
          </c:spPr>
          <c:marker>
            <c:symbol val="square"/>
            <c:size val="6"/>
            <c:spPr>
              <a:solidFill>
                <a:srgbClr val="FF00FF"/>
              </a:solidFill>
              <a:ln>
                <a:solidFill>
                  <a:srgbClr val="FF00FF"/>
                </a:solidFill>
                <a:prstDash val="solid"/>
              </a:ln>
            </c:spPr>
          </c:marker>
          <c:cat>
            <c:strRef>
              <c:f>Loading!$B$43:$M$43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Loading!$B$44:$M$44</c:f>
              <c:numCache>
                <c:formatCode>#,##0</c:formatCode>
                <c:ptCount val="12"/>
                <c:pt idx="0">
                  <c:v>261.12992724000009</c:v>
                </c:pt>
                <c:pt idx="1">
                  <c:v>979.23722715000019</c:v>
                </c:pt>
                <c:pt idx="2">
                  <c:v>261.12992724000009</c:v>
                </c:pt>
                <c:pt idx="3">
                  <c:v>417.80788358400008</c:v>
                </c:pt>
                <c:pt idx="4">
                  <c:v>391.6948908600001</c:v>
                </c:pt>
                <c:pt idx="5">
                  <c:v>1801.7964979560004</c:v>
                </c:pt>
                <c:pt idx="6">
                  <c:v>1240.3671543900005</c:v>
                </c:pt>
                <c:pt idx="7">
                  <c:v>5777.4996401850012</c:v>
                </c:pt>
                <c:pt idx="8">
                  <c:v>1638.5902934310006</c:v>
                </c:pt>
                <c:pt idx="9">
                  <c:v>822.55927080600009</c:v>
                </c:pt>
                <c:pt idx="10">
                  <c:v>261.12992724000009</c:v>
                </c:pt>
                <c:pt idx="11">
                  <c:v>261.12992724000009</c:v>
                </c:pt>
              </c:numCache>
            </c:numRef>
          </c:val>
          <c:smooth val="0"/>
          <c:extLst>
            <c:ext xmlns:c16="http://schemas.microsoft.com/office/drawing/2014/chart" uri="{C3380CC4-5D6E-409C-BE32-E72D297353CC}">
              <c16:uniqueId val="{00000001-1C0C-4BF6-A0A6-344E15F1623F}"/>
            </c:ext>
          </c:extLst>
        </c:ser>
        <c:dLbls>
          <c:showLegendKey val="0"/>
          <c:showVal val="0"/>
          <c:showCatName val="0"/>
          <c:showSerName val="0"/>
          <c:showPercent val="0"/>
          <c:showBubbleSize val="0"/>
        </c:dLbls>
        <c:marker val="1"/>
        <c:smooth val="0"/>
        <c:axId val="118401280"/>
        <c:axId val="118407552"/>
      </c:lineChart>
      <c:catAx>
        <c:axId val="118401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18407552"/>
        <c:crosses val="autoZero"/>
        <c:auto val="1"/>
        <c:lblAlgn val="ctr"/>
        <c:lblOffset val="100"/>
        <c:tickLblSkip val="1"/>
        <c:tickMarkSkip val="1"/>
        <c:noMultiLvlLbl val="0"/>
      </c:catAx>
      <c:valAx>
        <c:axId val="118407552"/>
        <c:scaling>
          <c:orientation val="minMax"/>
          <c:min val="0"/>
        </c:scaling>
        <c:delete val="0"/>
        <c:axPos val="l"/>
        <c:majorGridlines>
          <c:spPr>
            <a:ln w="3175">
              <a:solidFill>
                <a:srgbClr val="000000"/>
              </a:solidFill>
              <a:prstDash val="solid"/>
            </a:ln>
          </c:spPr>
        </c:majorGridlines>
        <c:minorGridlines/>
        <c:title>
          <c:tx>
            <c:rich>
              <a:bodyPr/>
              <a:lstStyle/>
              <a:p>
                <a:pPr>
                  <a:defRPr sz="1000" b="1" i="0" u="none" strike="noStrike" baseline="0">
                    <a:solidFill>
                      <a:srgbClr val="000000"/>
                    </a:solidFill>
                    <a:latin typeface="Arial"/>
                    <a:ea typeface="Arial"/>
                    <a:cs typeface="Arial"/>
                  </a:defRPr>
                </a:pPr>
                <a:r>
                  <a:rPr lang="en-US"/>
                  <a:t>Total TSS Load (Pounds)</a:t>
                </a:r>
              </a:p>
            </c:rich>
          </c:tx>
          <c:layout>
            <c:manualLayout>
              <c:xMode val="edge"/>
              <c:yMode val="edge"/>
              <c:x val="2.1897802055702412E-2"/>
              <c:y val="0.1476797678771167"/>
            </c:manualLayout>
          </c:layout>
          <c:overlay val="0"/>
          <c:spPr>
            <a:noFill/>
            <a:ln w="25400">
              <a:noFill/>
            </a:ln>
          </c:spPr>
        </c:title>
        <c:numFmt formatCode="#,##0" sourceLinked="1"/>
        <c:majorTickMark val="out"/>
        <c:minorTickMark val="none"/>
        <c:tickLblPos val="nextTo"/>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18401280"/>
        <c:crosses val="autoZero"/>
        <c:crossBetween val="between"/>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r"/>
      <c:layout>
        <c:manualLayout>
          <c:xMode val="edge"/>
          <c:yMode val="edge"/>
          <c:x val="0.83955460960189565"/>
          <c:y val="0.14205433181613003"/>
          <c:w val="0.13237824632773099"/>
          <c:h val="0.22362957794832417"/>
        </c:manualLayout>
      </c:layout>
      <c:overlay val="0"/>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a:t>2011 Total Suspended Sediment Load into Reservoir</a:t>
            </a:r>
          </a:p>
        </c:rich>
      </c:tx>
      <c:layout>
        <c:manualLayout>
          <c:xMode val="edge"/>
          <c:yMode val="edge"/>
          <c:x val="0.30093209054593872"/>
          <c:y val="4.2194092827004523E-2"/>
        </c:manualLayout>
      </c:layout>
      <c:overlay val="0"/>
      <c:spPr>
        <a:noFill/>
        <a:ln w="25400">
          <a:noFill/>
        </a:ln>
      </c:spPr>
    </c:title>
    <c:autoTitleDeleted val="0"/>
    <c:plotArea>
      <c:layout>
        <c:manualLayout>
          <c:layoutTarget val="inner"/>
          <c:xMode val="edge"/>
          <c:yMode val="edge"/>
          <c:x val="0.14233576642335766"/>
          <c:y val="0.12658280006757675"/>
          <c:w val="0.83211678832114588"/>
          <c:h val="0.71730253371624331"/>
        </c:manualLayout>
      </c:layout>
      <c:lineChart>
        <c:grouping val="standard"/>
        <c:varyColors val="0"/>
        <c:ser>
          <c:idx val="0"/>
          <c:order val="0"/>
          <c:tx>
            <c:strRef>
              <c:f>Loading!$A$45</c:f>
              <c:strCache>
                <c:ptCount val="1"/>
                <c:pt idx="0">
                  <c:v>Bear Creek </c:v>
                </c:pt>
              </c:strCache>
            </c:strRef>
          </c:tx>
          <c:spPr>
            <a:ln w="38100">
              <a:solidFill>
                <a:srgbClr val="000080"/>
              </a:solidFill>
              <a:prstDash val="solid"/>
            </a:ln>
          </c:spPr>
          <c:marker>
            <c:symbol val="diamond"/>
            <c:size val="9"/>
            <c:spPr>
              <a:solidFill>
                <a:srgbClr val="000080"/>
              </a:solidFill>
              <a:ln>
                <a:solidFill>
                  <a:srgbClr val="000080"/>
                </a:solidFill>
                <a:prstDash val="solid"/>
              </a:ln>
            </c:spPr>
          </c:marker>
          <c:cat>
            <c:numRef>
              <c:f>[1]Loading!$B$31:$M$31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Loading!$B$45:$M$45</c:f>
              <c:numCache>
                <c:formatCode>#,##0</c:formatCode>
                <c:ptCount val="12"/>
                <c:pt idx="0">
                  <c:v>4003.9922176800005</c:v>
                </c:pt>
                <c:pt idx="1">
                  <c:v>2617.9949115600002</c:v>
                </c:pt>
                <c:pt idx="2">
                  <c:v>3156.9938639399998</c:v>
                </c:pt>
                <c:pt idx="3">
                  <c:v>2309.9955102000004</c:v>
                </c:pt>
                <c:pt idx="4">
                  <c:v>9008.9824897800008</c:v>
                </c:pt>
                <c:pt idx="5">
                  <c:v>4080.9920680200003</c:v>
                </c:pt>
                <c:pt idx="6">
                  <c:v>9008.9824897800008</c:v>
                </c:pt>
                <c:pt idx="7">
                  <c:v>3079.9940136000005</c:v>
                </c:pt>
                <c:pt idx="8">
                  <c:v>5851.9886258400002</c:v>
                </c:pt>
                <c:pt idx="9">
                  <c:v>2540.99506122</c:v>
                </c:pt>
                <c:pt idx="10">
                  <c:v>3002.9941632600003</c:v>
                </c:pt>
                <c:pt idx="11">
                  <c:v>1539.9970068000002</c:v>
                </c:pt>
              </c:numCache>
            </c:numRef>
          </c:val>
          <c:smooth val="0"/>
          <c:extLst>
            <c:ext xmlns:c16="http://schemas.microsoft.com/office/drawing/2014/chart" uri="{C3380CC4-5D6E-409C-BE32-E72D297353CC}">
              <c16:uniqueId val="{00000000-F367-4C58-8CBE-DAA0E5C262F5}"/>
            </c:ext>
          </c:extLst>
        </c:ser>
        <c:ser>
          <c:idx val="1"/>
          <c:order val="1"/>
          <c:tx>
            <c:strRef>
              <c:f>Loading!$A$44</c:f>
              <c:strCache>
                <c:ptCount val="1"/>
                <c:pt idx="0">
                  <c:v>Turkey Creek </c:v>
                </c:pt>
              </c:strCache>
            </c:strRef>
          </c:tx>
          <c:spPr>
            <a:ln w="38100">
              <a:solidFill>
                <a:srgbClr val="FF00FF"/>
              </a:solidFill>
              <a:prstDash val="solid"/>
            </a:ln>
          </c:spPr>
          <c:marker>
            <c:symbol val="square"/>
            <c:size val="6"/>
            <c:spPr>
              <a:solidFill>
                <a:srgbClr val="FF00FF"/>
              </a:solidFill>
              <a:ln>
                <a:solidFill>
                  <a:srgbClr val="FF00FF"/>
                </a:solidFill>
                <a:prstDash val="solid"/>
              </a:ln>
            </c:spPr>
          </c:marker>
          <c:cat>
            <c:numRef>
              <c:f>[1]Loading!$B$31:$M$31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Loading!$B$44:$M$44</c:f>
              <c:numCache>
                <c:formatCode>#,##0</c:formatCode>
                <c:ptCount val="12"/>
                <c:pt idx="0">
                  <c:v>261.12992724000009</c:v>
                </c:pt>
                <c:pt idx="1">
                  <c:v>979.23722715000019</c:v>
                </c:pt>
                <c:pt idx="2">
                  <c:v>261.12992724000009</c:v>
                </c:pt>
                <c:pt idx="3">
                  <c:v>417.80788358400008</c:v>
                </c:pt>
                <c:pt idx="4">
                  <c:v>391.6948908600001</c:v>
                </c:pt>
                <c:pt idx="5">
                  <c:v>1801.7964979560004</c:v>
                </c:pt>
                <c:pt idx="6">
                  <c:v>1240.3671543900005</c:v>
                </c:pt>
                <c:pt idx="7">
                  <c:v>5777.4996401850012</c:v>
                </c:pt>
                <c:pt idx="8">
                  <c:v>1638.5902934310006</c:v>
                </c:pt>
                <c:pt idx="9">
                  <c:v>822.55927080600009</c:v>
                </c:pt>
                <c:pt idx="10">
                  <c:v>261.12992724000009</c:v>
                </c:pt>
                <c:pt idx="11">
                  <c:v>261.12992724000009</c:v>
                </c:pt>
              </c:numCache>
            </c:numRef>
          </c:val>
          <c:smooth val="0"/>
          <c:extLst>
            <c:ext xmlns:c16="http://schemas.microsoft.com/office/drawing/2014/chart" uri="{C3380CC4-5D6E-409C-BE32-E72D297353CC}">
              <c16:uniqueId val="{00000001-F367-4C58-8CBE-DAA0E5C262F5}"/>
            </c:ext>
          </c:extLst>
        </c:ser>
        <c:dLbls>
          <c:showLegendKey val="0"/>
          <c:showVal val="0"/>
          <c:showCatName val="0"/>
          <c:showSerName val="0"/>
          <c:showPercent val="0"/>
          <c:showBubbleSize val="0"/>
        </c:dLbls>
        <c:marker val="1"/>
        <c:smooth val="0"/>
        <c:axId val="118473472"/>
        <c:axId val="118475392"/>
      </c:lineChart>
      <c:catAx>
        <c:axId val="118473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18475392"/>
        <c:crosses val="autoZero"/>
        <c:auto val="1"/>
        <c:lblAlgn val="ctr"/>
        <c:lblOffset val="100"/>
        <c:tickLblSkip val="1"/>
        <c:tickMarkSkip val="1"/>
        <c:noMultiLvlLbl val="0"/>
      </c:catAx>
      <c:valAx>
        <c:axId val="118475392"/>
        <c:scaling>
          <c:orientation val="minMax"/>
          <c:min val="0"/>
        </c:scaling>
        <c:delete val="0"/>
        <c:axPos val="l"/>
        <c:majorGridlines>
          <c:spPr>
            <a:ln w="3175">
              <a:solidFill>
                <a:srgbClr val="000000"/>
              </a:solidFill>
              <a:prstDash val="solid"/>
            </a:ln>
          </c:spPr>
        </c:majorGridlines>
        <c:minorGridlines/>
        <c:title>
          <c:tx>
            <c:rich>
              <a:bodyPr/>
              <a:lstStyle/>
              <a:p>
                <a:pPr>
                  <a:defRPr sz="1000" b="1" i="0" u="none" strike="noStrike" baseline="0">
                    <a:solidFill>
                      <a:srgbClr val="000000"/>
                    </a:solidFill>
                    <a:latin typeface="Arial"/>
                    <a:ea typeface="Arial"/>
                    <a:cs typeface="Arial"/>
                  </a:defRPr>
                </a:pPr>
                <a:r>
                  <a:rPr lang="en-US"/>
                  <a:t>Total TSS Load (Pounds)</a:t>
                </a:r>
              </a:p>
            </c:rich>
          </c:tx>
          <c:layout>
            <c:manualLayout>
              <c:xMode val="edge"/>
              <c:yMode val="edge"/>
              <c:x val="2.1897802055702412E-2"/>
              <c:y val="0.1476797678771167"/>
            </c:manualLayout>
          </c:layout>
          <c:overlay val="0"/>
          <c:spPr>
            <a:noFill/>
            <a:ln w="25400">
              <a:noFill/>
            </a:ln>
          </c:spPr>
        </c:title>
        <c:numFmt formatCode="#,##0" sourceLinked="1"/>
        <c:majorTickMark val="out"/>
        <c:minorTickMark val="none"/>
        <c:tickLblPos val="nextTo"/>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18473472"/>
        <c:crosses val="autoZero"/>
        <c:crossBetween val="between"/>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r"/>
      <c:layout>
        <c:manualLayout>
          <c:xMode val="edge"/>
          <c:yMode val="edge"/>
          <c:x val="0.81616276035669999"/>
          <c:y val="0.14205433181612806"/>
          <c:w val="0.15577013399641168"/>
          <c:h val="0.22362957794832417"/>
        </c:manualLayout>
      </c:layout>
      <c:overlay val="0"/>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2011 Bear Creek ReservoirTotal Suspended Sediment Load (pounds, %) </a:t>
            </a:r>
          </a:p>
        </c:rich>
      </c:tx>
      <c:layout>
        <c:manualLayout>
          <c:xMode val="edge"/>
          <c:yMode val="edge"/>
          <c:x val="9.8447124489185689E-2"/>
          <c:y val="7.9710144927536336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3.9804644672580484E-2"/>
          <c:y val="0.31304347826086992"/>
          <c:w val="0.93994219077045749"/>
          <c:h val="0.62898550724640101"/>
        </c:manualLayout>
      </c:layout>
      <c:pie3DChart>
        <c:varyColors val="1"/>
        <c:ser>
          <c:idx val="0"/>
          <c:order val="0"/>
          <c:tx>
            <c:strRef>
              <c:f>Loading!$A$43</c:f>
              <c:strCache>
                <c:ptCount val="1"/>
                <c:pt idx="0">
                  <c:v>TSS (Pounds)</c:v>
                </c:pt>
              </c:strCache>
            </c:strRef>
          </c:tx>
          <c:spPr>
            <a:solidFill>
              <a:srgbClr val="00FF00"/>
            </a:solidFill>
            <a:ln w="12700">
              <a:solidFill>
                <a:srgbClr val="000000"/>
              </a:solidFill>
              <a:prstDash val="solid"/>
            </a:ln>
          </c:spPr>
          <c:explosion val="20"/>
          <c:dPt>
            <c:idx val="0"/>
            <c:bubble3D val="0"/>
            <c:explosion val="0"/>
            <c:spPr>
              <a:solidFill>
                <a:srgbClr val="CC99FF"/>
              </a:solidFill>
              <a:ln w="12700">
                <a:solidFill>
                  <a:srgbClr val="000000"/>
                </a:solidFill>
                <a:prstDash val="solid"/>
              </a:ln>
            </c:spPr>
            <c:extLst>
              <c:ext xmlns:c16="http://schemas.microsoft.com/office/drawing/2014/chart" uri="{C3380CC4-5D6E-409C-BE32-E72D297353CC}">
                <c16:uniqueId val="{00000000-62A7-46A1-82C4-CE5AAE85716F}"/>
              </c:ext>
            </c:extLst>
          </c:dPt>
          <c:dPt>
            <c:idx val="1"/>
            <c:bubble3D val="0"/>
            <c:explosion val="41"/>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62A7-46A1-82C4-CE5AAE85716F}"/>
              </c:ext>
            </c:extLst>
          </c:dPt>
          <c:dLbls>
            <c:dLbl>
              <c:idx val="0"/>
              <c:layout>
                <c:manualLayout>
                  <c:x val="-3.7261038572711058E-3"/>
                  <c:y val="-3.0603674540682413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2A7-46A1-82C4-CE5AAE85716F}"/>
                </c:ext>
              </c:extLst>
            </c:dLbl>
            <c:dLbl>
              <c:idx val="1"/>
              <c:layout>
                <c:manualLayout>
                  <c:x val="5.7178245124422725E-2"/>
                  <c:y val="-0.4139997717676601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2A7-46A1-82C4-CE5AAE85716F}"/>
                </c:ext>
              </c:extLst>
            </c:dLbl>
            <c:numFmt formatCode="0%" sourceLinked="0"/>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25400">
                <a:noFill/>
              </a:ln>
            </c:spPr>
            <c:txPr>
              <a:bodyPr/>
              <a:lstStyle/>
              <a:p>
                <a:pPr>
                  <a:defRPr sz="800" b="1"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howLeaderLines val="0"/>
            <c:extLst>
              <c:ext xmlns:c15="http://schemas.microsoft.com/office/drawing/2012/chart" uri="{CE6537A1-D6FC-4f65-9D91-7224C49458BB}"/>
            </c:extLst>
          </c:dLbls>
          <c:cat>
            <c:strRef>
              <c:f>Loading!$A$44:$A$45</c:f>
              <c:strCache>
                <c:ptCount val="2"/>
                <c:pt idx="0">
                  <c:v>Turkey Creek </c:v>
                </c:pt>
                <c:pt idx="1">
                  <c:v>Bear Creek </c:v>
                </c:pt>
              </c:strCache>
            </c:strRef>
          </c:cat>
          <c:val>
            <c:numRef>
              <c:f>Loading!$N$44:$N$45</c:f>
              <c:numCache>
                <c:formatCode>#,##0</c:formatCode>
                <c:ptCount val="2"/>
                <c:pt idx="0">
                  <c:v>14114.072567322</c:v>
                </c:pt>
                <c:pt idx="1">
                  <c:v>50203.902421680003</c:v>
                </c:pt>
              </c:numCache>
            </c:numRef>
          </c:val>
          <c:extLst>
            <c:ext xmlns:c16="http://schemas.microsoft.com/office/drawing/2014/chart" uri="{C3380CC4-5D6E-409C-BE32-E72D297353CC}">
              <c16:uniqueId val="{00000002-62A7-46A1-82C4-CE5AAE85716F}"/>
            </c:ext>
          </c:extLst>
        </c:ser>
        <c:dLbls>
          <c:showLegendKey val="0"/>
          <c:showVal val="1"/>
          <c:showCatName val="1"/>
          <c:showSerName val="0"/>
          <c:showPercent val="1"/>
          <c:showBubbleSize val="0"/>
          <c:showLeaderLines val="0"/>
        </c:dLbls>
      </c:pie3DChart>
      <c:spPr>
        <a:solidFill>
          <a:srgbClr val="FFFFFF"/>
        </a:solidFill>
        <a:ln w="25400">
          <a:noFill/>
        </a:ln>
      </c:spPr>
    </c:plotArea>
    <c:plotVisOnly val="1"/>
    <c:dispBlanksAs val="zero"/>
    <c:showDLblsOverMax val="0"/>
  </c:chart>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2011 Bear Creek Reservoir Nitrate Loading (Pounds, %) </a:t>
            </a:r>
          </a:p>
        </c:rich>
      </c:tx>
      <c:layout>
        <c:manualLayout>
          <c:xMode val="edge"/>
          <c:yMode val="edge"/>
          <c:x val="0.14319248826291645"/>
          <c:y val="3.9473684210526355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7.2463864552142321E-2"/>
          <c:y val="0.25303448910991388"/>
          <c:w val="0.88997745000184869"/>
          <c:h val="0.69808583137634161"/>
        </c:manualLayout>
      </c:layout>
      <c:pie3DChart>
        <c:varyColors val="1"/>
        <c:ser>
          <c:idx val="0"/>
          <c:order val="0"/>
          <c:tx>
            <c:strRef>
              <c:f>Loading!$A$14</c:f>
              <c:strCache>
                <c:ptCount val="1"/>
                <c:pt idx="0">
                  <c:v>Nitrate Pounds</c:v>
                </c:pt>
              </c:strCache>
            </c:strRef>
          </c:tx>
          <c:spPr>
            <a:solidFill>
              <a:srgbClr val="00FF00"/>
            </a:solidFill>
            <a:ln w="12700">
              <a:solidFill>
                <a:srgbClr val="000000"/>
              </a:solidFill>
              <a:prstDash val="solid"/>
            </a:ln>
          </c:spPr>
          <c:explosion val="29"/>
          <c:dPt>
            <c:idx val="0"/>
            <c:bubble3D val="0"/>
            <c:spPr>
              <a:solidFill>
                <a:srgbClr val="CC99FF"/>
              </a:solidFill>
              <a:ln w="12700">
                <a:solidFill>
                  <a:srgbClr val="000000"/>
                </a:solidFill>
                <a:prstDash val="solid"/>
              </a:ln>
            </c:spPr>
            <c:extLst>
              <c:ext xmlns:c16="http://schemas.microsoft.com/office/drawing/2014/chart" uri="{C3380CC4-5D6E-409C-BE32-E72D297353CC}">
                <c16:uniqueId val="{00000000-C372-4201-AB1F-1D87129F0489}"/>
              </c:ext>
            </c:extLst>
          </c:dPt>
          <c:dPt>
            <c:idx val="1"/>
            <c:bubble3D val="0"/>
            <c:explosion val="34"/>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C372-4201-AB1F-1D87129F0489}"/>
              </c:ext>
            </c:extLst>
          </c:dPt>
          <c:dLbls>
            <c:dLbl>
              <c:idx val="0"/>
              <c:layout>
                <c:manualLayout>
                  <c:x val="3.1298904538341159E-2"/>
                  <c:y val="8.771929824561403E-2"/>
                </c:manualLayout>
              </c:layout>
              <c:numFmt formatCode="0%" sourceLinked="0"/>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25400">
                  <a:noFill/>
                </a:ln>
              </c:spPr>
              <c:txPr>
                <a:bodyPr/>
                <a:lstStyle/>
                <a:p>
                  <a:pPr>
                    <a:defRPr sz="900" b="1"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372-4201-AB1F-1D87129F0489}"/>
                </c:ext>
              </c:extLst>
            </c:dLbl>
            <c:dLbl>
              <c:idx val="1"/>
              <c:layout>
                <c:manualLayout>
                  <c:x val="-1.5649452269170607E-2"/>
                  <c:y val="-0.40935672514619881"/>
                </c:manualLayout>
              </c:layout>
              <c:numFmt formatCode="0%" sourceLinked="0"/>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25400">
                  <a:noFill/>
                </a:ln>
              </c:spPr>
              <c:txPr>
                <a:bodyPr/>
                <a:lstStyle/>
                <a:p>
                  <a:pPr>
                    <a:defRPr sz="900" b="1"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372-4201-AB1F-1D87129F0489}"/>
                </c:ext>
              </c:extLst>
            </c:dLbl>
            <c:numFmt formatCode="0%" sourceLinked="0"/>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25400">
                <a:noFill/>
              </a:ln>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extLst>
          </c:dLbls>
          <c:cat>
            <c:strRef>
              <c:f>Loading!$A$15:$A$16</c:f>
              <c:strCache>
                <c:ptCount val="2"/>
                <c:pt idx="0">
                  <c:v>Turkey Creek</c:v>
                </c:pt>
                <c:pt idx="1">
                  <c:v>Bear Creek </c:v>
                </c:pt>
              </c:strCache>
            </c:strRef>
          </c:cat>
          <c:val>
            <c:numRef>
              <c:f>Loading!$N$15:$N$16</c:f>
              <c:numCache>
                <c:formatCode>#,##0</c:formatCode>
                <c:ptCount val="2"/>
                <c:pt idx="0">
                  <c:v>2189.0595641549776</c:v>
                </c:pt>
                <c:pt idx="1">
                  <c:v>12727.74577095882</c:v>
                </c:pt>
              </c:numCache>
            </c:numRef>
          </c:val>
          <c:extLst>
            <c:ext xmlns:c16="http://schemas.microsoft.com/office/drawing/2014/chart" uri="{C3380CC4-5D6E-409C-BE32-E72D297353CC}">
              <c16:uniqueId val="{00000002-C372-4201-AB1F-1D87129F0489}"/>
            </c:ext>
          </c:extLst>
        </c:ser>
        <c:dLbls>
          <c:showLegendKey val="0"/>
          <c:showVal val="1"/>
          <c:showCatName val="1"/>
          <c:showSerName val="0"/>
          <c:showPercent val="1"/>
          <c:showBubbleSize val="0"/>
          <c:showLeaderLines val="0"/>
        </c:dLbls>
      </c:pie3DChart>
      <c:spPr>
        <a:solidFill>
          <a:srgbClr val="FFFFFF"/>
        </a:solidFill>
        <a:ln w="25400">
          <a:noFill/>
        </a:ln>
      </c:spPr>
    </c:plotArea>
    <c:plotVisOnly val="1"/>
    <c:dispBlanksAs val="zero"/>
    <c:showDLblsOverMax val="0"/>
  </c:chart>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2011 Bear Creek Reservoir Total Phosphorus Load (Pounds, %) </a:t>
            </a:r>
          </a:p>
        </c:rich>
      </c:tx>
      <c:layout>
        <c:manualLayout>
          <c:xMode val="edge"/>
          <c:yMode val="edge"/>
          <c:x val="0.15727699530516451"/>
          <c:y val="2.183406113537119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2.2657942405086749E-2"/>
          <c:y val="0.19893546057834496"/>
          <c:w val="0.96172883319162661"/>
          <c:h val="0.74369264977249061"/>
        </c:manualLayout>
      </c:layout>
      <c:pie3DChart>
        <c:varyColors val="1"/>
        <c:ser>
          <c:idx val="0"/>
          <c:order val="0"/>
          <c:tx>
            <c:strRef>
              <c:f>Loading!$A$32</c:f>
              <c:strCache>
                <c:ptCount val="1"/>
                <c:pt idx="0">
                  <c:v>Total Phosphorus Pounds</c:v>
                </c:pt>
              </c:strCache>
            </c:strRef>
          </c:tx>
          <c:spPr>
            <a:solidFill>
              <a:srgbClr val="9999FF"/>
            </a:solidFill>
            <a:ln w="12700">
              <a:solidFill>
                <a:srgbClr val="000000"/>
              </a:solidFill>
              <a:prstDash val="solid"/>
            </a:ln>
          </c:spPr>
          <c:explosion val="47"/>
          <c:dPt>
            <c:idx val="1"/>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0-2550-4C5B-A215-81415B7B95D5}"/>
              </c:ext>
            </c:extLst>
          </c:dPt>
          <c:dLbls>
            <c:dLbl>
              <c:idx val="0"/>
              <c:layout>
                <c:manualLayout>
                  <c:x val="0.11267605633802817"/>
                  <c:y val="0.1455604075691414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550-4C5B-A215-81415B7B95D5}"/>
                </c:ext>
              </c:extLst>
            </c:dLbl>
            <c:dLbl>
              <c:idx val="1"/>
              <c:layout>
                <c:manualLayout>
                  <c:x val="-0.12206572769953059"/>
                  <c:y val="-0.5065502183406113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2550-4C5B-A215-81415B7B95D5}"/>
                </c:ext>
              </c:extLst>
            </c:dLbl>
            <c:numFmt formatCode="0%" sourceLinked="0"/>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25400">
                <a:noFill/>
              </a:ln>
            </c:spPr>
            <c:txPr>
              <a:bodyPr/>
              <a:lstStyle/>
              <a:p>
                <a:pPr>
                  <a:defRPr sz="900" b="1" i="0" u="none" strike="noStrike" baseline="0">
                    <a:solidFill>
                      <a:srgbClr val="000000"/>
                    </a:solidFill>
                    <a:latin typeface="Arial"/>
                    <a:ea typeface="Arial"/>
                    <a:cs typeface="Arial"/>
                  </a:defRPr>
                </a:pPr>
                <a:endParaRPr lang="en-US"/>
              </a:p>
            </c:txPr>
            <c:dLblPos val="outEnd"/>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Loading!$A$33:$A$34</c:f>
              <c:strCache>
                <c:ptCount val="2"/>
                <c:pt idx="0">
                  <c:v>Turkey Creek </c:v>
                </c:pt>
                <c:pt idx="1">
                  <c:v>Bear Creek </c:v>
                </c:pt>
              </c:strCache>
            </c:strRef>
          </c:cat>
          <c:val>
            <c:numRef>
              <c:f>Loading!$N$33:$N$34</c:f>
              <c:numCache>
                <c:formatCode>#,##0</c:formatCode>
                <c:ptCount val="2"/>
                <c:pt idx="0">
                  <c:v>52.67328384228751</c:v>
                </c:pt>
                <c:pt idx="1">
                  <c:v>794.57837024690252</c:v>
                </c:pt>
              </c:numCache>
            </c:numRef>
          </c:val>
          <c:extLst>
            <c:ext xmlns:c16="http://schemas.microsoft.com/office/drawing/2014/chart" uri="{C3380CC4-5D6E-409C-BE32-E72D297353CC}">
              <c16:uniqueId val="{00000002-2550-4C5B-A215-81415B7B95D5}"/>
            </c:ext>
          </c:extLst>
        </c:ser>
        <c:dLbls>
          <c:showLegendKey val="0"/>
          <c:showVal val="1"/>
          <c:showCatName val="1"/>
          <c:showSerName val="0"/>
          <c:showPercent val="1"/>
          <c:showBubbleSize val="0"/>
          <c:showLeaderLines val="0"/>
        </c:dLbls>
      </c:pie3DChart>
      <c:spPr>
        <a:solidFill>
          <a:sysClr val="window" lastClr="FFFFFF"/>
        </a:solidFill>
        <a:ln w="25400">
          <a:noFill/>
        </a:ln>
      </c:spPr>
    </c:plotArea>
    <c:plotVisOnly val="1"/>
    <c:dispBlanksAs val="zero"/>
    <c:showDLblsOverMax val="0"/>
  </c:chart>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2011 Bear Creek Reservoir Estimated Inflow Contributions (acre-feet, %)</a:t>
            </a:r>
          </a:p>
        </c:rich>
      </c:tx>
      <c:layout>
        <c:manualLayout>
          <c:xMode val="edge"/>
          <c:yMode val="edge"/>
          <c:x val="0.11525249343832021"/>
          <c:y val="4.0000000000000022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1.3781364829396325E-2"/>
          <c:y val="0.23607249524843874"/>
          <c:w val="0.95739212598425127"/>
          <c:h val="0.72024979636166164"/>
        </c:manualLayout>
      </c:layout>
      <c:pie3DChart>
        <c:varyColors val="1"/>
        <c:ser>
          <c:idx val="0"/>
          <c:order val="0"/>
          <c:tx>
            <c:strRef>
              <c:f>Loading!$N$3</c:f>
              <c:strCache>
                <c:ptCount val="1"/>
                <c:pt idx="0">
                  <c:v>Annual ac-ft/yr</c:v>
                </c:pt>
              </c:strCache>
            </c:strRef>
          </c:tx>
          <c:spPr>
            <a:solidFill>
              <a:srgbClr val="00FF00"/>
            </a:solidFill>
            <a:ln w="12700">
              <a:solidFill>
                <a:srgbClr val="000000"/>
              </a:solidFill>
              <a:prstDash val="solid"/>
            </a:ln>
          </c:spPr>
          <c:explosion val="9"/>
          <c:dPt>
            <c:idx val="0"/>
            <c:bubble3D val="0"/>
            <c:explosion val="16"/>
            <c:spPr>
              <a:solidFill>
                <a:srgbClr val="CC99FF"/>
              </a:solidFill>
              <a:ln w="12700">
                <a:solidFill>
                  <a:srgbClr val="000000"/>
                </a:solidFill>
                <a:prstDash val="solid"/>
              </a:ln>
            </c:spPr>
            <c:extLst>
              <c:ext xmlns:c16="http://schemas.microsoft.com/office/drawing/2014/chart" uri="{C3380CC4-5D6E-409C-BE32-E72D297353CC}">
                <c16:uniqueId val="{00000000-3380-44C2-A906-A69306C09DDD}"/>
              </c:ext>
            </c:extLst>
          </c:dPt>
          <c:dPt>
            <c:idx val="1"/>
            <c:bubble3D val="0"/>
            <c:explosion val="26"/>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3380-44C2-A906-A69306C09DDD}"/>
              </c:ext>
            </c:extLst>
          </c:dPt>
          <c:dLbls>
            <c:dLbl>
              <c:idx val="0"/>
              <c:layout>
                <c:manualLayout>
                  <c:x val="0.12277506561679792"/>
                  <c:y val="9.3499864241107788E-2"/>
                </c:manualLayout>
              </c:layout>
              <c:spPr>
                <a:noFill/>
                <a:ln w="25400">
                  <a:noFill/>
                </a:ln>
              </c:spPr>
              <c:txPr>
                <a:bodyPr/>
                <a:lstStyle/>
                <a:p>
                  <a:pPr>
                    <a:defRPr sz="900" b="1" i="0" u="none" strike="noStrike" baseline="0">
                      <a:solidFill>
                        <a:srgbClr val="000000"/>
                      </a:solidFill>
                      <a:latin typeface="Arial"/>
                      <a:ea typeface="Arial"/>
                      <a:cs typeface="Arial"/>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380-44C2-A906-A69306C09DDD}"/>
                </c:ext>
              </c:extLst>
            </c:dLbl>
            <c:dLbl>
              <c:idx val="1"/>
              <c:layout>
                <c:manualLayout>
                  <c:x val="0.13671889763779552"/>
                  <c:y val="-0.3355072857272157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380-44C2-A906-A69306C09DDD}"/>
                </c:ext>
              </c:extLst>
            </c:dLbl>
            <c:numFmt formatCode="0%" sourceLinked="0"/>
            <c:spPr>
              <a:noFill/>
              <a:ln w="25400">
                <a:noFill/>
              </a:ln>
            </c:spPr>
            <c:txPr>
              <a:bodyPr/>
              <a:lstStyle/>
              <a:p>
                <a:pPr>
                  <a:defRPr sz="900" b="1" i="0" u="none" strike="noStrike" baseline="0">
                    <a:solidFill>
                      <a:srgbClr val="000000"/>
                    </a:solidFill>
                    <a:latin typeface="Arial"/>
                    <a:ea typeface="Arial"/>
                    <a:cs typeface="Arial"/>
                  </a:defRPr>
                </a:pPr>
                <a:endParaRPr lang="en-US"/>
              </a:p>
            </c:txPr>
            <c:showLegendKey val="0"/>
            <c:showVal val="1"/>
            <c:showCatName val="1"/>
            <c:showSerName val="0"/>
            <c:showPercent val="1"/>
            <c:showBubbleSize val="0"/>
            <c:showLeaderLines val="0"/>
            <c:extLst>
              <c:ext xmlns:c15="http://schemas.microsoft.com/office/drawing/2012/chart" uri="{CE6537A1-D6FC-4f65-9D91-7224C49458BB}"/>
            </c:extLst>
          </c:dLbls>
          <c:cat>
            <c:strRef>
              <c:f>[1]Loading!$A$4:$A$5</c:f>
              <c:strCache>
                <c:ptCount val="2"/>
                <c:pt idx="0">
                  <c:v>Turkey Creek Inflow</c:v>
                </c:pt>
                <c:pt idx="1">
                  <c:v>Bear Creek Inflow</c:v>
                </c:pt>
              </c:strCache>
            </c:strRef>
          </c:cat>
          <c:val>
            <c:numRef>
              <c:f>Loading!$N$4:$N$5</c:f>
              <c:numCache>
                <c:formatCode>#,##0</c:formatCode>
                <c:ptCount val="2"/>
                <c:pt idx="0">
                  <c:v>1348.26153</c:v>
                </c:pt>
                <c:pt idx="1">
                  <c:v>8084.0068650000003</c:v>
                </c:pt>
              </c:numCache>
            </c:numRef>
          </c:val>
          <c:extLst>
            <c:ext xmlns:c16="http://schemas.microsoft.com/office/drawing/2014/chart" uri="{C3380CC4-5D6E-409C-BE32-E72D297353CC}">
              <c16:uniqueId val="{00000002-3380-44C2-A906-A69306C09DDD}"/>
            </c:ext>
          </c:extLst>
        </c:ser>
        <c:dLbls>
          <c:showLegendKey val="0"/>
          <c:showVal val="1"/>
          <c:showCatName val="1"/>
          <c:showSerName val="0"/>
          <c:showPercent val="1"/>
          <c:showBubbleSize val="0"/>
          <c:showLeaderLines val="0"/>
        </c:dLbls>
      </c:pie3DChart>
      <c:spPr>
        <a:solidFill>
          <a:srgbClr val="FFFFFF"/>
        </a:solidFill>
        <a:ln w="25400">
          <a:noFill/>
        </a:ln>
      </c:spPr>
    </c:plotArea>
    <c:plotVisOnly val="1"/>
    <c:dispBlanksAs val="zero"/>
    <c:showDLblsOverMax val="0"/>
  </c:chart>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2011 Total Nitrogen Pounds</a:t>
            </a:r>
          </a:p>
        </c:rich>
      </c:tx>
      <c:overlay val="0"/>
    </c:title>
    <c:autoTitleDeleted val="0"/>
    <c:view3D>
      <c:rotX val="30"/>
      <c:rotY val="30"/>
      <c:rAngAx val="0"/>
    </c:view3D>
    <c:floor>
      <c:thickness val="0"/>
    </c:floor>
    <c:sideWall>
      <c:thickness val="0"/>
    </c:sideWall>
    <c:backWall>
      <c:thickness val="0"/>
    </c:backWall>
    <c:plotArea>
      <c:layout>
        <c:manualLayout>
          <c:layoutTarget val="inner"/>
          <c:xMode val="edge"/>
          <c:yMode val="edge"/>
          <c:x val="4.0277777777777767E-2"/>
          <c:y val="0.20156969962088073"/>
          <c:w val="0.92777777777777781"/>
          <c:h val="0.73563393117526976"/>
        </c:manualLayout>
      </c:layout>
      <c:pie3DChart>
        <c:varyColors val="1"/>
        <c:ser>
          <c:idx val="1"/>
          <c:order val="0"/>
          <c:tx>
            <c:strRef>
              <c:f>Loading!$A$22</c:f>
              <c:strCache>
                <c:ptCount val="1"/>
                <c:pt idx="0">
                  <c:v>Total Nitrogen Pounds</c:v>
                </c:pt>
              </c:strCache>
            </c:strRef>
          </c:tx>
          <c:explosion val="17"/>
          <c:dPt>
            <c:idx val="1"/>
            <c:bubble3D val="0"/>
            <c:spPr>
              <a:solidFill>
                <a:schemeClr val="tx2">
                  <a:lumMod val="20000"/>
                  <a:lumOff val="80000"/>
                </a:schemeClr>
              </a:solidFill>
            </c:spPr>
            <c:extLst>
              <c:ext xmlns:c16="http://schemas.microsoft.com/office/drawing/2014/chart" uri="{C3380CC4-5D6E-409C-BE32-E72D297353CC}">
                <c16:uniqueId val="{00000000-FC23-41B3-B2C9-1C2FB7D9190D}"/>
              </c:ext>
            </c:extLst>
          </c:dPt>
          <c:dLbls>
            <c:dLbl>
              <c:idx val="0"/>
              <c:layout>
                <c:manualLayout>
                  <c:x val="1.3561242344706913E-2"/>
                  <c:y val="9.102508019830861E-4"/>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C23-41B3-B2C9-1C2FB7D9190D}"/>
                </c:ext>
              </c:extLst>
            </c:dLbl>
            <c:dLbl>
              <c:idx val="1"/>
              <c:layout>
                <c:manualLayout>
                  <c:x val="0.15642366579177611"/>
                  <c:y val="-0.3221759259259262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C23-41B3-B2C9-1C2FB7D9190D}"/>
                </c:ext>
              </c:extLst>
            </c:dLbl>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c:spPr>
            <c:showLegendKey val="0"/>
            <c:showVal val="1"/>
            <c:showCatName val="1"/>
            <c:showSerName val="0"/>
            <c:showPercent val="1"/>
            <c:showBubbleSize val="0"/>
            <c:showLeaderLines val="0"/>
            <c:extLst>
              <c:ext xmlns:c15="http://schemas.microsoft.com/office/drawing/2012/chart" uri="{CE6537A1-D6FC-4f65-9D91-7224C49458BB}"/>
            </c:extLst>
          </c:dLbls>
          <c:cat>
            <c:strRef>
              <c:f>Loading!$A$23:$A$24</c:f>
              <c:strCache>
                <c:ptCount val="2"/>
                <c:pt idx="0">
                  <c:v>Turkey Creek</c:v>
                </c:pt>
                <c:pt idx="1">
                  <c:v>Bear Creek </c:v>
                </c:pt>
              </c:strCache>
            </c:strRef>
          </c:cat>
          <c:val>
            <c:numRef>
              <c:f>Loading!$N$23:$N$24</c:f>
              <c:numCache>
                <c:formatCode>#,##0</c:formatCode>
                <c:ptCount val="2"/>
                <c:pt idx="0">
                  <c:v>2364.1833854182428</c:v>
                </c:pt>
                <c:pt idx="1">
                  <c:v>19435.224062926769</c:v>
                </c:pt>
              </c:numCache>
            </c:numRef>
          </c:val>
          <c:extLst>
            <c:ext xmlns:c16="http://schemas.microsoft.com/office/drawing/2014/chart" uri="{C3380CC4-5D6E-409C-BE32-E72D297353CC}">
              <c16:uniqueId val="{00000002-FC23-41B3-B2C9-1C2FB7D9190D}"/>
            </c:ext>
          </c:extLst>
        </c:ser>
        <c:dLbls>
          <c:showLegendKey val="0"/>
          <c:showVal val="0"/>
          <c:showCatName val="0"/>
          <c:showSerName val="0"/>
          <c:showPercent val="0"/>
          <c:showBubbleSize val="0"/>
          <c:showLeaderLines val="0"/>
        </c:dLbls>
      </c:pie3DChart>
      <c:spPr>
        <a:solidFill>
          <a:srgbClr val="FFFFFF"/>
        </a:solidFill>
      </c:spPr>
    </c:plotArea>
    <c:plotVisOnly val="1"/>
    <c:dispBlanksAs val="gap"/>
    <c:showDLblsOverMax val="0"/>
  </c:chart>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c:sp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Carlson Seasonal Trophic Status Index [TSI]</a:t>
            </a:r>
          </a:p>
        </c:rich>
      </c:tx>
      <c:layout>
        <c:manualLayout>
          <c:xMode val="edge"/>
          <c:yMode val="edge"/>
          <c:x val="0.23773006134969324"/>
          <c:y val="3.4591194968553458E-2"/>
        </c:manualLayout>
      </c:layout>
      <c:overlay val="0"/>
      <c:spPr>
        <a:noFill/>
        <a:ln w="25400">
          <a:noFill/>
        </a:ln>
      </c:spPr>
    </c:title>
    <c:autoTitleDeleted val="0"/>
    <c:plotArea>
      <c:layout>
        <c:manualLayout>
          <c:layoutTarget val="inner"/>
          <c:xMode val="edge"/>
          <c:yMode val="edge"/>
          <c:x val="6.0917755392307808E-2"/>
          <c:y val="0.15513657123134839"/>
          <c:w val="0.92357584931513192"/>
          <c:h val="0.61006476656092323"/>
        </c:manualLayout>
      </c:layout>
      <c:lineChart>
        <c:grouping val="standard"/>
        <c:varyColors val="0"/>
        <c:ser>
          <c:idx val="0"/>
          <c:order val="0"/>
          <c:tx>
            <c:strRef>
              <c:f>Carlson!$Z$42</c:f>
              <c:strCache>
                <c:ptCount val="1"/>
                <c:pt idx="0">
                  <c:v>Chlorophyll-a</c:v>
                </c:pt>
              </c:strCache>
            </c:strRef>
          </c:tx>
          <c:spPr>
            <a:ln w="38100">
              <a:solidFill>
                <a:srgbClr val="000080"/>
              </a:solidFill>
              <a:prstDash val="solid"/>
            </a:ln>
          </c:spPr>
          <c:marker>
            <c:symbol val="none"/>
          </c:marker>
          <c:cat>
            <c:numRef>
              <c:f>Carlson!$C$38:$W$38</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Carlson!$C$34:$W$34</c:f>
              <c:numCache>
                <c:formatCode>0.00</c:formatCode>
                <c:ptCount val="21"/>
                <c:pt idx="0">
                  <c:v>44.174991975146384</c:v>
                </c:pt>
                <c:pt idx="1">
                  <c:v>54.795415178371954</c:v>
                </c:pt>
                <c:pt idx="2">
                  <c:v>56.76550870656898</c:v>
                </c:pt>
                <c:pt idx="3">
                  <c:v>62.711700939593776</c:v>
                </c:pt>
                <c:pt idx="4">
                  <c:v>54.087614881709925</c:v>
                </c:pt>
                <c:pt idx="5">
                  <c:v>61.698736529492948</c:v>
                </c:pt>
                <c:pt idx="6">
                  <c:v>48.177160393127224</c:v>
                </c:pt>
                <c:pt idx="7">
                  <c:v>40.34379989323088</c:v>
                </c:pt>
                <c:pt idx="8">
                  <c:v>41.699054713727698</c:v>
                </c:pt>
                <c:pt idx="9">
                  <c:v>56.900821196687197</c:v>
                </c:pt>
                <c:pt idx="10">
                  <c:v>61.570174131482617</c:v>
                </c:pt>
                <c:pt idx="11">
                  <c:v>60.134190892128345</c:v>
                </c:pt>
                <c:pt idx="12">
                  <c:v>59.223330881746776</c:v>
                </c:pt>
                <c:pt idx="13">
                  <c:v>51.594049063898417</c:v>
                </c:pt>
                <c:pt idx="14">
                  <c:v>57.424145267406118</c:v>
                </c:pt>
                <c:pt idx="15">
                  <c:v>55.911927098300708</c:v>
                </c:pt>
                <c:pt idx="16">
                  <c:v>48.962379355404615</c:v>
                </c:pt>
                <c:pt idx="17">
                  <c:v>62.486173765809482</c:v>
                </c:pt>
                <c:pt idx="18">
                  <c:v>61.486327467207936</c:v>
                </c:pt>
                <c:pt idx="19">
                  <c:v>57.295908147230385</c:v>
                </c:pt>
                <c:pt idx="20">
                  <c:v>52.154773103668319</c:v>
                </c:pt>
              </c:numCache>
            </c:numRef>
          </c:val>
          <c:smooth val="0"/>
          <c:extLst>
            <c:ext xmlns:c16="http://schemas.microsoft.com/office/drawing/2014/chart" uri="{C3380CC4-5D6E-409C-BE32-E72D297353CC}">
              <c16:uniqueId val="{00000000-D4F0-4419-8F2A-BB5B6C4CE244}"/>
            </c:ext>
          </c:extLst>
        </c:ser>
        <c:ser>
          <c:idx val="1"/>
          <c:order val="1"/>
          <c:tx>
            <c:strRef>
              <c:f>Carlson!$Z$43</c:f>
              <c:strCache>
                <c:ptCount val="1"/>
                <c:pt idx="0">
                  <c:v>Total Phosphorus</c:v>
                </c:pt>
              </c:strCache>
            </c:strRef>
          </c:tx>
          <c:spPr>
            <a:ln w="38100">
              <a:solidFill>
                <a:srgbClr val="FF00FF"/>
              </a:solidFill>
              <a:prstDash val="solid"/>
            </a:ln>
          </c:spPr>
          <c:marker>
            <c:symbol val="none"/>
          </c:marker>
          <c:cat>
            <c:numRef>
              <c:f>Carlson!$C$38:$W$38</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Carlson!$C$37:$W$37</c:f>
              <c:numCache>
                <c:formatCode>0.00</c:formatCode>
                <c:ptCount val="21"/>
                <c:pt idx="0">
                  <c:v>79.950309900597716</c:v>
                </c:pt>
                <c:pt idx="1">
                  <c:v>79.164812772428064</c:v>
                </c:pt>
                <c:pt idx="2">
                  <c:v>81.040837132116607</c:v>
                </c:pt>
                <c:pt idx="3">
                  <c:v>69.396448868134499</c:v>
                </c:pt>
                <c:pt idx="4">
                  <c:v>62.800695131408894</c:v>
                </c:pt>
                <c:pt idx="5">
                  <c:v>53.621504171891345</c:v>
                </c:pt>
                <c:pt idx="6">
                  <c:v>56.978558937189497</c:v>
                </c:pt>
                <c:pt idx="7">
                  <c:v>55.41811904667734</c:v>
                </c:pt>
                <c:pt idx="8">
                  <c:v>59.483858202128459</c:v>
                </c:pt>
                <c:pt idx="9">
                  <c:v>58.183879383470696</c:v>
                </c:pt>
                <c:pt idx="10">
                  <c:v>63.709719096324825</c:v>
                </c:pt>
                <c:pt idx="11">
                  <c:v>60.846925623884772</c:v>
                </c:pt>
                <c:pt idx="12">
                  <c:v>63.756011270913007</c:v>
                </c:pt>
                <c:pt idx="13">
                  <c:v>57.451388182297023</c:v>
                </c:pt>
                <c:pt idx="14">
                  <c:v>59.296176593952403</c:v>
                </c:pt>
                <c:pt idx="15">
                  <c:v>50.851743280210364</c:v>
                </c:pt>
                <c:pt idx="16">
                  <c:v>52.506124871048137</c:v>
                </c:pt>
                <c:pt idx="17">
                  <c:v>63.523049822907645</c:v>
                </c:pt>
                <c:pt idx="18">
                  <c:v>60.299447281822843</c:v>
                </c:pt>
                <c:pt idx="19">
                  <c:v>56.904419956393461</c:v>
                </c:pt>
                <c:pt idx="20">
                  <c:v>61.988085786341578</c:v>
                </c:pt>
              </c:numCache>
            </c:numRef>
          </c:val>
          <c:smooth val="0"/>
          <c:extLst>
            <c:ext xmlns:c16="http://schemas.microsoft.com/office/drawing/2014/chart" uri="{C3380CC4-5D6E-409C-BE32-E72D297353CC}">
              <c16:uniqueId val="{00000001-D4F0-4419-8F2A-BB5B6C4CE244}"/>
            </c:ext>
          </c:extLst>
        </c:ser>
        <c:ser>
          <c:idx val="2"/>
          <c:order val="2"/>
          <c:tx>
            <c:strRef>
              <c:f>Carlson!$Z$44</c:f>
              <c:strCache>
                <c:ptCount val="1"/>
                <c:pt idx="0">
                  <c:v>Sechhi</c:v>
                </c:pt>
              </c:strCache>
            </c:strRef>
          </c:tx>
          <c:spPr>
            <a:ln w="38100">
              <a:solidFill>
                <a:srgbClr val="FF0000"/>
              </a:solidFill>
              <a:prstDash val="solid"/>
            </a:ln>
          </c:spPr>
          <c:marker>
            <c:symbol val="none"/>
          </c:marker>
          <c:cat>
            <c:numRef>
              <c:f>Carlson!$C$38:$W$38</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Carlson!$C$31:$W$31</c:f>
              <c:numCache>
                <c:formatCode>0.00</c:formatCode>
                <c:ptCount val="21"/>
                <c:pt idx="0">
                  <c:v>49.797204222096241</c:v>
                </c:pt>
                <c:pt idx="1">
                  <c:v>49.172094162064695</c:v>
                </c:pt>
                <c:pt idx="2">
                  <c:v>48.443157153348082</c:v>
                </c:pt>
                <c:pt idx="3">
                  <c:v>52.353646902194129</c:v>
                </c:pt>
                <c:pt idx="4">
                  <c:v>56.900245019719819</c:v>
                </c:pt>
                <c:pt idx="5">
                  <c:v>46.607283013608452</c:v>
                </c:pt>
                <c:pt idx="6">
                  <c:v>55.151435070288322</c:v>
                </c:pt>
                <c:pt idx="7">
                  <c:v>52.353646902194129</c:v>
                </c:pt>
                <c:pt idx="8">
                  <c:v>51.529994158760466</c:v>
                </c:pt>
                <c:pt idx="9">
                  <c:v>47.935263171469352</c:v>
                </c:pt>
                <c:pt idx="10">
                  <c:v>47.997779538505156</c:v>
                </c:pt>
                <c:pt idx="11">
                  <c:v>45.687241950921816</c:v>
                </c:pt>
                <c:pt idx="12">
                  <c:v>53.227247702568953</c:v>
                </c:pt>
                <c:pt idx="13">
                  <c:v>50.011749128131186</c:v>
                </c:pt>
                <c:pt idx="14">
                  <c:v>54.15724779216135</c:v>
                </c:pt>
                <c:pt idx="15">
                  <c:v>47.384495494730302</c:v>
                </c:pt>
                <c:pt idx="16">
                  <c:v>46.796250553693426</c:v>
                </c:pt>
                <c:pt idx="17">
                  <c:v>54.15724779216135</c:v>
                </c:pt>
                <c:pt idx="18">
                  <c:v>51.529994158760466</c:v>
                </c:pt>
                <c:pt idx="19">
                  <c:v>53.227247702568953</c:v>
                </c:pt>
                <c:pt idx="20">
                  <c:v>48.638329437150865</c:v>
                </c:pt>
              </c:numCache>
            </c:numRef>
          </c:val>
          <c:smooth val="0"/>
          <c:extLst>
            <c:ext xmlns:c16="http://schemas.microsoft.com/office/drawing/2014/chart" uri="{C3380CC4-5D6E-409C-BE32-E72D297353CC}">
              <c16:uniqueId val="{00000002-D4F0-4419-8F2A-BB5B6C4CE244}"/>
            </c:ext>
          </c:extLst>
        </c:ser>
        <c:dLbls>
          <c:showLegendKey val="0"/>
          <c:showVal val="0"/>
          <c:showCatName val="0"/>
          <c:showSerName val="0"/>
          <c:showPercent val="0"/>
          <c:showBubbleSize val="0"/>
        </c:dLbls>
        <c:smooth val="0"/>
        <c:axId val="132902272"/>
        <c:axId val="132904064"/>
      </c:lineChart>
      <c:catAx>
        <c:axId val="13290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132904064"/>
        <c:crosses val="autoZero"/>
        <c:auto val="1"/>
        <c:lblAlgn val="ctr"/>
        <c:lblOffset val="100"/>
        <c:tickLblSkip val="1"/>
        <c:tickMarkSkip val="1"/>
        <c:noMultiLvlLbl val="0"/>
      </c:catAx>
      <c:valAx>
        <c:axId val="132904064"/>
        <c:scaling>
          <c:orientation val="minMax"/>
          <c:max val="90"/>
          <c:min val="30"/>
        </c:scaling>
        <c:delete val="0"/>
        <c:axPos val="l"/>
        <c:majorGridlines>
          <c:spPr>
            <a:ln w="3175">
              <a:solidFill>
                <a:srgbClr val="000000"/>
              </a:solidFill>
              <a:prstDash val="solid"/>
            </a:ln>
          </c:spPr>
        </c:majorGridlines>
        <c:numFmt formatCode="General" sourceLinked="0"/>
        <c:majorTickMark val="out"/>
        <c:minorTickMark val="out"/>
        <c:tickLblPos val="nextTo"/>
        <c:spPr>
          <a:ln w="3175">
            <a:solidFill>
              <a:srgbClr val="000000"/>
            </a:solidFill>
            <a:prstDash val="solid"/>
          </a:ln>
        </c:spPr>
        <c:txPr>
          <a:bodyPr rot="0" vert="horz"/>
          <a:lstStyle/>
          <a:p>
            <a:pPr>
              <a:defRPr sz="875" b="1" i="0" u="none" strike="noStrike" baseline="0">
                <a:solidFill>
                  <a:srgbClr val="000000"/>
                </a:solidFill>
                <a:latin typeface="Arial"/>
                <a:ea typeface="Arial"/>
                <a:cs typeface="Arial"/>
              </a:defRPr>
            </a:pPr>
            <a:endParaRPr lang="en-US"/>
          </a:p>
        </c:txPr>
        <c:crossAx val="132902272"/>
        <c:crosses val="autoZero"/>
        <c:crossBetween val="between"/>
        <c:minorUnit val="10"/>
      </c:valAx>
      <c:spPr>
        <a:gradFill>
          <a:gsLst>
            <a:gs pos="67000">
              <a:srgbClr val="00B050">
                <a:alpha val="78000"/>
              </a:srgbClr>
            </a:gs>
            <a:gs pos="50000">
              <a:srgbClr val="4F81BD">
                <a:tint val="44500"/>
                <a:satMod val="160000"/>
              </a:srgbClr>
            </a:gs>
            <a:gs pos="100000">
              <a:srgbClr val="4F81BD">
                <a:tint val="23500"/>
                <a:satMod val="160000"/>
              </a:srgbClr>
            </a:gs>
          </a:gsLst>
          <a:lin ang="5400000" scaled="0"/>
        </a:gradFill>
      </c:spPr>
    </c:plotArea>
    <c:legend>
      <c:legendPos val="b"/>
      <c:layout>
        <c:manualLayout>
          <c:xMode val="edge"/>
          <c:yMode val="edge"/>
          <c:x val="0.2213623366911539"/>
          <c:y val="0.87770730493550764"/>
          <c:w val="0.57216777372102157"/>
          <c:h val="7.3227104008448729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Black"/>
              <a:ea typeface="Arial Black"/>
              <a:cs typeface="Arial Black"/>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Carlson's Annual Trophic Status Index [TSI]  
</a:t>
            </a:r>
          </a:p>
        </c:rich>
      </c:tx>
      <c:layout>
        <c:manualLayout>
          <c:xMode val="edge"/>
          <c:yMode val="edge"/>
          <c:x val="0.2458521870286576"/>
          <c:y val="3.5031847133758252E-2"/>
        </c:manualLayout>
      </c:layout>
      <c:overlay val="0"/>
      <c:spPr>
        <a:noFill/>
        <a:ln w="25400">
          <a:noFill/>
        </a:ln>
      </c:spPr>
    </c:title>
    <c:autoTitleDeleted val="0"/>
    <c:plotArea>
      <c:layout>
        <c:manualLayout>
          <c:layoutTarget val="inner"/>
          <c:xMode val="edge"/>
          <c:yMode val="edge"/>
          <c:x val="6.3573958344615447E-2"/>
          <c:y val="0.12526539278131943"/>
          <c:w val="0.91237266492943359"/>
          <c:h val="0.66985138004246281"/>
        </c:manualLayout>
      </c:layout>
      <c:lineChart>
        <c:grouping val="standard"/>
        <c:varyColors val="0"/>
        <c:ser>
          <c:idx val="0"/>
          <c:order val="0"/>
          <c:tx>
            <c:strRef>
              <c:f>Carlson!$Z$42</c:f>
              <c:strCache>
                <c:ptCount val="1"/>
                <c:pt idx="0">
                  <c:v>Chlorophyll-a</c:v>
                </c:pt>
              </c:strCache>
            </c:strRef>
          </c:tx>
          <c:spPr>
            <a:ln w="38100">
              <a:solidFill>
                <a:srgbClr val="000080"/>
              </a:solidFill>
              <a:prstDash val="solid"/>
            </a:ln>
          </c:spPr>
          <c:marker>
            <c:symbol val="none"/>
          </c:marker>
          <c:cat>
            <c:numRef>
              <c:f>Carlson!$B$27:$W$27</c:f>
              <c:numCache>
                <c:formatCode>General</c:formatCode>
                <c:ptCount val="22"/>
                <c:pt idx="0">
                  <c:v>1988</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Carlson!$B$23:$W$23</c:f>
              <c:numCache>
                <c:formatCode>0.00</c:formatCode>
                <c:ptCount val="22"/>
                <c:pt idx="0">
                  <c:v>50.328755837972679</c:v>
                </c:pt>
                <c:pt idx="1">
                  <c:v>60.569001946553058</c:v>
                </c:pt>
                <c:pt idx="2">
                  <c:v>59.490108185268312</c:v>
                </c:pt>
                <c:pt idx="3">
                  <c:v>52.045163024800708</c:v>
                </c:pt>
                <c:pt idx="4">
                  <c:v>60.196813250617694</c:v>
                </c:pt>
                <c:pt idx="5">
                  <c:v>46.563595517817454</c:v>
                </c:pt>
                <c:pt idx="6">
                  <c:v>58.451359727019508</c:v>
                </c:pt>
                <c:pt idx="7">
                  <c:v>51.241556053390738</c:v>
                </c:pt>
                <c:pt idx="8">
                  <c:v>44.90901337268226</c:v>
                </c:pt>
                <c:pt idx="9">
                  <c:v>47.844586171188787</c:v>
                </c:pt>
                <c:pt idx="10">
                  <c:v>56.558974762338245</c:v>
                </c:pt>
                <c:pt idx="11">
                  <c:v>62.018942605224893</c:v>
                </c:pt>
                <c:pt idx="12">
                  <c:v>57.424145267406118</c:v>
                </c:pt>
                <c:pt idx="13">
                  <c:v>57.034292643354384</c:v>
                </c:pt>
                <c:pt idx="14">
                  <c:v>49.112153257007648</c:v>
                </c:pt>
                <c:pt idx="15">
                  <c:v>57.487640634706224</c:v>
                </c:pt>
                <c:pt idx="16">
                  <c:v>52.263171996658713</c:v>
                </c:pt>
                <c:pt idx="17">
                  <c:v>52.47644126556186</c:v>
                </c:pt>
                <c:pt idx="18">
                  <c:v>58.565430779751622</c:v>
                </c:pt>
                <c:pt idx="19">
                  <c:v>55.377398000663987</c:v>
                </c:pt>
                <c:pt idx="20">
                  <c:v>53.759977750967792</c:v>
                </c:pt>
                <c:pt idx="21">
                  <c:v>53.943347575817015</c:v>
                </c:pt>
              </c:numCache>
            </c:numRef>
          </c:val>
          <c:smooth val="0"/>
          <c:extLst>
            <c:ext xmlns:c16="http://schemas.microsoft.com/office/drawing/2014/chart" uri="{C3380CC4-5D6E-409C-BE32-E72D297353CC}">
              <c16:uniqueId val="{00000000-4294-4423-BA40-6A244E9C697F}"/>
            </c:ext>
          </c:extLst>
        </c:ser>
        <c:ser>
          <c:idx val="1"/>
          <c:order val="1"/>
          <c:tx>
            <c:strRef>
              <c:f>Carlson!$Z$43</c:f>
              <c:strCache>
                <c:ptCount val="1"/>
                <c:pt idx="0">
                  <c:v>Total Phosphorus</c:v>
                </c:pt>
              </c:strCache>
            </c:strRef>
          </c:tx>
          <c:spPr>
            <a:ln w="38100">
              <a:solidFill>
                <a:srgbClr val="FF00FF"/>
              </a:solidFill>
              <a:prstDash val="solid"/>
            </a:ln>
          </c:spPr>
          <c:marker>
            <c:symbol val="none"/>
          </c:marker>
          <c:cat>
            <c:numRef>
              <c:f>Carlson!$B$27:$W$27</c:f>
              <c:numCache>
                <c:formatCode>General</c:formatCode>
                <c:ptCount val="22"/>
                <c:pt idx="0">
                  <c:v>1988</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Carlson!$B$26:$W$26</c:f>
              <c:numCache>
                <c:formatCode>0.00</c:formatCode>
                <c:ptCount val="22"/>
                <c:pt idx="0">
                  <c:v>77.86486390810137</c:v>
                </c:pt>
                <c:pt idx="1">
                  <c:v>79.361907306518916</c:v>
                </c:pt>
                <c:pt idx="2">
                  <c:v>77.53626381206297</c:v>
                </c:pt>
                <c:pt idx="3">
                  <c:v>78.029833513059273</c:v>
                </c:pt>
                <c:pt idx="4">
                  <c:v>68.55336662767651</c:v>
                </c:pt>
                <c:pt idx="5">
                  <c:v>57.668020750593648</c:v>
                </c:pt>
                <c:pt idx="6">
                  <c:v>52.923548917470939</c:v>
                </c:pt>
                <c:pt idx="7">
                  <c:v>56.48969856202617</c:v>
                </c:pt>
                <c:pt idx="8">
                  <c:v>56.062695626673559</c:v>
                </c:pt>
                <c:pt idx="9">
                  <c:v>57.909204411993279</c:v>
                </c:pt>
                <c:pt idx="10">
                  <c:v>63.190448587242685</c:v>
                </c:pt>
                <c:pt idx="11">
                  <c:v>60.503576069721355</c:v>
                </c:pt>
                <c:pt idx="12">
                  <c:v>60.618936684980596</c:v>
                </c:pt>
                <c:pt idx="13">
                  <c:v>60.416445895266378</c:v>
                </c:pt>
                <c:pt idx="14">
                  <c:v>54.080778661183317</c:v>
                </c:pt>
                <c:pt idx="15">
                  <c:v>57.052318688804327</c:v>
                </c:pt>
                <c:pt idx="16">
                  <c:v>49.977536233617379</c:v>
                </c:pt>
                <c:pt idx="17">
                  <c:v>53.527867479233244</c:v>
                </c:pt>
                <c:pt idx="18">
                  <c:v>60.733381730151109</c:v>
                </c:pt>
                <c:pt idx="19">
                  <c:v>55.335482717373779</c:v>
                </c:pt>
                <c:pt idx="20">
                  <c:v>54.829465885695264</c:v>
                </c:pt>
                <c:pt idx="21">
                  <c:v>57.629195613933874</c:v>
                </c:pt>
              </c:numCache>
            </c:numRef>
          </c:val>
          <c:smooth val="0"/>
          <c:extLst>
            <c:ext xmlns:c16="http://schemas.microsoft.com/office/drawing/2014/chart" uri="{C3380CC4-5D6E-409C-BE32-E72D297353CC}">
              <c16:uniqueId val="{00000001-4294-4423-BA40-6A244E9C697F}"/>
            </c:ext>
          </c:extLst>
        </c:ser>
        <c:ser>
          <c:idx val="2"/>
          <c:order val="2"/>
          <c:tx>
            <c:strRef>
              <c:f>Carlson!$Z$44</c:f>
              <c:strCache>
                <c:ptCount val="1"/>
                <c:pt idx="0">
                  <c:v>Sechhi</c:v>
                </c:pt>
              </c:strCache>
            </c:strRef>
          </c:tx>
          <c:spPr>
            <a:ln w="38100">
              <a:solidFill>
                <a:srgbClr val="FF0000"/>
              </a:solidFill>
              <a:prstDash val="solid"/>
            </a:ln>
          </c:spPr>
          <c:marker>
            <c:symbol val="none"/>
          </c:marker>
          <c:cat>
            <c:numRef>
              <c:f>Carlson!$B$27:$W$27</c:f>
              <c:numCache>
                <c:formatCode>General</c:formatCode>
                <c:ptCount val="22"/>
                <c:pt idx="0">
                  <c:v>1988</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Carlson!$B$20:$W$20</c:f>
              <c:numCache>
                <c:formatCode>0.00</c:formatCode>
                <c:ptCount val="22"/>
                <c:pt idx="0">
                  <c:v>53.003832374585691</c:v>
                </c:pt>
                <c:pt idx="1">
                  <c:v>48.836181515570374</c:v>
                </c:pt>
                <c:pt idx="2">
                  <c:v>49.308682862449672</c:v>
                </c:pt>
                <c:pt idx="3">
                  <c:v>44.958783608185414</c:v>
                </c:pt>
                <c:pt idx="4">
                  <c:v>51.610272917923112</c:v>
                </c:pt>
                <c:pt idx="5">
                  <c:v>49.036788003623514</c:v>
                </c:pt>
                <c:pt idx="6">
                  <c:v>46.724380080519353</c:v>
                </c:pt>
                <c:pt idx="7">
                  <c:v>52.353646902194129</c:v>
                </c:pt>
                <c:pt idx="8">
                  <c:v>51.529994158760466</c:v>
                </c:pt>
                <c:pt idx="9">
                  <c:v>51.529994158760466</c:v>
                </c:pt>
                <c:pt idx="10">
                  <c:v>47.384495494730302</c:v>
                </c:pt>
                <c:pt idx="11">
                  <c:v>47.997779538505156</c:v>
                </c:pt>
                <c:pt idx="12">
                  <c:v>44.168996920292535</c:v>
                </c:pt>
                <c:pt idx="13">
                  <c:v>52.353646902194129</c:v>
                </c:pt>
                <c:pt idx="14">
                  <c:v>46.231080077154644</c:v>
                </c:pt>
                <c:pt idx="15">
                  <c:v>49.308682862449672</c:v>
                </c:pt>
                <c:pt idx="16">
                  <c:v>47.384495494730302</c:v>
                </c:pt>
                <c:pt idx="17">
                  <c:v>52.353646902194129</c:v>
                </c:pt>
                <c:pt idx="18">
                  <c:v>47.384495494730302</c:v>
                </c:pt>
                <c:pt idx="19">
                  <c:v>45.687241950921816</c:v>
                </c:pt>
                <c:pt idx="20">
                  <c:v>52.353646902194129</c:v>
                </c:pt>
                <c:pt idx="21">
                  <c:v>48.638329437150865</c:v>
                </c:pt>
              </c:numCache>
            </c:numRef>
          </c:val>
          <c:smooth val="0"/>
          <c:extLst>
            <c:ext xmlns:c16="http://schemas.microsoft.com/office/drawing/2014/chart" uri="{C3380CC4-5D6E-409C-BE32-E72D297353CC}">
              <c16:uniqueId val="{00000002-4294-4423-BA40-6A244E9C697F}"/>
            </c:ext>
          </c:extLst>
        </c:ser>
        <c:dLbls>
          <c:showLegendKey val="0"/>
          <c:showVal val="0"/>
          <c:showCatName val="0"/>
          <c:showSerName val="0"/>
          <c:showPercent val="0"/>
          <c:showBubbleSize val="0"/>
        </c:dLbls>
        <c:smooth val="0"/>
        <c:axId val="132951040"/>
        <c:axId val="132981504"/>
      </c:lineChart>
      <c:catAx>
        <c:axId val="132951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32981504"/>
        <c:crosses val="autoZero"/>
        <c:auto val="1"/>
        <c:lblAlgn val="ctr"/>
        <c:lblOffset val="100"/>
        <c:tickLblSkip val="1"/>
        <c:tickMarkSkip val="1"/>
        <c:noMultiLvlLbl val="0"/>
      </c:catAx>
      <c:valAx>
        <c:axId val="132981504"/>
        <c:scaling>
          <c:orientation val="minMax"/>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32951040"/>
        <c:crosses val="autoZero"/>
        <c:crossBetween val="between"/>
        <c:minorUnit val="10"/>
      </c:valAx>
      <c:spPr>
        <a:gradFill>
          <a:gsLst>
            <a:gs pos="65000">
              <a:srgbClr val="00B050">
                <a:alpha val="86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legend>
      <c:legendPos val="b"/>
      <c:layout>
        <c:manualLayout>
          <c:xMode val="edge"/>
          <c:yMode val="edge"/>
          <c:x val="0.25325376281197315"/>
          <c:y val="0.89065817409766457"/>
          <c:w val="0.56351048966195638"/>
          <c:h val="7.8824080111005404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Arial Black"/>
              <a:ea typeface="Arial Black"/>
              <a:cs typeface="Arial Black"/>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verticalDpi="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US"/>
              <a:t>Walker's Growing Season TSI Trophic Status
</a:t>
            </a:r>
          </a:p>
        </c:rich>
      </c:tx>
      <c:layout>
        <c:manualLayout>
          <c:xMode val="edge"/>
          <c:yMode val="edge"/>
          <c:x val="0.31267217630855837"/>
          <c:y val="3.5460992907801435E-2"/>
        </c:manualLayout>
      </c:layout>
      <c:overlay val="0"/>
      <c:spPr>
        <a:noFill/>
        <a:ln w="25400">
          <a:noFill/>
        </a:ln>
      </c:spPr>
    </c:title>
    <c:autoTitleDeleted val="0"/>
    <c:plotArea>
      <c:layout>
        <c:manualLayout>
          <c:layoutTarget val="inner"/>
          <c:xMode val="edge"/>
          <c:yMode val="edge"/>
          <c:x val="9.7997574864545453E-2"/>
          <c:y val="0.14746255520455137"/>
          <c:w val="0.90111783093760756"/>
          <c:h val="0.68530222611062508"/>
        </c:manualLayout>
      </c:layout>
      <c:lineChart>
        <c:grouping val="standard"/>
        <c:varyColors val="0"/>
        <c:ser>
          <c:idx val="0"/>
          <c:order val="0"/>
          <c:tx>
            <c:strRef>
              <c:f>Walker!$G$52</c:f>
              <c:strCache>
                <c:ptCount val="1"/>
                <c:pt idx="0">
                  <c:v>Chlorophyll-a</c:v>
                </c:pt>
              </c:strCache>
            </c:strRef>
          </c:tx>
          <c:spPr>
            <a:ln w="38100">
              <a:solidFill>
                <a:srgbClr val="000080"/>
              </a:solidFill>
              <a:prstDash val="solid"/>
            </a:ln>
          </c:spPr>
          <c:marker>
            <c:symbol val="none"/>
          </c:marker>
          <c:cat>
            <c:numRef>
              <c:f>Walker!$AA$16:$AU$16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Walker!$AA$18:$AU$18</c:f>
              <c:numCache>
                <c:formatCode>0.00</c:formatCode>
                <c:ptCount val="21"/>
                <c:pt idx="0">
                  <c:v>39.954269549603552</c:v>
                </c:pt>
                <c:pt idx="1">
                  <c:v>55.565533829982016</c:v>
                </c:pt>
                <c:pt idx="2">
                  <c:v>58.461430738911787</c:v>
                </c:pt>
                <c:pt idx="3">
                  <c:v>67.201909026395739</c:v>
                </c:pt>
                <c:pt idx="4">
                  <c:v>54.525117899516516</c:v>
                </c:pt>
                <c:pt idx="5">
                  <c:v>65.712923624392289</c:v>
                </c:pt>
                <c:pt idx="6">
                  <c:v>45.83717154626855</c:v>
                </c:pt>
                <c:pt idx="7">
                  <c:v>34.269184011910241</c:v>
                </c:pt>
                <c:pt idx="8">
                  <c:v>36.314818447701668</c:v>
                </c:pt>
                <c:pt idx="9">
                  <c:v>58.660330444060072</c:v>
                </c:pt>
                <c:pt idx="10">
                  <c:v>65.523946072984643</c:v>
                </c:pt>
                <c:pt idx="11">
                  <c:v>63.413153176808436</c:v>
                </c:pt>
                <c:pt idx="12">
                  <c:v>62.074253956655305</c:v>
                </c:pt>
                <c:pt idx="13">
                  <c:v>50.859754077616223</c:v>
                </c:pt>
                <c:pt idx="14">
                  <c:v>59.522913145001397</c:v>
                </c:pt>
                <c:pt idx="15">
                  <c:v>57.206726682721325</c:v>
                </c:pt>
                <c:pt idx="16">
                  <c:v>46.991387390920949</c:v>
                </c:pt>
                <c:pt idx="17">
                  <c:v>66.870400173595584</c:v>
                </c:pt>
                <c:pt idx="18">
                  <c:v>65.400697459443251</c:v>
                </c:pt>
                <c:pt idx="19">
                  <c:v>59.241080069629163</c:v>
                </c:pt>
                <c:pt idx="20">
                  <c:v>51.683978405188284</c:v>
                </c:pt>
              </c:numCache>
            </c:numRef>
          </c:val>
          <c:smooth val="0"/>
          <c:extLst>
            <c:ext xmlns:c16="http://schemas.microsoft.com/office/drawing/2014/chart" uri="{C3380CC4-5D6E-409C-BE32-E72D297353CC}">
              <c16:uniqueId val="{00000000-9157-4BFB-9559-343208D0EF7C}"/>
            </c:ext>
          </c:extLst>
        </c:ser>
        <c:ser>
          <c:idx val="1"/>
          <c:order val="1"/>
          <c:tx>
            <c:strRef>
              <c:f>Walker!$G$53</c:f>
              <c:strCache>
                <c:ptCount val="1"/>
                <c:pt idx="0">
                  <c:v>Total Phosphorus</c:v>
                </c:pt>
              </c:strCache>
            </c:strRef>
          </c:tx>
          <c:spPr>
            <a:ln w="38100">
              <a:solidFill>
                <a:srgbClr val="FF00FF"/>
              </a:solidFill>
              <a:prstDash val="solid"/>
            </a:ln>
          </c:spPr>
          <c:marker>
            <c:symbol val="none"/>
          </c:marker>
          <c:cat>
            <c:numRef>
              <c:f>Walker!$AA$16:$AU$16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Walker!$AA$21:$AU$21</c:f>
              <c:numCache>
                <c:formatCode>0.00</c:formatCode>
                <c:ptCount val="21"/>
                <c:pt idx="0">
                  <c:v>105.23732345422789</c:v>
                </c:pt>
                <c:pt idx="1">
                  <c:v>104.14677889764283</c:v>
                </c:pt>
                <c:pt idx="2">
                  <c:v>106.75135640672498</c:v>
                </c:pt>
                <c:pt idx="3">
                  <c:v>90.584875613041092</c:v>
                </c:pt>
                <c:pt idx="4">
                  <c:v>81.427664114480308</c:v>
                </c:pt>
                <c:pt idx="5">
                  <c:v>68.683738801752057</c:v>
                </c:pt>
                <c:pt idx="6">
                  <c:v>73.344504155515523</c:v>
                </c:pt>
                <c:pt idx="7">
                  <c:v>71.178068191018056</c:v>
                </c:pt>
                <c:pt idx="8">
                  <c:v>76.822735173828832</c:v>
                </c:pt>
                <c:pt idx="9">
                  <c:v>75.017910212003002</c:v>
                </c:pt>
                <c:pt idx="10">
                  <c:v>82.689707094897571</c:v>
                </c:pt>
                <c:pt idx="11">
                  <c:v>78.715149167140993</c:v>
                </c:pt>
                <c:pt idx="12">
                  <c:v>82.753976813015143</c:v>
                </c:pt>
                <c:pt idx="13">
                  <c:v>74.00095640843179</c:v>
                </c:pt>
                <c:pt idx="14">
                  <c:v>76.562167504225187</c:v>
                </c:pt>
                <c:pt idx="15">
                  <c:v>64.838342612330891</c:v>
                </c:pt>
                <c:pt idx="16">
                  <c:v>67.135202490872658</c:v>
                </c:pt>
                <c:pt idx="17">
                  <c:v>82.430544899764982</c:v>
                </c:pt>
                <c:pt idx="18">
                  <c:v>77.95505787670551</c:v>
                </c:pt>
                <c:pt idx="19">
                  <c:v>73.241573337517138</c:v>
                </c:pt>
                <c:pt idx="20">
                  <c:v>80.299478324726664</c:v>
                </c:pt>
              </c:numCache>
            </c:numRef>
          </c:val>
          <c:smooth val="0"/>
          <c:extLst>
            <c:ext xmlns:c16="http://schemas.microsoft.com/office/drawing/2014/chart" uri="{C3380CC4-5D6E-409C-BE32-E72D297353CC}">
              <c16:uniqueId val="{00000001-9157-4BFB-9559-343208D0EF7C}"/>
            </c:ext>
          </c:extLst>
        </c:ser>
        <c:ser>
          <c:idx val="2"/>
          <c:order val="2"/>
          <c:tx>
            <c:strRef>
              <c:f>Walker!$G$54</c:f>
              <c:strCache>
                <c:ptCount val="1"/>
                <c:pt idx="0">
                  <c:v>Sechhi</c:v>
                </c:pt>
              </c:strCache>
            </c:strRef>
          </c:tx>
          <c:spPr>
            <a:ln w="38100">
              <a:solidFill>
                <a:srgbClr val="FF0000"/>
              </a:solidFill>
              <a:prstDash val="solid"/>
            </a:ln>
          </c:spPr>
          <c:marker>
            <c:symbol val="none"/>
          </c:marker>
          <c:cat>
            <c:numRef>
              <c:f>Walker!$AA$16:$AU$16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Walker!$AA$24:$AU$24</c:f>
              <c:numCache>
                <c:formatCode>0.00</c:formatCode>
                <c:ptCount val="21"/>
                <c:pt idx="0">
                  <c:v>58.073026973148814</c:v>
                </c:pt>
                <c:pt idx="1">
                  <c:v>57.060845376748709</c:v>
                </c:pt>
                <c:pt idx="2">
                  <c:v>55.869127614357176</c:v>
                </c:pt>
                <c:pt idx="3">
                  <c:v>62.129262586264701</c:v>
                </c:pt>
                <c:pt idx="4">
                  <c:v>69.080907012382241</c:v>
                </c:pt>
                <c:pt idx="5">
                  <c:v>52.807093237995446</c:v>
                </c:pt>
                <c:pt idx="6">
                  <c:v>66.440722664986438</c:v>
                </c:pt>
                <c:pt idx="7">
                  <c:v>62.129262586264701</c:v>
                </c:pt>
                <c:pt idx="8">
                  <c:v>60.835935291730678</c:v>
                </c:pt>
                <c:pt idx="9">
                  <c:v>55.031061001521465</c:v>
                </c:pt>
                <c:pt idx="10">
                  <c:v>55.134574086292005</c:v>
                </c:pt>
                <c:pt idx="11">
                  <c:v>51.235802304246434</c:v>
                </c:pt>
                <c:pt idx="12">
                  <c:v>63.488373835154341</c:v>
                </c:pt>
                <c:pt idx="13">
                  <c:v>58.41843895246609</c:v>
                </c:pt>
                <c:pt idx="14">
                  <c:v>64.922011586632749</c:v>
                </c:pt>
                <c:pt idx="15">
                  <c:v>54.114638300921229</c:v>
                </c:pt>
                <c:pt idx="16">
                  <c:v>53.126608849154415</c:v>
                </c:pt>
                <c:pt idx="17">
                  <c:v>64.922011586632749</c:v>
                </c:pt>
                <c:pt idx="18">
                  <c:v>60.835935291730678</c:v>
                </c:pt>
                <c:pt idx="19">
                  <c:v>63.488373835154341</c:v>
                </c:pt>
                <c:pt idx="20">
                  <c:v>56.189460550357225</c:v>
                </c:pt>
              </c:numCache>
            </c:numRef>
          </c:val>
          <c:smooth val="0"/>
          <c:extLst>
            <c:ext xmlns:c16="http://schemas.microsoft.com/office/drawing/2014/chart" uri="{C3380CC4-5D6E-409C-BE32-E72D297353CC}">
              <c16:uniqueId val="{00000002-9157-4BFB-9559-343208D0EF7C}"/>
            </c:ext>
          </c:extLst>
        </c:ser>
        <c:ser>
          <c:idx val="3"/>
          <c:order val="3"/>
          <c:tx>
            <c:strRef>
              <c:f>Walker!$G$55</c:f>
              <c:strCache>
                <c:ptCount val="1"/>
                <c:pt idx="0">
                  <c:v>TSI Index</c:v>
                </c:pt>
              </c:strCache>
            </c:strRef>
          </c:tx>
          <c:spPr>
            <a:ln w="38100">
              <a:solidFill>
                <a:srgbClr val="00FFFF"/>
              </a:solidFill>
              <a:prstDash val="solid"/>
            </a:ln>
          </c:spPr>
          <c:marker>
            <c:symbol val="none"/>
          </c:marker>
          <c:cat>
            <c:numRef>
              <c:f>Walker!$AA$16:$AU$16</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Walker!$AA$29:$AU$29</c:f>
              <c:numCache>
                <c:formatCode>0.0</c:formatCode>
                <c:ptCount val="21"/>
                <c:pt idx="0">
                  <c:v>67.754873325660085</c:v>
                </c:pt>
                <c:pt idx="1">
                  <c:v>72.257719368124526</c:v>
                </c:pt>
                <c:pt idx="2">
                  <c:v>73.693971586664645</c:v>
                </c:pt>
                <c:pt idx="3">
                  <c:v>73.305349075233849</c:v>
                </c:pt>
                <c:pt idx="4">
                  <c:v>68.344563008793031</c:v>
                </c:pt>
                <c:pt idx="5">
                  <c:v>62.401251888046602</c:v>
                </c:pt>
                <c:pt idx="6">
                  <c:v>61.874132788923504</c:v>
                </c:pt>
                <c:pt idx="7">
                  <c:v>55.858838263064335</c:v>
                </c:pt>
                <c:pt idx="8">
                  <c:v>57.991162971087057</c:v>
                </c:pt>
                <c:pt idx="9">
                  <c:v>62.90310055252818</c:v>
                </c:pt>
                <c:pt idx="10">
                  <c:v>67.782742418058078</c:v>
                </c:pt>
                <c:pt idx="11">
                  <c:v>64.454701549398621</c:v>
                </c:pt>
                <c:pt idx="12">
                  <c:v>69.438868201608258</c:v>
                </c:pt>
                <c:pt idx="13">
                  <c:v>61.093049812838039</c:v>
                </c:pt>
                <c:pt idx="14">
                  <c:v>67.002364078619777</c:v>
                </c:pt>
                <c:pt idx="15">
                  <c:v>58.719902531991146</c:v>
                </c:pt>
                <c:pt idx="16">
                  <c:v>55.75106624364934</c:v>
                </c:pt>
                <c:pt idx="17">
                  <c:v>65.304786963789965</c:v>
                </c:pt>
                <c:pt idx="18">
                  <c:v>64.554549021164291</c:v>
                </c:pt>
                <c:pt idx="19">
                  <c:v>64.119990745893389</c:v>
                </c:pt>
                <c:pt idx="20">
                  <c:v>63.548776835549617</c:v>
                </c:pt>
              </c:numCache>
            </c:numRef>
          </c:val>
          <c:smooth val="0"/>
          <c:extLst>
            <c:ext xmlns:c16="http://schemas.microsoft.com/office/drawing/2014/chart" uri="{C3380CC4-5D6E-409C-BE32-E72D297353CC}">
              <c16:uniqueId val="{00000003-9157-4BFB-9559-343208D0EF7C}"/>
            </c:ext>
          </c:extLst>
        </c:ser>
        <c:dLbls>
          <c:showLegendKey val="0"/>
          <c:showVal val="0"/>
          <c:showCatName val="0"/>
          <c:showSerName val="0"/>
          <c:showPercent val="0"/>
          <c:showBubbleSize val="0"/>
        </c:dLbls>
        <c:smooth val="0"/>
        <c:axId val="133090688"/>
        <c:axId val="133117056"/>
      </c:lineChart>
      <c:catAx>
        <c:axId val="133090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Black"/>
                <a:ea typeface="Arial Black"/>
                <a:cs typeface="Arial Black"/>
              </a:defRPr>
            </a:pPr>
            <a:endParaRPr lang="en-US"/>
          </a:p>
        </c:txPr>
        <c:crossAx val="133117056"/>
        <c:crosses val="autoZero"/>
        <c:auto val="1"/>
        <c:lblAlgn val="ctr"/>
        <c:lblOffset val="100"/>
        <c:tickLblSkip val="1"/>
        <c:tickMarkSkip val="1"/>
        <c:noMultiLvlLbl val="0"/>
      </c:catAx>
      <c:valAx>
        <c:axId val="133117056"/>
        <c:scaling>
          <c:orientation val="minMax"/>
          <c:max val="120"/>
          <c:min val="20"/>
        </c:scaling>
        <c:delete val="0"/>
        <c:axPos val="l"/>
        <c:min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Black"/>
                <a:ea typeface="Arial Black"/>
                <a:cs typeface="Arial Black"/>
              </a:defRPr>
            </a:pPr>
            <a:endParaRPr lang="en-US"/>
          </a:p>
        </c:txPr>
        <c:crossAx val="133090688"/>
        <c:crosses val="autoZero"/>
        <c:crossBetween val="between"/>
        <c:minorUnit val="10"/>
      </c:valAx>
      <c:spPr>
        <a:gradFill>
          <a:gsLst>
            <a:gs pos="65000">
              <a:srgbClr val="00B050">
                <a:alpha val="77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legend>
      <c:legendPos val="r"/>
      <c:layout>
        <c:manualLayout>
          <c:xMode val="edge"/>
          <c:yMode val="edge"/>
          <c:x val="0.8557398276641186"/>
          <c:y val="7.9985480538337594E-2"/>
          <c:w val="0.1265681652517828"/>
          <c:h val="0.30660635505668182"/>
        </c:manualLayout>
      </c:layout>
      <c:overlay val="0"/>
      <c:spPr>
        <a:solidFill>
          <a:schemeClr val="lt1"/>
        </a:solidFill>
        <a:ln w="25400" cap="flat" cmpd="sng" algn="ctr">
          <a:solidFill>
            <a:schemeClr val="accent4"/>
          </a:solidFill>
          <a:prstDash val="solid"/>
        </a:ln>
        <a:effectLst/>
      </c:spPr>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lt1"/>
    </a:solidFill>
    <a:ln w="25400" cap="flat" cmpd="sng" algn="ctr">
      <a:solidFill>
        <a:schemeClr val="accent6"/>
      </a:solidFill>
      <a:prstDash val="soli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a:t>Bear Creek Reservoir Total Phosphorus [ug/l] Trend</a:t>
            </a:r>
          </a:p>
        </c:rich>
      </c:tx>
      <c:layout>
        <c:manualLayout>
          <c:xMode val="edge"/>
          <c:yMode val="edge"/>
          <c:x val="0.23974763406941008"/>
          <c:y val="3.6423841059602655E-2"/>
        </c:manualLayout>
      </c:layout>
      <c:overlay val="0"/>
      <c:spPr>
        <a:noFill/>
        <a:ln w="25400">
          <a:noFill/>
        </a:ln>
      </c:spPr>
    </c:title>
    <c:autoTitleDeleted val="0"/>
    <c:plotArea>
      <c:layout>
        <c:manualLayout>
          <c:layoutTarget val="inner"/>
          <c:xMode val="edge"/>
          <c:yMode val="edge"/>
          <c:x val="8.8480801335559273E-2"/>
          <c:y val="0.15011037527593821"/>
          <c:w val="0.90150250417360756"/>
          <c:h val="0.71412803532010272"/>
        </c:manualLayout>
      </c:layout>
      <c:barChart>
        <c:barDir val="col"/>
        <c:grouping val="clustered"/>
        <c:varyColors val="0"/>
        <c:ser>
          <c:idx val="0"/>
          <c:order val="0"/>
          <c:tx>
            <c:strRef>
              <c:f>'Annual Reservoir Trends'!$B$11</c:f>
              <c:strCache>
                <c:ptCount val="1"/>
                <c:pt idx="0">
                  <c:v>Top</c:v>
                </c:pt>
              </c:strCache>
            </c:strRef>
          </c:tx>
          <c:spPr>
            <a:solidFill>
              <a:srgbClr val="9999FF"/>
            </a:solidFill>
            <a:ln w="12700">
              <a:solidFill>
                <a:srgbClr val="000000"/>
              </a:solidFill>
              <a:prstDash val="solid"/>
            </a:ln>
          </c:spPr>
          <c:invertIfNegative val="0"/>
          <c:cat>
            <c:numRef>
              <c:f>'Annual Reservoir Trends'!$C$3:$W$3</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'Annual Reservoir Trends'!$C$11:$W$11</c:f>
              <c:numCache>
                <c:formatCode>General</c:formatCode>
                <c:ptCount val="21"/>
                <c:pt idx="0">
                  <c:v>144</c:v>
                </c:pt>
                <c:pt idx="1">
                  <c:v>146</c:v>
                </c:pt>
                <c:pt idx="2">
                  <c:v>175</c:v>
                </c:pt>
                <c:pt idx="3">
                  <c:v>83</c:v>
                </c:pt>
                <c:pt idx="4">
                  <c:v>34</c:v>
                </c:pt>
                <c:pt idx="5">
                  <c:v>29</c:v>
                </c:pt>
                <c:pt idx="6">
                  <c:v>38</c:v>
                </c:pt>
                <c:pt idx="7">
                  <c:v>33</c:v>
                </c:pt>
                <c:pt idx="8">
                  <c:v>34</c:v>
                </c:pt>
                <c:pt idx="9">
                  <c:v>59</c:v>
                </c:pt>
                <c:pt idx="10">
                  <c:v>42</c:v>
                </c:pt>
                <c:pt idx="11">
                  <c:v>46</c:v>
                </c:pt>
                <c:pt idx="12">
                  <c:v>79</c:v>
                </c:pt>
                <c:pt idx="13">
                  <c:v>24</c:v>
                </c:pt>
                <c:pt idx="14" formatCode="0">
                  <c:v>33.021419788316948</c:v>
                </c:pt>
                <c:pt idx="15" formatCode="0">
                  <c:v>66.601427985887796</c:v>
                </c:pt>
                <c:pt idx="16" formatCode="0.0">
                  <c:v>29.742840573556929</c:v>
                </c:pt>
                <c:pt idx="17" formatCode="0.0">
                  <c:v>39.799999999999997</c:v>
                </c:pt>
                <c:pt idx="18" formatCode="0.0">
                  <c:v>34.200000000000003</c:v>
                </c:pt>
                <c:pt idx="19" formatCode="0.0">
                  <c:v>28.3</c:v>
                </c:pt>
                <c:pt idx="20" formatCode="0.0">
                  <c:v>33.700000000000003</c:v>
                </c:pt>
              </c:numCache>
            </c:numRef>
          </c:val>
          <c:extLst>
            <c:ext xmlns:c16="http://schemas.microsoft.com/office/drawing/2014/chart" uri="{C3380CC4-5D6E-409C-BE32-E72D297353CC}">
              <c16:uniqueId val="{00000000-681A-4189-A57D-7DCD1DBDD1DB}"/>
            </c:ext>
          </c:extLst>
        </c:ser>
        <c:ser>
          <c:idx val="3"/>
          <c:order val="1"/>
          <c:tx>
            <c:strRef>
              <c:f>'Annual Reservoir Trends'!$B$13</c:f>
              <c:strCache>
                <c:ptCount val="1"/>
                <c:pt idx="0">
                  <c:v>Bottom</c:v>
                </c:pt>
              </c:strCache>
            </c:strRef>
          </c:tx>
          <c:spPr>
            <a:solidFill>
              <a:srgbClr val="CCFFFF"/>
            </a:solidFill>
            <a:ln w="12700">
              <a:solidFill>
                <a:srgbClr val="000000"/>
              </a:solidFill>
              <a:prstDash val="solid"/>
            </a:ln>
          </c:spPr>
          <c:invertIfNegative val="0"/>
          <c:trendline>
            <c:spPr>
              <a:ln w="25400">
                <a:solidFill>
                  <a:srgbClr val="000000"/>
                </a:solidFill>
                <a:prstDash val="solid"/>
              </a:ln>
            </c:spPr>
            <c:trendlineType val="poly"/>
            <c:order val="6"/>
            <c:dispRSqr val="0"/>
            <c:dispEq val="0"/>
          </c:trendline>
          <c:cat>
            <c:numRef>
              <c:f>'Annual Reservoir Trends'!$C$3:$W$3</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'Annual Reservoir Trends'!$C$13:$W$13</c:f>
              <c:numCache>
                <c:formatCode>General</c:formatCode>
                <c:ptCount val="21"/>
                <c:pt idx="0">
                  <c:v>270</c:v>
                </c:pt>
                <c:pt idx="1">
                  <c:v>201</c:v>
                </c:pt>
                <c:pt idx="2">
                  <c:v>240</c:v>
                </c:pt>
                <c:pt idx="3">
                  <c:v>99</c:v>
                </c:pt>
                <c:pt idx="4">
                  <c:v>52</c:v>
                </c:pt>
                <c:pt idx="5">
                  <c:v>66</c:v>
                </c:pt>
                <c:pt idx="6">
                  <c:v>86</c:v>
                </c:pt>
                <c:pt idx="7">
                  <c:v>69</c:v>
                </c:pt>
                <c:pt idx="8">
                  <c:v>54</c:v>
                </c:pt>
                <c:pt idx="9">
                  <c:v>56</c:v>
                </c:pt>
                <c:pt idx="10">
                  <c:v>64</c:v>
                </c:pt>
                <c:pt idx="11">
                  <c:v>56</c:v>
                </c:pt>
                <c:pt idx="12">
                  <c:v>56</c:v>
                </c:pt>
                <c:pt idx="13">
                  <c:v>44</c:v>
                </c:pt>
                <c:pt idx="14" formatCode="0">
                  <c:v>47.091899981300472</c:v>
                </c:pt>
                <c:pt idx="15" formatCode="0">
                  <c:v>97.33945999875337</c:v>
                </c:pt>
                <c:pt idx="16" formatCode="0.0">
                  <c:v>30.821478699787626</c:v>
                </c:pt>
                <c:pt idx="17" formatCode="0.0">
                  <c:v>62.2</c:v>
                </c:pt>
                <c:pt idx="18" formatCode="0.0">
                  <c:v>35.299999999999997</c:v>
                </c:pt>
                <c:pt idx="19" formatCode="0.0">
                  <c:v>38.9</c:v>
                </c:pt>
                <c:pt idx="20" formatCode="0.0">
                  <c:v>47.9</c:v>
                </c:pt>
              </c:numCache>
            </c:numRef>
          </c:val>
          <c:extLst>
            <c:ext xmlns:c16="http://schemas.microsoft.com/office/drawing/2014/chart" uri="{C3380CC4-5D6E-409C-BE32-E72D297353CC}">
              <c16:uniqueId val="{00000002-681A-4189-A57D-7DCD1DBDD1DB}"/>
            </c:ext>
          </c:extLst>
        </c:ser>
        <c:dLbls>
          <c:showLegendKey val="0"/>
          <c:showVal val="0"/>
          <c:showCatName val="0"/>
          <c:showSerName val="0"/>
          <c:showPercent val="0"/>
          <c:showBubbleSize val="0"/>
        </c:dLbls>
        <c:gapWidth val="150"/>
        <c:axId val="137526656"/>
        <c:axId val="155251456"/>
      </c:barChart>
      <c:catAx>
        <c:axId val="137526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55251456"/>
        <c:crosses val="autoZero"/>
        <c:auto val="1"/>
        <c:lblAlgn val="ctr"/>
        <c:lblOffset val="100"/>
        <c:tickLblSkip val="1"/>
        <c:tickMarkSkip val="1"/>
        <c:noMultiLvlLbl val="0"/>
      </c:catAx>
      <c:valAx>
        <c:axId val="15525145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37526656"/>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000000"/>
          </a:solidFill>
          <a:prstDash val="solid"/>
        </a:ln>
      </c:spPr>
    </c:plotArea>
    <c:legend>
      <c:legendPos val="r"/>
      <c:legendEntry>
        <c:idx val="0"/>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76627718853755267"/>
          <c:y val="0.19536423841059641"/>
          <c:w val="0.22203664605015838"/>
          <c:h val="0.18874172185431212"/>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0" b="0" i="0" u="none" strike="noStrike" baseline="0">
                <a:solidFill>
                  <a:srgbClr val="000000"/>
                </a:solidFill>
                <a:latin typeface="Arial"/>
                <a:ea typeface="Arial"/>
                <a:cs typeface="Arial"/>
              </a:defRPr>
            </a:pPr>
            <a:r>
              <a:rPr lang="en-US"/>
              <a:t>Walker Seasonal Trophic State Index</a:t>
            </a:r>
          </a:p>
        </c:rich>
      </c:tx>
      <c:layout>
        <c:manualLayout>
          <c:xMode val="edge"/>
          <c:yMode val="edge"/>
          <c:x val="0.27130852340937511"/>
          <c:y val="3.5820895522388062E-2"/>
        </c:manualLayout>
      </c:layout>
      <c:overlay val="0"/>
      <c:spPr>
        <a:noFill/>
        <a:ln w="25400">
          <a:noFill/>
        </a:ln>
      </c:spPr>
    </c:title>
    <c:autoTitleDeleted val="0"/>
    <c:plotArea>
      <c:layout>
        <c:manualLayout>
          <c:layoutTarget val="inner"/>
          <c:xMode val="edge"/>
          <c:yMode val="edge"/>
          <c:x val="0.10122586062132662"/>
          <c:y val="0.12736318407960198"/>
          <c:w val="0.8987741393786951"/>
          <c:h val="0.62487562189057022"/>
        </c:manualLayout>
      </c:layout>
      <c:barChart>
        <c:barDir val="col"/>
        <c:grouping val="clustered"/>
        <c:varyColors val="0"/>
        <c:ser>
          <c:idx val="0"/>
          <c:order val="0"/>
          <c:tx>
            <c:strRef>
              <c:f>Walker!$A$52</c:f>
              <c:strCache>
                <c:ptCount val="1"/>
                <c:pt idx="0">
                  <c:v>Walker TI</c:v>
                </c:pt>
              </c:strCache>
            </c:strRef>
          </c:tx>
          <c:spPr>
            <a:solidFill>
              <a:srgbClr val="9999FF"/>
            </a:solidFill>
            <a:ln w="12700">
              <a:solidFill>
                <a:srgbClr val="000000"/>
              </a:solidFill>
              <a:prstDash val="solid"/>
            </a:ln>
          </c:spPr>
          <c:invertIfNegative val="0"/>
          <c:dLbls>
            <c:numFmt formatCode="0" sourceLinked="0"/>
            <c:spPr>
              <a:noFill/>
              <a:ln w="25400">
                <a:noFill/>
              </a:ln>
            </c:spPr>
            <c:txPr>
              <a:bodyPr/>
              <a:lstStyle/>
              <a:p>
                <a:pPr>
                  <a:defRPr sz="107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Walker!$AA$30:$AU$31</c:f>
              <c:multiLvlStrCache>
                <c:ptCount val="21"/>
                <c:lvl>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lvl>
                <c:lvl>
                  <c:pt idx="0">
                    <c:v>Eu-hyp</c:v>
                  </c:pt>
                  <c:pt idx="1">
                    <c:v>Hyp</c:v>
                  </c:pt>
                  <c:pt idx="2">
                    <c:v>Hyp</c:v>
                  </c:pt>
                  <c:pt idx="3">
                    <c:v>Hyp</c:v>
                  </c:pt>
                  <c:pt idx="4">
                    <c:v>Eu-hyp</c:v>
                  </c:pt>
                  <c:pt idx="5">
                    <c:v>Eu</c:v>
                  </c:pt>
                  <c:pt idx="6">
                    <c:v>Eu</c:v>
                  </c:pt>
                  <c:pt idx="7">
                    <c:v>Eu</c:v>
                  </c:pt>
                  <c:pt idx="8">
                    <c:v>Eu</c:v>
                  </c:pt>
                  <c:pt idx="9">
                    <c:v>Eu</c:v>
                  </c:pt>
                  <c:pt idx="10">
                    <c:v>Eu-hyp</c:v>
                  </c:pt>
                  <c:pt idx="11">
                    <c:v>Eu</c:v>
                  </c:pt>
                  <c:pt idx="12">
                    <c:v>Eu-hyp</c:v>
                  </c:pt>
                  <c:pt idx="13">
                    <c:v>Eu</c:v>
                  </c:pt>
                  <c:pt idx="14">
                    <c:v>Eu-hyp</c:v>
                  </c:pt>
                  <c:pt idx="15">
                    <c:v>Eu</c:v>
                  </c:pt>
                  <c:pt idx="16">
                    <c:v>Eu</c:v>
                  </c:pt>
                  <c:pt idx="17">
                    <c:v>Eu</c:v>
                  </c:pt>
                  <c:pt idx="18">
                    <c:v>EU</c:v>
                  </c:pt>
                  <c:pt idx="19">
                    <c:v>EU</c:v>
                  </c:pt>
                  <c:pt idx="20">
                    <c:v>EU</c:v>
                  </c:pt>
                </c:lvl>
              </c:multiLvlStrCache>
            </c:multiLvlStrRef>
          </c:cat>
          <c:val>
            <c:numRef>
              <c:f>Walker!$AA$29:$AU$29</c:f>
              <c:numCache>
                <c:formatCode>0.0</c:formatCode>
                <c:ptCount val="21"/>
                <c:pt idx="0">
                  <c:v>67.754873325660085</c:v>
                </c:pt>
                <c:pt idx="1">
                  <c:v>72.257719368124526</c:v>
                </c:pt>
                <c:pt idx="2">
                  <c:v>73.693971586664645</c:v>
                </c:pt>
                <c:pt idx="3">
                  <c:v>73.305349075233849</c:v>
                </c:pt>
                <c:pt idx="4">
                  <c:v>68.344563008793031</c:v>
                </c:pt>
                <c:pt idx="5">
                  <c:v>62.401251888046602</c:v>
                </c:pt>
                <c:pt idx="6">
                  <c:v>61.874132788923504</c:v>
                </c:pt>
                <c:pt idx="7">
                  <c:v>55.858838263064335</c:v>
                </c:pt>
                <c:pt idx="8">
                  <c:v>57.991162971087057</c:v>
                </c:pt>
                <c:pt idx="9">
                  <c:v>62.90310055252818</c:v>
                </c:pt>
                <c:pt idx="10">
                  <c:v>67.782742418058078</c:v>
                </c:pt>
                <c:pt idx="11">
                  <c:v>64.454701549398621</c:v>
                </c:pt>
                <c:pt idx="12">
                  <c:v>69.438868201608258</c:v>
                </c:pt>
                <c:pt idx="13">
                  <c:v>61.093049812838039</c:v>
                </c:pt>
                <c:pt idx="14">
                  <c:v>67.002364078619777</c:v>
                </c:pt>
                <c:pt idx="15">
                  <c:v>58.719902531991146</c:v>
                </c:pt>
                <c:pt idx="16">
                  <c:v>55.75106624364934</c:v>
                </c:pt>
                <c:pt idx="17">
                  <c:v>65.304786963789965</c:v>
                </c:pt>
                <c:pt idx="18">
                  <c:v>64.554549021164291</c:v>
                </c:pt>
                <c:pt idx="19">
                  <c:v>64.119990745893389</c:v>
                </c:pt>
                <c:pt idx="20">
                  <c:v>63.548776835549617</c:v>
                </c:pt>
              </c:numCache>
            </c:numRef>
          </c:val>
          <c:extLst>
            <c:ext xmlns:c16="http://schemas.microsoft.com/office/drawing/2014/chart" uri="{C3380CC4-5D6E-409C-BE32-E72D297353CC}">
              <c16:uniqueId val="{00000000-EC50-4DFC-8295-C8F3ED4C0121}"/>
            </c:ext>
          </c:extLst>
        </c:ser>
        <c:dLbls>
          <c:showLegendKey val="0"/>
          <c:showVal val="1"/>
          <c:showCatName val="0"/>
          <c:showSerName val="0"/>
          <c:showPercent val="0"/>
          <c:showBubbleSize val="0"/>
        </c:dLbls>
        <c:gapWidth val="150"/>
        <c:axId val="133130880"/>
        <c:axId val="133149056"/>
      </c:barChart>
      <c:catAx>
        <c:axId val="133130880"/>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33149056"/>
        <c:crosses val="autoZero"/>
        <c:auto val="1"/>
        <c:lblAlgn val="ctr"/>
        <c:lblOffset val="100"/>
        <c:tickMarkSkip val="1"/>
        <c:noMultiLvlLbl val="0"/>
      </c:catAx>
      <c:valAx>
        <c:axId val="133149056"/>
        <c:scaling>
          <c:orientation val="minMax"/>
          <c:max val="80"/>
          <c:min val="55"/>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75" b="1" i="0" u="none" strike="noStrike" baseline="0">
                <a:solidFill>
                  <a:srgbClr val="000000"/>
                </a:solidFill>
                <a:latin typeface="Arial"/>
                <a:ea typeface="Arial"/>
                <a:cs typeface="Arial"/>
              </a:defRPr>
            </a:pPr>
            <a:endParaRPr lang="en-US"/>
          </a:p>
        </c:txPr>
        <c:crossAx val="133130880"/>
        <c:crosses val="autoZero"/>
        <c:crossBetween val="between"/>
        <c:majorUnit val="5"/>
      </c:valAx>
      <c:dTable>
        <c:showHorzBorder val="0"/>
        <c:showVertBorder val="1"/>
        <c:showOutline val="1"/>
        <c:showKeys val="0"/>
        <c:spPr>
          <a:ln w="25400">
            <a:solidFill>
              <a:srgbClr val="000000"/>
            </a:solidFill>
            <a:prstDash val="solid"/>
          </a:ln>
        </c:spPr>
        <c:txPr>
          <a:bodyPr/>
          <a:lstStyle/>
          <a:p>
            <a:pPr rtl="0">
              <a:defRPr sz="800" b="0" i="0" u="none" strike="noStrike" baseline="0">
                <a:solidFill>
                  <a:srgbClr val="000000"/>
                </a:solidFill>
                <a:latin typeface="Arial Black"/>
                <a:ea typeface="Arial Black"/>
                <a:cs typeface="Arial Black"/>
              </a:defRPr>
            </a:pPr>
            <a:endParaRPr lang="en-US"/>
          </a:p>
        </c:txPr>
      </c:dTable>
      <c:spPr>
        <a:gradFill>
          <a:gsLst>
            <a:gs pos="71000">
              <a:srgbClr val="00B050">
                <a:alpha val="75000"/>
              </a:srgbClr>
            </a:gs>
            <a:gs pos="50000">
              <a:srgbClr val="4F81BD">
                <a:tint val="44500"/>
                <a:satMod val="160000"/>
              </a:srgbClr>
            </a:gs>
            <a:gs pos="100000">
              <a:srgbClr val="4F81BD">
                <a:tint val="23500"/>
                <a:satMod val="160000"/>
              </a:srgbClr>
            </a:gs>
          </a:gsLst>
          <a:lin ang="5400000" scaled="0"/>
        </a:gra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a:t>2010 Reservoir Inflow/ Outflow  Estimates [Ac-Ft Per Month] </a:t>
            </a:r>
          </a:p>
        </c:rich>
      </c:tx>
      <c:layout>
        <c:manualLayout>
          <c:xMode val="edge"/>
          <c:yMode val="edge"/>
          <c:x val="0.3467829880043774"/>
          <c:y val="3.2608695652175786E-2"/>
        </c:manualLayout>
      </c:layout>
      <c:overlay val="0"/>
      <c:spPr>
        <a:noFill/>
        <a:ln w="25400">
          <a:noFill/>
        </a:ln>
      </c:spPr>
    </c:title>
    <c:autoTitleDeleted val="0"/>
    <c:plotArea>
      <c:layout>
        <c:manualLayout>
          <c:layoutTarget val="inner"/>
          <c:xMode val="edge"/>
          <c:yMode val="edge"/>
          <c:x val="0.10385444401517969"/>
          <c:y val="0.10597826086956515"/>
          <c:w val="0.88115677757209077"/>
          <c:h val="0.75000000000001465"/>
        </c:manualLayout>
      </c:layout>
      <c:lineChart>
        <c:grouping val="standard"/>
        <c:varyColors val="0"/>
        <c:ser>
          <c:idx val="0"/>
          <c:order val="0"/>
          <c:tx>
            <c:strRef>
              <c:f>'Monthly Discharge'!$A$20</c:f>
              <c:strCache>
                <c:ptCount val="1"/>
                <c:pt idx="0">
                  <c:v>Turkey Creek Inflow</c:v>
                </c:pt>
              </c:strCache>
            </c:strRef>
          </c:tx>
          <c:spPr>
            <a:ln w="38100">
              <a:solidFill>
                <a:srgbClr val="000080"/>
              </a:solidFill>
              <a:prstDash val="solid"/>
            </a:ln>
          </c:spPr>
          <c:marker>
            <c:symbol val="diamond"/>
            <c:size val="9"/>
            <c:spPr>
              <a:solidFill>
                <a:srgbClr val="000080"/>
              </a:solidFill>
              <a:ln>
                <a:solidFill>
                  <a:srgbClr val="000080"/>
                </a:solidFill>
                <a:prstDash val="solid"/>
              </a:ln>
            </c:spPr>
          </c:marker>
          <c:cat>
            <c:strRef>
              <c:f>'Monthly Discharge'!$B$19:$M$19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Discharge'!$B$20:$M$20</c:f>
              <c:numCache>
                <c:formatCode>#,##0.0</c:formatCode>
                <c:ptCount val="12"/>
                <c:pt idx="0">
                  <c:v>23.974470000000004</c:v>
                </c:pt>
                <c:pt idx="1">
                  <c:v>258.20643000000001</c:v>
                </c:pt>
                <c:pt idx="2">
                  <c:v>270.48120000000006</c:v>
                </c:pt>
                <c:pt idx="3">
                  <c:v>166.57199999999997</c:v>
                </c:pt>
                <c:pt idx="4">
                  <c:v>175.81278</c:v>
                </c:pt>
                <c:pt idx="5">
                  <c:v>59.49</c:v>
                </c:pt>
                <c:pt idx="6">
                  <c:v>127.55647500000002</c:v>
                </c:pt>
                <c:pt idx="7">
                  <c:v>47.026845000000002</c:v>
                </c:pt>
                <c:pt idx="8">
                  <c:v>44.320050000000002</c:v>
                </c:pt>
                <c:pt idx="9">
                  <c:v>67.00557000000002</c:v>
                </c:pt>
                <c:pt idx="10">
                  <c:v>48.186900000000009</c:v>
                </c:pt>
                <c:pt idx="11">
                  <c:v>59.628810000000001</c:v>
                </c:pt>
              </c:numCache>
            </c:numRef>
          </c:val>
          <c:smooth val="0"/>
          <c:extLst>
            <c:ext xmlns:c16="http://schemas.microsoft.com/office/drawing/2014/chart" uri="{C3380CC4-5D6E-409C-BE32-E72D297353CC}">
              <c16:uniqueId val="{00000000-A113-4869-A51F-CF3656BF171D}"/>
            </c:ext>
          </c:extLst>
        </c:ser>
        <c:ser>
          <c:idx val="1"/>
          <c:order val="1"/>
          <c:tx>
            <c:strRef>
              <c:f>'Monthly Discharge'!$A$21</c:f>
              <c:strCache>
                <c:ptCount val="1"/>
                <c:pt idx="0">
                  <c:v>Bear Creek Inflow</c:v>
                </c:pt>
              </c:strCache>
            </c:strRef>
          </c:tx>
          <c:spPr>
            <a:ln w="38100">
              <a:solidFill>
                <a:srgbClr val="FF00FF"/>
              </a:solidFill>
              <a:prstDash val="solid"/>
            </a:ln>
          </c:spPr>
          <c:marker>
            <c:symbol val="square"/>
            <c:size val="7"/>
            <c:spPr>
              <a:solidFill>
                <a:srgbClr val="FF00FF"/>
              </a:solidFill>
              <a:ln>
                <a:solidFill>
                  <a:srgbClr val="FF00FF"/>
                </a:solidFill>
                <a:prstDash val="solid"/>
              </a:ln>
            </c:spPr>
          </c:marker>
          <c:cat>
            <c:strRef>
              <c:f>'Monthly Discharge'!$B$19:$M$19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Discharge'!$B$21:$M$21</c:f>
              <c:numCache>
                <c:formatCode>#,##0.0</c:formatCode>
                <c:ptCount val="12"/>
                <c:pt idx="0">
                  <c:v>141.3879</c:v>
                </c:pt>
                <c:pt idx="1">
                  <c:v>607.27391999999998</c:v>
                </c:pt>
                <c:pt idx="2">
                  <c:v>219.45861000000002</c:v>
                </c:pt>
                <c:pt idx="3">
                  <c:v>215.9487</c:v>
                </c:pt>
                <c:pt idx="4">
                  <c:v>1463.0574000000001</c:v>
                </c:pt>
                <c:pt idx="5">
                  <c:v>1005.3809999999999</c:v>
                </c:pt>
                <c:pt idx="6">
                  <c:v>1555.2669000000001</c:v>
                </c:pt>
                <c:pt idx="7">
                  <c:v>897.81316500000003</c:v>
                </c:pt>
                <c:pt idx="8">
                  <c:v>368.83799999999997</c:v>
                </c:pt>
                <c:pt idx="9">
                  <c:v>191.79576000000003</c:v>
                </c:pt>
                <c:pt idx="10">
                  <c:v>565.15499999999997</c:v>
                </c:pt>
                <c:pt idx="11">
                  <c:v>852.63050999999996</c:v>
                </c:pt>
              </c:numCache>
            </c:numRef>
          </c:val>
          <c:smooth val="0"/>
          <c:extLst>
            <c:ext xmlns:c16="http://schemas.microsoft.com/office/drawing/2014/chart" uri="{C3380CC4-5D6E-409C-BE32-E72D297353CC}">
              <c16:uniqueId val="{00000001-A113-4869-A51F-CF3656BF171D}"/>
            </c:ext>
          </c:extLst>
        </c:ser>
        <c:ser>
          <c:idx val="3"/>
          <c:order val="2"/>
          <c:tx>
            <c:strRef>
              <c:f>'Monthly Discharge'!$A$23</c:f>
              <c:strCache>
                <c:ptCount val="1"/>
                <c:pt idx="0">
                  <c:v>Lower Bear Creek</c:v>
                </c:pt>
              </c:strCache>
            </c:strRef>
          </c:tx>
          <c:spPr>
            <a:ln w="38100">
              <a:solidFill>
                <a:srgbClr val="00FFFF"/>
              </a:solidFill>
              <a:prstDash val="solid"/>
            </a:ln>
          </c:spPr>
          <c:marker>
            <c:symbol val="x"/>
            <c:size val="9"/>
            <c:spPr>
              <a:noFill/>
              <a:ln>
                <a:solidFill>
                  <a:srgbClr val="00FFFF"/>
                </a:solidFill>
                <a:prstDash val="solid"/>
              </a:ln>
            </c:spPr>
          </c:marker>
          <c:cat>
            <c:strRef>
              <c:f>'Monthly Discharge'!$B$19:$M$19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Discharge'!$B$23:$M$23</c:f>
              <c:numCache>
                <c:formatCode>#,##0.0</c:formatCode>
                <c:ptCount val="12"/>
                <c:pt idx="0">
                  <c:v>30.736500000000003</c:v>
                </c:pt>
                <c:pt idx="1">
                  <c:v>517.56299999999999</c:v>
                </c:pt>
                <c:pt idx="2">
                  <c:v>922.09500000000003</c:v>
                </c:pt>
                <c:pt idx="3">
                  <c:v>240.93450000000001</c:v>
                </c:pt>
                <c:pt idx="4">
                  <c:v>1161.8397</c:v>
                </c:pt>
                <c:pt idx="5">
                  <c:v>642.49200000000008</c:v>
                </c:pt>
                <c:pt idx="6">
                  <c:v>1444.6155000000001</c:v>
                </c:pt>
                <c:pt idx="7">
                  <c:v>288.92309999999998</c:v>
                </c:pt>
                <c:pt idx="8">
                  <c:v>202.26600000000005</c:v>
                </c:pt>
                <c:pt idx="9">
                  <c:v>18.4419</c:v>
                </c:pt>
                <c:pt idx="10">
                  <c:v>267.70500000000004</c:v>
                </c:pt>
                <c:pt idx="11">
                  <c:v>817.59090000000003</c:v>
                </c:pt>
              </c:numCache>
            </c:numRef>
          </c:val>
          <c:smooth val="0"/>
          <c:extLst>
            <c:ext xmlns:c16="http://schemas.microsoft.com/office/drawing/2014/chart" uri="{C3380CC4-5D6E-409C-BE32-E72D297353CC}">
              <c16:uniqueId val="{00000002-A113-4869-A51F-CF3656BF171D}"/>
            </c:ext>
          </c:extLst>
        </c:ser>
        <c:dLbls>
          <c:showLegendKey val="0"/>
          <c:showVal val="0"/>
          <c:showCatName val="0"/>
          <c:showSerName val="0"/>
          <c:showPercent val="0"/>
          <c:showBubbleSize val="0"/>
        </c:dLbls>
        <c:marker val="1"/>
        <c:smooth val="0"/>
        <c:axId val="133228800"/>
        <c:axId val="133235072"/>
      </c:lineChart>
      <c:catAx>
        <c:axId val="133228800"/>
        <c:scaling>
          <c:orientation val="minMax"/>
        </c:scaling>
        <c:delete val="0"/>
        <c:axPos val="b"/>
        <c:numFmt formatCode="[$-409]d\-mmm;@" sourceLinked="0"/>
        <c:majorTickMark val="out"/>
        <c:minorTickMark val="none"/>
        <c:tickLblPos val="nextTo"/>
        <c:spPr>
          <a:ln w="3175">
            <a:solidFill>
              <a:srgbClr val="000000"/>
            </a:solidFill>
            <a:prstDash val="solid"/>
          </a:ln>
        </c:spPr>
        <c:txPr>
          <a:bodyPr rot="0" vert="horz"/>
          <a:lstStyle/>
          <a:p>
            <a:pPr>
              <a:defRPr sz="950" b="1" i="0" u="none" strike="noStrike" baseline="0">
                <a:solidFill>
                  <a:srgbClr val="000000"/>
                </a:solidFill>
                <a:latin typeface="Arial"/>
                <a:ea typeface="Arial"/>
                <a:cs typeface="Arial"/>
              </a:defRPr>
            </a:pPr>
            <a:endParaRPr lang="en-US"/>
          </a:p>
        </c:txPr>
        <c:crossAx val="133235072"/>
        <c:crosses val="autoZero"/>
        <c:auto val="1"/>
        <c:lblAlgn val="ctr"/>
        <c:lblOffset val="100"/>
        <c:tickLblSkip val="1"/>
        <c:tickMarkSkip val="1"/>
        <c:noMultiLvlLbl val="0"/>
      </c:catAx>
      <c:valAx>
        <c:axId val="133235072"/>
        <c:scaling>
          <c:orientation val="minMax"/>
        </c:scaling>
        <c:delete val="0"/>
        <c:axPos val="l"/>
        <c:majorGridlines>
          <c:spPr>
            <a:ln w="3175">
              <a:solidFill>
                <a:srgbClr val="000000"/>
              </a:solidFill>
              <a:prstDash val="solid"/>
            </a:ln>
          </c:spPr>
        </c:majorGridlines>
        <c:minorGridlines/>
        <c:title>
          <c:tx>
            <c:rich>
              <a:bodyPr/>
              <a:lstStyle/>
              <a:p>
                <a:pPr>
                  <a:defRPr sz="950" b="1" i="0" u="none" strike="noStrike" baseline="0">
                    <a:solidFill>
                      <a:srgbClr val="000000"/>
                    </a:solidFill>
                    <a:latin typeface="Arial"/>
                    <a:ea typeface="Arial"/>
                    <a:cs typeface="Arial"/>
                  </a:defRPr>
                </a:pPr>
                <a:r>
                  <a:rPr lang="en-US"/>
                  <a:t>Total Monthly Inflow Acre-Feet</a:t>
                </a:r>
              </a:p>
            </c:rich>
          </c:tx>
          <c:layout>
            <c:manualLayout>
              <c:xMode val="edge"/>
              <c:yMode val="edge"/>
              <c:x val="1.0043103415451501E-2"/>
              <c:y val="0.211956569199644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Arial"/>
                <a:ea typeface="Arial"/>
                <a:cs typeface="Arial"/>
              </a:defRPr>
            </a:pPr>
            <a:endParaRPr lang="en-US"/>
          </a:p>
        </c:txPr>
        <c:crossAx val="133228800"/>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plotArea>
    <c:legend>
      <c:legendPos val="r"/>
      <c:layout>
        <c:manualLayout>
          <c:xMode val="edge"/>
          <c:yMode val="edge"/>
          <c:x val="0.69377503384596062"/>
          <c:y val="0.12169319867625816"/>
          <c:w val="0.24405544726757172"/>
          <c:h val="0.19450361680760331"/>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Bear Creek Reservoir 2011 In-Flow Estimates</a:t>
            </a:r>
          </a:p>
        </c:rich>
      </c:tx>
      <c:overlay val="0"/>
    </c:title>
    <c:autoTitleDeleted val="0"/>
    <c:plotArea>
      <c:layout/>
      <c:barChart>
        <c:barDir val="col"/>
        <c:grouping val="clustered"/>
        <c:varyColors val="0"/>
        <c:ser>
          <c:idx val="0"/>
          <c:order val="0"/>
          <c:tx>
            <c:strRef>
              <c:f>'Monthly Discharge'!$A$22</c:f>
              <c:strCache>
                <c:ptCount val="1"/>
                <c:pt idx="0">
                  <c:v>Total Inflow</c:v>
                </c:pt>
              </c:strCache>
            </c:strRef>
          </c:tx>
          <c:invertIfNegative val="0"/>
          <c:trendline>
            <c:trendlineType val="poly"/>
            <c:order val="4"/>
            <c:dispRSqr val="0"/>
            <c:dispEq val="0"/>
          </c:trendline>
          <c:cat>
            <c:strRef>
              <c:f>'Monthly Discharge'!$B$19:$M$19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Discharge'!$B$22:$M$22</c:f>
              <c:numCache>
                <c:formatCode>#,##0.0</c:formatCode>
                <c:ptCount val="12"/>
                <c:pt idx="0">
                  <c:v>165.36237</c:v>
                </c:pt>
                <c:pt idx="1">
                  <c:v>865.48035000000004</c:v>
                </c:pt>
                <c:pt idx="2">
                  <c:v>489.93981000000008</c:v>
                </c:pt>
                <c:pt idx="3">
                  <c:v>382.52069999999998</c:v>
                </c:pt>
                <c:pt idx="4">
                  <c:v>1638.8701800000001</c:v>
                </c:pt>
                <c:pt idx="5">
                  <c:v>1064.8709999999999</c:v>
                </c:pt>
                <c:pt idx="6">
                  <c:v>1682.8233750000002</c:v>
                </c:pt>
                <c:pt idx="7">
                  <c:v>944.84001000000001</c:v>
                </c:pt>
                <c:pt idx="8">
                  <c:v>413.15804999999995</c:v>
                </c:pt>
                <c:pt idx="9">
                  <c:v>258.80133000000006</c:v>
                </c:pt>
                <c:pt idx="10">
                  <c:v>613.34190000000001</c:v>
                </c:pt>
                <c:pt idx="11">
                  <c:v>912.25932</c:v>
                </c:pt>
              </c:numCache>
            </c:numRef>
          </c:val>
          <c:extLst>
            <c:ext xmlns:c16="http://schemas.microsoft.com/office/drawing/2014/chart" uri="{C3380CC4-5D6E-409C-BE32-E72D297353CC}">
              <c16:uniqueId val="{00000001-D60C-4797-B3A1-DF7EC0D99688}"/>
            </c:ext>
          </c:extLst>
        </c:ser>
        <c:dLbls>
          <c:showLegendKey val="0"/>
          <c:showVal val="0"/>
          <c:showCatName val="0"/>
          <c:showSerName val="0"/>
          <c:showPercent val="0"/>
          <c:showBubbleSize val="0"/>
        </c:dLbls>
        <c:gapWidth val="150"/>
        <c:axId val="133251072"/>
        <c:axId val="133252608"/>
      </c:barChart>
      <c:catAx>
        <c:axId val="133251072"/>
        <c:scaling>
          <c:orientation val="minMax"/>
        </c:scaling>
        <c:delete val="0"/>
        <c:axPos val="b"/>
        <c:numFmt formatCode="General" sourceLinked="0"/>
        <c:majorTickMark val="none"/>
        <c:minorTickMark val="none"/>
        <c:tickLblPos val="nextTo"/>
        <c:crossAx val="133252608"/>
        <c:crosses val="autoZero"/>
        <c:auto val="1"/>
        <c:lblAlgn val="ctr"/>
        <c:lblOffset val="100"/>
        <c:noMultiLvlLbl val="0"/>
      </c:catAx>
      <c:valAx>
        <c:axId val="133252608"/>
        <c:scaling>
          <c:orientation val="minMax"/>
        </c:scaling>
        <c:delete val="0"/>
        <c:axPos val="l"/>
        <c:majorGridlines/>
        <c:title>
          <c:tx>
            <c:rich>
              <a:bodyPr/>
              <a:lstStyle/>
              <a:p>
                <a:pPr>
                  <a:defRPr/>
                </a:pPr>
                <a:r>
                  <a:rPr lang="en-US"/>
                  <a:t>Acre-feet/month</a:t>
                </a:r>
              </a:p>
            </c:rich>
          </c:tx>
          <c:overlay val="0"/>
        </c:title>
        <c:numFmt formatCode="#,##0.0" sourceLinked="1"/>
        <c:majorTickMark val="none"/>
        <c:minorTickMark val="none"/>
        <c:tickLblPos val="nextTo"/>
        <c:crossAx val="133251072"/>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lotArea>
    <c:plotVisOnly val="1"/>
    <c:dispBlanksAs val="gap"/>
    <c:showDLblsOverMax val="0"/>
  </c:chart>
  <c:printSettings>
    <c:headerFooter/>
    <c:pageMargins b="0.75000000000000977" l="0.70000000000000062" r="0.70000000000000062" t="0.75000000000000977"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US"/>
              <a:t>2011 Reservoir Inflow [Ac-Ft Per Month] </a:t>
            </a:r>
          </a:p>
        </c:rich>
      </c:tx>
      <c:layout>
        <c:manualLayout>
          <c:xMode val="edge"/>
          <c:yMode val="edge"/>
          <c:x val="0.34678298800437513"/>
          <c:y val="3.2608695652175501E-2"/>
        </c:manualLayout>
      </c:layout>
      <c:overlay val="0"/>
      <c:spPr>
        <a:noFill/>
        <a:ln w="25400">
          <a:noFill/>
        </a:ln>
      </c:spPr>
    </c:title>
    <c:autoTitleDeleted val="0"/>
    <c:plotArea>
      <c:layout>
        <c:manualLayout>
          <c:layoutTarget val="inner"/>
          <c:xMode val="edge"/>
          <c:yMode val="edge"/>
          <c:x val="0.10385444401517969"/>
          <c:y val="0.10597826086956515"/>
          <c:w val="0.88115677757209077"/>
          <c:h val="0.75000000000001465"/>
        </c:manualLayout>
      </c:layout>
      <c:lineChart>
        <c:grouping val="standard"/>
        <c:varyColors val="0"/>
        <c:ser>
          <c:idx val="0"/>
          <c:order val="0"/>
          <c:tx>
            <c:strRef>
              <c:f>'Monthly Discharge'!$A$20</c:f>
              <c:strCache>
                <c:ptCount val="1"/>
                <c:pt idx="0">
                  <c:v>Turkey Creek Inflow</c:v>
                </c:pt>
              </c:strCache>
            </c:strRef>
          </c:tx>
          <c:spPr>
            <a:ln w="38100">
              <a:solidFill>
                <a:srgbClr val="000080"/>
              </a:solidFill>
              <a:prstDash val="solid"/>
            </a:ln>
          </c:spPr>
          <c:marker>
            <c:symbol val="diamond"/>
            <c:size val="9"/>
            <c:spPr>
              <a:solidFill>
                <a:srgbClr val="000080"/>
              </a:solidFill>
              <a:ln>
                <a:solidFill>
                  <a:srgbClr val="000080"/>
                </a:solidFill>
                <a:prstDash val="solid"/>
              </a:ln>
            </c:spPr>
          </c:marker>
          <c:cat>
            <c:strRef>
              <c:f>'[1]Monthly Discharge'!$B$23:$M$23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Discharge'!$B$20:$M$20</c:f>
              <c:numCache>
                <c:formatCode>#,##0.0</c:formatCode>
                <c:ptCount val="12"/>
                <c:pt idx="0">
                  <c:v>23.974470000000004</c:v>
                </c:pt>
                <c:pt idx="1">
                  <c:v>258.20643000000001</c:v>
                </c:pt>
                <c:pt idx="2">
                  <c:v>270.48120000000006</c:v>
                </c:pt>
                <c:pt idx="3">
                  <c:v>166.57199999999997</c:v>
                </c:pt>
                <c:pt idx="4">
                  <c:v>175.81278</c:v>
                </c:pt>
                <c:pt idx="5">
                  <c:v>59.49</c:v>
                </c:pt>
                <c:pt idx="6">
                  <c:v>127.55647500000002</c:v>
                </c:pt>
                <c:pt idx="7">
                  <c:v>47.026845000000002</c:v>
                </c:pt>
                <c:pt idx="8">
                  <c:v>44.320050000000002</c:v>
                </c:pt>
                <c:pt idx="9">
                  <c:v>67.00557000000002</c:v>
                </c:pt>
                <c:pt idx="10">
                  <c:v>48.186900000000009</c:v>
                </c:pt>
                <c:pt idx="11">
                  <c:v>59.628810000000001</c:v>
                </c:pt>
              </c:numCache>
            </c:numRef>
          </c:val>
          <c:smooth val="0"/>
          <c:extLst>
            <c:ext xmlns:c16="http://schemas.microsoft.com/office/drawing/2014/chart" uri="{C3380CC4-5D6E-409C-BE32-E72D297353CC}">
              <c16:uniqueId val="{00000000-5BC5-43C4-BAD5-0A56CD076C38}"/>
            </c:ext>
          </c:extLst>
        </c:ser>
        <c:ser>
          <c:idx val="1"/>
          <c:order val="1"/>
          <c:tx>
            <c:strRef>
              <c:f>'Monthly Discharge'!$A$21</c:f>
              <c:strCache>
                <c:ptCount val="1"/>
                <c:pt idx="0">
                  <c:v>Bear Creek Inflow</c:v>
                </c:pt>
              </c:strCache>
            </c:strRef>
          </c:tx>
          <c:spPr>
            <a:ln w="38100">
              <a:solidFill>
                <a:srgbClr val="FF00FF"/>
              </a:solidFill>
              <a:prstDash val="solid"/>
            </a:ln>
          </c:spPr>
          <c:marker>
            <c:symbol val="square"/>
            <c:size val="7"/>
            <c:spPr>
              <a:solidFill>
                <a:srgbClr val="FF00FF"/>
              </a:solidFill>
              <a:ln>
                <a:solidFill>
                  <a:srgbClr val="FF00FF"/>
                </a:solidFill>
                <a:prstDash val="solid"/>
              </a:ln>
            </c:spPr>
          </c:marker>
          <c:cat>
            <c:strRef>
              <c:f>'[1]Monthly Discharge'!$B$23:$M$23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Discharge'!$B$21:$M$21</c:f>
              <c:numCache>
                <c:formatCode>#,##0.0</c:formatCode>
                <c:ptCount val="12"/>
                <c:pt idx="0">
                  <c:v>141.3879</c:v>
                </c:pt>
                <c:pt idx="1">
                  <c:v>607.27391999999998</c:v>
                </c:pt>
                <c:pt idx="2">
                  <c:v>219.45861000000002</c:v>
                </c:pt>
                <c:pt idx="3">
                  <c:v>215.9487</c:v>
                </c:pt>
                <c:pt idx="4">
                  <c:v>1463.0574000000001</c:v>
                </c:pt>
                <c:pt idx="5">
                  <c:v>1005.3809999999999</c:v>
                </c:pt>
                <c:pt idx="6">
                  <c:v>1555.2669000000001</c:v>
                </c:pt>
                <c:pt idx="7">
                  <c:v>897.81316500000003</c:v>
                </c:pt>
                <c:pt idx="8">
                  <c:v>368.83799999999997</c:v>
                </c:pt>
                <c:pt idx="9">
                  <c:v>191.79576000000003</c:v>
                </c:pt>
                <c:pt idx="10">
                  <c:v>565.15499999999997</c:v>
                </c:pt>
                <c:pt idx="11">
                  <c:v>852.63050999999996</c:v>
                </c:pt>
              </c:numCache>
            </c:numRef>
          </c:val>
          <c:smooth val="0"/>
          <c:extLst>
            <c:ext xmlns:c16="http://schemas.microsoft.com/office/drawing/2014/chart" uri="{C3380CC4-5D6E-409C-BE32-E72D297353CC}">
              <c16:uniqueId val="{00000001-5BC5-43C4-BAD5-0A56CD076C38}"/>
            </c:ext>
          </c:extLst>
        </c:ser>
        <c:ser>
          <c:idx val="2"/>
          <c:order val="2"/>
          <c:tx>
            <c:strRef>
              <c:f>'Monthly Discharge'!$A$22</c:f>
              <c:strCache>
                <c:ptCount val="1"/>
                <c:pt idx="0">
                  <c:v>Total Inflow</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'[1]Monthly Discharge'!$B$23:$M$23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Discharge'!$B$22:$M$22</c:f>
              <c:numCache>
                <c:formatCode>#,##0.0</c:formatCode>
                <c:ptCount val="12"/>
                <c:pt idx="0">
                  <c:v>165.36237</c:v>
                </c:pt>
                <c:pt idx="1">
                  <c:v>865.48035000000004</c:v>
                </c:pt>
                <c:pt idx="2">
                  <c:v>489.93981000000008</c:v>
                </c:pt>
                <c:pt idx="3">
                  <c:v>382.52069999999998</c:v>
                </c:pt>
                <c:pt idx="4">
                  <c:v>1638.8701800000001</c:v>
                </c:pt>
                <c:pt idx="5">
                  <c:v>1064.8709999999999</c:v>
                </c:pt>
                <c:pt idx="6">
                  <c:v>1682.8233750000002</c:v>
                </c:pt>
                <c:pt idx="7">
                  <c:v>944.84001000000001</c:v>
                </c:pt>
                <c:pt idx="8">
                  <c:v>413.15804999999995</c:v>
                </c:pt>
                <c:pt idx="9">
                  <c:v>258.80133000000006</c:v>
                </c:pt>
                <c:pt idx="10">
                  <c:v>613.34190000000001</c:v>
                </c:pt>
                <c:pt idx="11">
                  <c:v>912.25932</c:v>
                </c:pt>
              </c:numCache>
            </c:numRef>
          </c:val>
          <c:smooth val="0"/>
          <c:extLst>
            <c:ext xmlns:c16="http://schemas.microsoft.com/office/drawing/2014/chart" uri="{C3380CC4-5D6E-409C-BE32-E72D297353CC}">
              <c16:uniqueId val="{00000002-5BC5-43C4-BAD5-0A56CD076C38}"/>
            </c:ext>
          </c:extLst>
        </c:ser>
        <c:dLbls>
          <c:showLegendKey val="0"/>
          <c:showVal val="0"/>
          <c:showCatName val="0"/>
          <c:showSerName val="0"/>
          <c:showPercent val="0"/>
          <c:showBubbleSize val="0"/>
        </c:dLbls>
        <c:marker val="1"/>
        <c:smooth val="0"/>
        <c:axId val="133307776"/>
        <c:axId val="133314048"/>
      </c:lineChart>
      <c:catAx>
        <c:axId val="133307776"/>
        <c:scaling>
          <c:orientation val="minMax"/>
        </c:scaling>
        <c:delete val="0"/>
        <c:axPos val="b"/>
        <c:numFmt formatCode="[$-409]d\-mmm;@" sourceLinked="0"/>
        <c:majorTickMark val="out"/>
        <c:minorTickMark val="none"/>
        <c:tickLblPos val="nextTo"/>
        <c:spPr>
          <a:ln w="3175">
            <a:solidFill>
              <a:srgbClr val="000000"/>
            </a:solidFill>
            <a:prstDash val="solid"/>
          </a:ln>
        </c:spPr>
        <c:txPr>
          <a:bodyPr rot="0" vert="horz"/>
          <a:lstStyle/>
          <a:p>
            <a:pPr>
              <a:defRPr sz="950" b="1" i="0" u="none" strike="noStrike" baseline="0">
                <a:solidFill>
                  <a:srgbClr val="000000"/>
                </a:solidFill>
                <a:latin typeface="Arial"/>
                <a:ea typeface="Arial"/>
                <a:cs typeface="Arial"/>
              </a:defRPr>
            </a:pPr>
            <a:endParaRPr lang="en-US"/>
          </a:p>
        </c:txPr>
        <c:crossAx val="133314048"/>
        <c:crosses val="autoZero"/>
        <c:auto val="1"/>
        <c:lblAlgn val="ctr"/>
        <c:lblOffset val="100"/>
        <c:tickLblSkip val="1"/>
        <c:tickMarkSkip val="1"/>
        <c:noMultiLvlLbl val="0"/>
      </c:catAx>
      <c:valAx>
        <c:axId val="133314048"/>
        <c:scaling>
          <c:orientation val="minMax"/>
        </c:scaling>
        <c:delete val="0"/>
        <c:axPos val="l"/>
        <c:majorGridlines>
          <c:spPr>
            <a:ln w="3175">
              <a:solidFill>
                <a:srgbClr val="000000"/>
              </a:solidFill>
              <a:prstDash val="solid"/>
            </a:ln>
          </c:spPr>
        </c:majorGridlines>
        <c:minorGridlines/>
        <c:title>
          <c:tx>
            <c:rich>
              <a:bodyPr/>
              <a:lstStyle/>
              <a:p>
                <a:pPr>
                  <a:defRPr sz="950" b="1" i="0" u="none" strike="noStrike" baseline="0">
                    <a:solidFill>
                      <a:srgbClr val="000000"/>
                    </a:solidFill>
                    <a:latin typeface="Arial"/>
                    <a:ea typeface="Arial"/>
                    <a:cs typeface="Arial"/>
                  </a:defRPr>
                </a:pPr>
                <a:r>
                  <a:rPr lang="en-US"/>
                  <a:t>Total Monthly Inflow Acre-Feet</a:t>
                </a:r>
              </a:p>
            </c:rich>
          </c:tx>
          <c:layout>
            <c:manualLayout>
              <c:xMode val="edge"/>
              <c:yMode val="edge"/>
              <c:x val="1.0043103415451501E-2"/>
              <c:y val="0.211956569199644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25" b="1" i="0" u="none" strike="noStrike" baseline="0">
                <a:solidFill>
                  <a:srgbClr val="000000"/>
                </a:solidFill>
                <a:latin typeface="Arial"/>
                <a:ea typeface="Arial"/>
                <a:cs typeface="Arial"/>
              </a:defRPr>
            </a:pPr>
            <a:endParaRPr lang="en-US"/>
          </a:p>
        </c:txPr>
        <c:crossAx val="133307776"/>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plotArea>
    <c:legend>
      <c:legendPos val="r"/>
      <c:layout>
        <c:manualLayout>
          <c:xMode val="edge"/>
          <c:yMode val="edge"/>
          <c:x val="0.71271064906037462"/>
          <c:y val="0.11810068976129995"/>
          <c:w val="0.24405544726757072"/>
          <c:h val="0.19450361680760331"/>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a:pPr>
          <a:endParaRPr lang="en-US"/>
        </a:p>
      </c:txPr>
    </c:title>
    <c:autoTitleDeleted val="0"/>
    <c:plotArea>
      <c:layout>
        <c:manualLayout>
          <c:layoutTarget val="inner"/>
          <c:xMode val="edge"/>
          <c:yMode val="edge"/>
          <c:x val="0.14763503914878209"/>
          <c:y val="0.11790411519660959"/>
          <c:w val="0.8226665042525757"/>
          <c:h val="0.71737165949152293"/>
        </c:manualLayout>
      </c:layout>
      <c:barChart>
        <c:barDir val="col"/>
        <c:grouping val="clustered"/>
        <c:varyColors val="0"/>
        <c:ser>
          <c:idx val="1"/>
          <c:order val="0"/>
          <c:tx>
            <c:strRef>
              <c:f>'Monthly Discharge'!$B$55</c:f>
              <c:strCache>
                <c:ptCount val="1"/>
                <c:pt idx="0">
                  <c:v>Total Reservoir Inflow (Acre-Ft/Year)</c:v>
                </c:pt>
              </c:strCache>
            </c:strRef>
          </c:tx>
          <c:spPr>
            <a:solidFill>
              <a:srgbClr val="993366"/>
            </a:solidFill>
            <a:ln w="12700">
              <a:solidFill>
                <a:srgbClr val="000000"/>
              </a:solidFill>
              <a:prstDash val="solid"/>
            </a:ln>
          </c:spPr>
          <c:invertIfNegative val="0"/>
          <c:cat>
            <c:numRef>
              <c:f>'Monthly Discharge'!$A$56:$A$80</c:f>
              <c:numCache>
                <c:formatCode>General</c:formatCode>
                <c:ptCount val="2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numCache>
            </c:numRef>
          </c:cat>
          <c:val>
            <c:numRef>
              <c:f>'Monthly Discharge'!$B$56:$B$80</c:f>
              <c:numCache>
                <c:formatCode>#,##0</c:formatCode>
                <c:ptCount val="25"/>
                <c:pt idx="0">
                  <c:v>61594.954499999993</c:v>
                </c:pt>
                <c:pt idx="1">
                  <c:v>26201.379000000001</c:v>
                </c:pt>
                <c:pt idx="2">
                  <c:v>7527.4679999999998</c:v>
                </c:pt>
                <c:pt idx="3">
                  <c:v>20266.259999999998</c:v>
                </c:pt>
                <c:pt idx="4">
                  <c:v>25694.7225</c:v>
                </c:pt>
                <c:pt idx="5">
                  <c:v>18384.392999999996</c:v>
                </c:pt>
                <c:pt idx="6">
                  <c:v>11291.201999999999</c:v>
                </c:pt>
                <c:pt idx="7">
                  <c:v>13173.069</c:v>
                </c:pt>
                <c:pt idx="8">
                  <c:v>69556.699499999988</c:v>
                </c:pt>
                <c:pt idx="9">
                  <c:v>22654.783499999998</c:v>
                </c:pt>
                <c:pt idx="10">
                  <c:v>38071.616999999998</c:v>
                </c:pt>
                <c:pt idx="11">
                  <c:v>69122.422500000001</c:v>
                </c:pt>
                <c:pt idx="12">
                  <c:v>52692.275999999998</c:v>
                </c:pt>
                <c:pt idx="13">
                  <c:v>13173.069</c:v>
                </c:pt>
                <c:pt idx="14">
                  <c:v>15134.171499999999</c:v>
                </c:pt>
                <c:pt idx="15">
                  <c:v>4248.6766499999994</c:v>
                </c:pt>
                <c:pt idx="16">
                  <c:v>21641.470499999999</c:v>
                </c:pt>
                <c:pt idx="17">
                  <c:v>20924.913449999996</c:v>
                </c:pt>
                <c:pt idx="18">
                  <c:v>36624.026999999995</c:v>
                </c:pt>
                <c:pt idx="19">
                  <c:v>8497.4680000000008</c:v>
                </c:pt>
                <c:pt idx="20">
                  <c:v>56500</c:v>
                </c:pt>
                <c:pt idx="21">
                  <c:v>19400</c:v>
                </c:pt>
                <c:pt idx="22">
                  <c:v>25943</c:v>
                </c:pt>
                <c:pt idx="23">
                  <c:v>29007</c:v>
                </c:pt>
                <c:pt idx="24">
                  <c:v>9432</c:v>
                </c:pt>
              </c:numCache>
            </c:numRef>
          </c:val>
          <c:extLst>
            <c:ext xmlns:c16="http://schemas.microsoft.com/office/drawing/2014/chart" uri="{C3380CC4-5D6E-409C-BE32-E72D297353CC}">
              <c16:uniqueId val="{00000000-4DA1-4474-A876-2978AD85BF73}"/>
            </c:ext>
          </c:extLst>
        </c:ser>
        <c:dLbls>
          <c:showLegendKey val="0"/>
          <c:showVal val="0"/>
          <c:showCatName val="0"/>
          <c:showSerName val="0"/>
          <c:showPercent val="0"/>
          <c:showBubbleSize val="0"/>
        </c:dLbls>
        <c:gapWidth val="150"/>
        <c:axId val="133338624"/>
        <c:axId val="133340160"/>
      </c:barChart>
      <c:catAx>
        <c:axId val="133338624"/>
        <c:scaling>
          <c:orientation val="minMax"/>
        </c:scaling>
        <c:delete val="0"/>
        <c:axPos val="b"/>
        <c:numFmt formatCode="General" sourceLinked="1"/>
        <c:majorTickMark val="out"/>
        <c:minorTickMark val="none"/>
        <c:tickLblPos val="low"/>
        <c:spPr>
          <a:ln w="3175">
            <a:solidFill>
              <a:srgbClr val="000000"/>
            </a:solidFill>
            <a:prstDash val="solid"/>
          </a:ln>
        </c:spPr>
        <c:txPr>
          <a:bodyPr rot="-3600000" vert="horz"/>
          <a:lstStyle/>
          <a:p>
            <a:pPr>
              <a:defRPr sz="800" b="1" i="0" u="none" strike="noStrike" baseline="0">
                <a:solidFill>
                  <a:srgbClr val="000000"/>
                </a:solidFill>
                <a:latin typeface="Arial"/>
                <a:ea typeface="Arial"/>
                <a:cs typeface="Arial"/>
              </a:defRPr>
            </a:pPr>
            <a:endParaRPr lang="en-US"/>
          </a:p>
        </c:txPr>
        <c:crossAx val="133340160"/>
        <c:crosses val="autoZero"/>
        <c:auto val="1"/>
        <c:lblAlgn val="ctr"/>
        <c:lblOffset val="100"/>
        <c:tickLblSkip val="1"/>
        <c:tickMarkSkip val="1"/>
        <c:noMultiLvlLbl val="0"/>
      </c:catAx>
      <c:valAx>
        <c:axId val="133340160"/>
        <c:scaling>
          <c:orientation val="minMax"/>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sz="1050"/>
                  <a:t>Acre-Feet Per Year</a:t>
                </a:r>
              </a:p>
            </c:rich>
          </c:tx>
          <c:layout>
            <c:manualLayout>
              <c:xMode val="edge"/>
              <c:yMode val="edge"/>
              <c:x val="3.40912009749888E-2"/>
              <c:y val="0.3791857891316796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33338624"/>
        <c:crosses val="autoZero"/>
        <c:crossBetween val="between"/>
        <c:majorUnit val="2000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US" sz="1400" b="1"/>
              <a:t>Bear Creek Reservoir 2011 Temperature</a:t>
            </a:r>
          </a:p>
        </c:rich>
      </c:tx>
      <c:layout>
        <c:manualLayout>
          <c:xMode val="edge"/>
          <c:yMode val="edge"/>
          <c:x val="0.35092348284962793"/>
          <c:y val="3.4055727554180001E-2"/>
        </c:manualLayout>
      </c:layout>
      <c:overlay val="0"/>
      <c:spPr>
        <a:noFill/>
        <a:ln w="25400">
          <a:noFill/>
        </a:ln>
      </c:spPr>
    </c:title>
    <c:autoTitleDeleted val="0"/>
    <c:plotArea>
      <c:layout>
        <c:manualLayout>
          <c:layoutTarget val="inner"/>
          <c:xMode val="edge"/>
          <c:yMode val="edge"/>
          <c:x val="6.2807881773399021E-2"/>
          <c:y val="0.11214302159598473"/>
          <c:w val="0.89162561576358379"/>
          <c:h val="0.74234608831790749"/>
        </c:manualLayout>
      </c:layout>
      <c:lineChart>
        <c:grouping val="standard"/>
        <c:varyColors val="0"/>
        <c:ser>
          <c:idx val="1"/>
          <c:order val="0"/>
          <c:tx>
            <c:strRef>
              <c:f>Temperature!$A$7</c:f>
              <c:strCache>
                <c:ptCount val="1"/>
                <c:pt idx="0">
                  <c:v>1/2m</c:v>
                </c:pt>
              </c:strCache>
            </c:strRef>
          </c:tx>
          <c:spPr>
            <a:ln w="31750">
              <a:solidFill>
                <a:srgbClr val="FF00FF"/>
              </a:solidFill>
              <a:prstDash val="solid"/>
            </a:ln>
          </c:spPr>
          <c:marker>
            <c:symbol val="square"/>
            <c:size val="5"/>
            <c:spPr>
              <a:solidFill>
                <a:srgbClr val="FF00FF"/>
              </a:solidFill>
              <a:ln>
                <a:solidFill>
                  <a:srgbClr val="FF00FF"/>
                </a:solidFill>
                <a:prstDash val="solid"/>
              </a:ln>
            </c:spPr>
          </c:marker>
          <c:cat>
            <c:numRef>
              <c:f>Temperature!$B$2:$P$2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Temperature!$B$7:$P$7</c:f>
              <c:numCache>
                <c:formatCode>General</c:formatCode>
                <c:ptCount val="15"/>
                <c:pt idx="0">
                  <c:v>3.8</c:v>
                </c:pt>
                <c:pt idx="1">
                  <c:v>5.3</c:v>
                </c:pt>
                <c:pt idx="2">
                  <c:v>8.5</c:v>
                </c:pt>
                <c:pt idx="3">
                  <c:v>11</c:v>
                </c:pt>
                <c:pt idx="4">
                  <c:v>14.1</c:v>
                </c:pt>
                <c:pt idx="5">
                  <c:v>20.5</c:v>
                </c:pt>
                <c:pt idx="6">
                  <c:v>23.3</c:v>
                </c:pt>
                <c:pt idx="7">
                  <c:v>23.3</c:v>
                </c:pt>
                <c:pt idx="8">
                  <c:v>22.8</c:v>
                </c:pt>
                <c:pt idx="9">
                  <c:v>22.4</c:v>
                </c:pt>
                <c:pt idx="10">
                  <c:v>19.899999999999999</c:v>
                </c:pt>
                <c:pt idx="11">
                  <c:v>17.8</c:v>
                </c:pt>
                <c:pt idx="12">
                  <c:v>13.5</c:v>
                </c:pt>
                <c:pt idx="13">
                  <c:v>13</c:v>
                </c:pt>
                <c:pt idx="14">
                  <c:v>3.5</c:v>
                </c:pt>
              </c:numCache>
            </c:numRef>
          </c:val>
          <c:smooth val="0"/>
          <c:extLst>
            <c:ext xmlns:c16="http://schemas.microsoft.com/office/drawing/2014/chart" uri="{C3380CC4-5D6E-409C-BE32-E72D297353CC}">
              <c16:uniqueId val="{00000000-1C98-4A63-AEE5-D988FCBD3EE1}"/>
            </c:ext>
          </c:extLst>
        </c:ser>
        <c:ser>
          <c:idx val="2"/>
          <c:order val="1"/>
          <c:tx>
            <c:strRef>
              <c:f>Temperature!$A$10</c:f>
              <c:strCache>
                <c:ptCount val="1"/>
                <c:pt idx="0">
                  <c:v>2m</c:v>
                </c:pt>
              </c:strCache>
            </c:strRef>
          </c:tx>
          <c:spPr>
            <a:ln w="34925">
              <a:solidFill>
                <a:schemeClr val="tx2"/>
              </a:solidFill>
              <a:prstDash val="solid"/>
            </a:ln>
          </c:spPr>
          <c:marker>
            <c:symbol val="triangle"/>
            <c:size val="7"/>
            <c:spPr>
              <a:solidFill>
                <a:schemeClr val="tx2"/>
              </a:solidFill>
              <a:ln>
                <a:solidFill>
                  <a:srgbClr val="FFFF00"/>
                </a:solidFill>
                <a:prstDash val="solid"/>
              </a:ln>
            </c:spPr>
          </c:marker>
          <c:cat>
            <c:numRef>
              <c:f>Temperature!$B$2:$P$2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Temperature!$B$10:$P$10</c:f>
              <c:numCache>
                <c:formatCode>General</c:formatCode>
                <c:ptCount val="15"/>
                <c:pt idx="0">
                  <c:v>4.5999999999999996</c:v>
                </c:pt>
                <c:pt idx="1">
                  <c:v>5.3</c:v>
                </c:pt>
                <c:pt idx="2">
                  <c:v>7.3</c:v>
                </c:pt>
                <c:pt idx="3">
                  <c:v>10.8</c:v>
                </c:pt>
                <c:pt idx="4">
                  <c:v>13.2</c:v>
                </c:pt>
                <c:pt idx="5">
                  <c:v>20.100000000000001</c:v>
                </c:pt>
                <c:pt idx="6">
                  <c:v>22.5</c:v>
                </c:pt>
                <c:pt idx="7">
                  <c:v>23</c:v>
                </c:pt>
                <c:pt idx="8">
                  <c:v>22.6</c:v>
                </c:pt>
                <c:pt idx="9">
                  <c:v>22.2</c:v>
                </c:pt>
                <c:pt idx="10">
                  <c:v>19.77</c:v>
                </c:pt>
                <c:pt idx="11">
                  <c:v>17.8</c:v>
                </c:pt>
                <c:pt idx="12">
                  <c:v>13.5</c:v>
                </c:pt>
                <c:pt idx="13">
                  <c:v>12.5</c:v>
                </c:pt>
                <c:pt idx="14">
                  <c:v>3.9</c:v>
                </c:pt>
              </c:numCache>
            </c:numRef>
          </c:val>
          <c:smooth val="0"/>
          <c:extLst>
            <c:ext xmlns:c16="http://schemas.microsoft.com/office/drawing/2014/chart" uri="{C3380CC4-5D6E-409C-BE32-E72D297353CC}">
              <c16:uniqueId val="{00000001-1C98-4A63-AEE5-D988FCBD3EE1}"/>
            </c:ext>
          </c:extLst>
        </c:ser>
        <c:dLbls>
          <c:showLegendKey val="0"/>
          <c:showVal val="0"/>
          <c:showCatName val="0"/>
          <c:showSerName val="0"/>
          <c:showPercent val="0"/>
          <c:showBubbleSize val="0"/>
        </c:dLbls>
        <c:marker val="1"/>
        <c:smooth val="0"/>
        <c:axId val="133389696"/>
        <c:axId val="133404160"/>
      </c:lineChart>
      <c:dateAx>
        <c:axId val="133389696"/>
        <c:scaling>
          <c:orientation val="minMax"/>
        </c:scaling>
        <c:delete val="0"/>
        <c:axPos val="b"/>
        <c:numFmt formatCode="[$-409]d\-mmm;@" sourceLinked="0"/>
        <c:majorTickMark val="out"/>
        <c:minorTickMark val="none"/>
        <c:tickLblPos val="nextTo"/>
        <c:spPr>
          <a:ln w="3175">
            <a:solidFill>
              <a:srgbClr val="000000"/>
            </a:solidFill>
            <a:prstDash val="solid"/>
          </a:ln>
        </c:spPr>
        <c:txPr>
          <a:bodyPr rot="0" vert="horz"/>
          <a:lstStyle/>
          <a:p>
            <a:pPr>
              <a:defRPr/>
            </a:pPr>
            <a:endParaRPr lang="en-US"/>
          </a:p>
        </c:txPr>
        <c:crossAx val="133404160"/>
        <c:crosses val="autoZero"/>
        <c:auto val="1"/>
        <c:lblOffset val="100"/>
        <c:baseTimeUnit val="days"/>
        <c:majorUnit val="30"/>
        <c:majorTimeUnit val="days"/>
        <c:minorUnit val="15"/>
        <c:minorTimeUnit val="days"/>
      </c:dateAx>
      <c:valAx>
        <c:axId val="133404160"/>
        <c:scaling>
          <c:orientation val="minMax"/>
        </c:scaling>
        <c:delete val="0"/>
        <c:axPos val="l"/>
        <c:majorGridlines>
          <c:spPr>
            <a:ln w="3175">
              <a:solidFill>
                <a:srgbClr val="000000"/>
              </a:solidFill>
              <a:prstDash val="solid"/>
            </a:ln>
          </c:spPr>
        </c:majorGridlines>
        <c:min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33389696"/>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r"/>
      <c:layout>
        <c:manualLayout>
          <c:xMode val="edge"/>
          <c:yMode val="edge"/>
          <c:x val="0.10245560985006115"/>
          <c:y val="0.19596376110880875"/>
          <c:w val="0.21788445119058941"/>
          <c:h val="0.18397877207916574"/>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3175">
          <a:solidFill>
            <a:srgbClr val="000000"/>
          </a:solidFill>
          <a:prstDash val="solid"/>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US" sz="1400" b="1"/>
              <a:t>2011 Temperature Trends </a:t>
            </a:r>
          </a:p>
        </c:rich>
      </c:tx>
      <c:overlay val="1"/>
    </c:title>
    <c:autoTitleDeleted val="0"/>
    <c:plotArea>
      <c:layout>
        <c:manualLayout>
          <c:layoutTarget val="inner"/>
          <c:xMode val="edge"/>
          <c:yMode val="edge"/>
          <c:x val="6.699751861042183E-2"/>
          <c:y val="9.4017355594941746E-2"/>
          <c:w val="0.88213399503719958"/>
          <c:h val="0.81481708182279156"/>
        </c:manualLayout>
      </c:layout>
      <c:lineChart>
        <c:grouping val="standard"/>
        <c:varyColors val="0"/>
        <c:ser>
          <c:idx val="0"/>
          <c:order val="0"/>
          <c:tx>
            <c:strRef>
              <c:f>Temperature!$A$3</c:f>
              <c:strCache>
                <c:ptCount val="1"/>
                <c:pt idx="0">
                  <c:v>Turkey Creek Inflow</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Temperature!$B$2:$P$2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Temperature!$B$3:$P$3</c:f>
              <c:numCache>
                <c:formatCode>General</c:formatCode>
                <c:ptCount val="15"/>
                <c:pt idx="0">
                  <c:v>1.7</c:v>
                </c:pt>
                <c:pt idx="1">
                  <c:v>0.7</c:v>
                </c:pt>
                <c:pt idx="2">
                  <c:v>4.5999999999999996</c:v>
                </c:pt>
                <c:pt idx="3">
                  <c:v>6.8</c:v>
                </c:pt>
                <c:pt idx="4">
                  <c:v>9.9</c:v>
                </c:pt>
                <c:pt idx="5">
                  <c:v>14.3</c:v>
                </c:pt>
                <c:pt idx="6">
                  <c:v>18.100000000000001</c:v>
                </c:pt>
                <c:pt idx="7">
                  <c:v>15.8</c:v>
                </c:pt>
                <c:pt idx="8">
                  <c:v>14.9</c:v>
                </c:pt>
                <c:pt idx="9">
                  <c:v>15.5</c:v>
                </c:pt>
                <c:pt idx="10">
                  <c:v>13.71</c:v>
                </c:pt>
                <c:pt idx="11">
                  <c:v>13.7</c:v>
                </c:pt>
                <c:pt idx="12">
                  <c:v>13.7</c:v>
                </c:pt>
                <c:pt idx="13">
                  <c:v>8.9</c:v>
                </c:pt>
                <c:pt idx="14">
                  <c:v>1.5</c:v>
                </c:pt>
              </c:numCache>
            </c:numRef>
          </c:val>
          <c:smooth val="0"/>
          <c:extLst>
            <c:ext xmlns:c16="http://schemas.microsoft.com/office/drawing/2014/chart" uri="{C3380CC4-5D6E-409C-BE32-E72D297353CC}">
              <c16:uniqueId val="{00000000-ECC7-4169-9D12-0A26FCBFF160}"/>
            </c:ext>
          </c:extLst>
        </c:ser>
        <c:ser>
          <c:idx val="1"/>
          <c:order val="1"/>
          <c:tx>
            <c:strRef>
              <c:f>Temperature!$A$4</c:f>
              <c:strCache>
                <c:ptCount val="1"/>
                <c:pt idx="0">
                  <c:v>Bear Creek Inflow</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cat>
            <c:numRef>
              <c:f>Temperature!$B$2:$P$2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Temperature!$B$4:$P$4</c:f>
              <c:numCache>
                <c:formatCode>General</c:formatCode>
                <c:ptCount val="15"/>
                <c:pt idx="0">
                  <c:v>0.8</c:v>
                </c:pt>
                <c:pt idx="1">
                  <c:v>0</c:v>
                </c:pt>
                <c:pt idx="2">
                  <c:v>2.1</c:v>
                </c:pt>
                <c:pt idx="3">
                  <c:v>6.3</c:v>
                </c:pt>
                <c:pt idx="4">
                  <c:v>10.3</c:v>
                </c:pt>
                <c:pt idx="5">
                  <c:v>15.9</c:v>
                </c:pt>
                <c:pt idx="6">
                  <c:v>20.6</c:v>
                </c:pt>
                <c:pt idx="7">
                  <c:v>17.600000000000001</c:v>
                </c:pt>
                <c:pt idx="8">
                  <c:v>16.600000000000001</c:v>
                </c:pt>
                <c:pt idx="9">
                  <c:v>17</c:v>
                </c:pt>
                <c:pt idx="10">
                  <c:v>13.55</c:v>
                </c:pt>
                <c:pt idx="11">
                  <c:v>13.3</c:v>
                </c:pt>
                <c:pt idx="12">
                  <c:v>13.3</c:v>
                </c:pt>
                <c:pt idx="13">
                  <c:v>6.8</c:v>
                </c:pt>
                <c:pt idx="14">
                  <c:v>0.4</c:v>
                </c:pt>
              </c:numCache>
            </c:numRef>
          </c:val>
          <c:smooth val="0"/>
          <c:extLst>
            <c:ext xmlns:c16="http://schemas.microsoft.com/office/drawing/2014/chart" uri="{C3380CC4-5D6E-409C-BE32-E72D297353CC}">
              <c16:uniqueId val="{00000001-ECC7-4169-9D12-0A26FCBFF160}"/>
            </c:ext>
          </c:extLst>
        </c:ser>
        <c:ser>
          <c:idx val="2"/>
          <c:order val="2"/>
          <c:tx>
            <c:strRef>
              <c:f>Temperature!$A$5</c:f>
              <c:strCache>
                <c:ptCount val="1"/>
                <c:pt idx="0">
                  <c:v>Bear Creek Discharge</c:v>
                </c:pt>
              </c:strCache>
            </c:strRef>
          </c:tx>
          <c:spPr>
            <a:ln w="25400">
              <a:solidFill>
                <a:srgbClr val="FF0000"/>
              </a:solidFill>
              <a:prstDash val="solid"/>
            </a:ln>
          </c:spPr>
          <c:marker>
            <c:symbol val="triangle"/>
            <c:size val="7"/>
            <c:spPr>
              <a:solidFill>
                <a:srgbClr val="FF0000"/>
              </a:solidFill>
              <a:ln>
                <a:solidFill>
                  <a:srgbClr val="FF0000"/>
                </a:solidFill>
                <a:prstDash val="solid"/>
              </a:ln>
            </c:spPr>
          </c:marker>
          <c:cat>
            <c:numRef>
              <c:f>Temperature!$B$2:$P$2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Temperature!$B$5:$P$5</c:f>
              <c:numCache>
                <c:formatCode>General</c:formatCode>
                <c:ptCount val="15"/>
                <c:pt idx="0">
                  <c:v>2.9</c:v>
                </c:pt>
                <c:pt idx="1">
                  <c:v>4.9000000000000004</c:v>
                </c:pt>
                <c:pt idx="2">
                  <c:v>6.4</c:v>
                </c:pt>
                <c:pt idx="3">
                  <c:v>10.6</c:v>
                </c:pt>
                <c:pt idx="4">
                  <c:v>14.8</c:v>
                </c:pt>
                <c:pt idx="5">
                  <c:v>20.2</c:v>
                </c:pt>
                <c:pt idx="6">
                  <c:v>23.9</c:v>
                </c:pt>
                <c:pt idx="7">
                  <c:v>23.3</c:v>
                </c:pt>
                <c:pt idx="8">
                  <c:v>23.3</c:v>
                </c:pt>
                <c:pt idx="9">
                  <c:v>22</c:v>
                </c:pt>
                <c:pt idx="10">
                  <c:v>19.71</c:v>
                </c:pt>
                <c:pt idx="11">
                  <c:v>18.2</c:v>
                </c:pt>
                <c:pt idx="12">
                  <c:v>18.2</c:v>
                </c:pt>
                <c:pt idx="13">
                  <c:v>11.5</c:v>
                </c:pt>
                <c:pt idx="14">
                  <c:v>4.4000000000000004</c:v>
                </c:pt>
              </c:numCache>
            </c:numRef>
          </c:val>
          <c:smooth val="0"/>
          <c:extLst>
            <c:ext xmlns:c16="http://schemas.microsoft.com/office/drawing/2014/chart" uri="{C3380CC4-5D6E-409C-BE32-E72D297353CC}">
              <c16:uniqueId val="{00000002-ECC7-4169-9D12-0A26FCBFF160}"/>
            </c:ext>
          </c:extLst>
        </c:ser>
        <c:dLbls>
          <c:showLegendKey val="0"/>
          <c:showVal val="0"/>
          <c:showCatName val="0"/>
          <c:showSerName val="0"/>
          <c:showPercent val="0"/>
          <c:showBubbleSize val="0"/>
        </c:dLbls>
        <c:marker val="1"/>
        <c:smooth val="0"/>
        <c:axId val="133421312"/>
        <c:axId val="133427584"/>
      </c:lineChart>
      <c:dateAx>
        <c:axId val="133421312"/>
        <c:scaling>
          <c:orientation val="minMax"/>
        </c:scaling>
        <c:delete val="0"/>
        <c:axPos val="b"/>
        <c:numFmt formatCode="[$-409]d\-mmm;@"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33427584"/>
        <c:crosses val="autoZero"/>
        <c:auto val="1"/>
        <c:lblOffset val="100"/>
        <c:baseTimeUnit val="days"/>
        <c:majorUnit val="30"/>
        <c:majorTimeUnit val="days"/>
      </c:dateAx>
      <c:valAx>
        <c:axId val="133427584"/>
        <c:scaling>
          <c:orientation val="minMax"/>
        </c:scaling>
        <c:delete val="0"/>
        <c:axPos val="l"/>
        <c:majorGridlines>
          <c:spPr>
            <a:ln w="3175">
              <a:solidFill>
                <a:srgbClr val="000000"/>
              </a:solidFill>
              <a:prstDash val="solid"/>
            </a:ln>
          </c:spPr>
        </c:majorGridlines>
        <c:min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3421312"/>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r"/>
      <c:layout>
        <c:manualLayout>
          <c:xMode val="edge"/>
          <c:yMode val="edge"/>
          <c:x val="9.4238107155920944E-2"/>
          <c:y val="6.5253702492964555E-2"/>
          <c:w val="0.22961662778263828"/>
          <c:h val="0.19049296455271644"/>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2011 Bear Creek Reservoir Specific Conductance Trend </a:t>
            </a:r>
          </a:p>
        </c:rich>
      </c:tx>
      <c:layout>
        <c:manualLayout>
          <c:xMode val="edge"/>
          <c:yMode val="edge"/>
          <c:x val="0.19840874864398247"/>
          <c:y val="4.3226937469507197E-2"/>
        </c:manualLayout>
      </c:layout>
      <c:overlay val="0"/>
      <c:spPr>
        <a:noFill/>
        <a:ln w="25400">
          <a:noFill/>
        </a:ln>
      </c:spPr>
    </c:title>
    <c:autoTitleDeleted val="0"/>
    <c:plotArea>
      <c:layout>
        <c:manualLayout>
          <c:layoutTarget val="inner"/>
          <c:xMode val="edge"/>
          <c:yMode val="edge"/>
          <c:x val="0.11090726716485085"/>
          <c:y val="0.18627510427869778"/>
          <c:w val="0.84248374208001053"/>
          <c:h val="0.70588460568769684"/>
        </c:manualLayout>
      </c:layout>
      <c:lineChart>
        <c:grouping val="standard"/>
        <c:varyColors val="0"/>
        <c:ser>
          <c:idx val="1"/>
          <c:order val="0"/>
          <c:tx>
            <c:strRef>
              <c:f>Conductance!$A$9</c:f>
              <c:strCache>
                <c:ptCount val="1"/>
                <c:pt idx="0">
                  <c:v>1/2m</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cat>
            <c:numRef>
              <c:f>Conductance!$B$4:$P$4</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Conductance!$B$9:$P$9</c:f>
              <c:numCache>
                <c:formatCode>General</c:formatCode>
                <c:ptCount val="15"/>
                <c:pt idx="0">
                  <c:v>0.40799999999999997</c:v>
                </c:pt>
                <c:pt idx="1">
                  <c:v>0.45700000000000002</c:v>
                </c:pt>
                <c:pt idx="2">
                  <c:v>0.57699999999999996</c:v>
                </c:pt>
                <c:pt idx="3">
                  <c:v>0.61699999999999999</c:v>
                </c:pt>
                <c:pt idx="4">
                  <c:v>0.60299999999999998</c:v>
                </c:pt>
                <c:pt idx="5">
                  <c:v>0.13300000000000001</c:v>
                </c:pt>
                <c:pt idx="6">
                  <c:v>0.105</c:v>
                </c:pt>
                <c:pt idx="7">
                  <c:v>0.33600000000000002</c:v>
                </c:pt>
                <c:pt idx="8">
                  <c:v>0.17299999999999999</c:v>
                </c:pt>
                <c:pt idx="9">
                  <c:v>0.28789999999999999</c:v>
                </c:pt>
                <c:pt idx="10">
                  <c:v>0.28599999999999998</c:v>
                </c:pt>
                <c:pt idx="11">
                  <c:v>0.311</c:v>
                </c:pt>
                <c:pt idx="12">
                  <c:v>0.32300000000000001</c:v>
                </c:pt>
                <c:pt idx="13">
                  <c:v>0.308</c:v>
                </c:pt>
                <c:pt idx="14">
                  <c:v>0.39500000000000002</c:v>
                </c:pt>
              </c:numCache>
            </c:numRef>
          </c:val>
          <c:smooth val="0"/>
          <c:extLst>
            <c:ext xmlns:c16="http://schemas.microsoft.com/office/drawing/2014/chart" uri="{C3380CC4-5D6E-409C-BE32-E72D297353CC}">
              <c16:uniqueId val="{00000000-9F10-43EA-9DD7-942D4F90671E}"/>
            </c:ext>
          </c:extLst>
        </c:ser>
        <c:ser>
          <c:idx val="0"/>
          <c:order val="1"/>
          <c:tx>
            <c:strRef>
              <c:f>Conductance!$A$13</c:f>
              <c:strCache>
                <c:ptCount val="1"/>
                <c:pt idx="0">
                  <c:v>2 1/2m</c:v>
                </c:pt>
              </c:strCache>
            </c:strRef>
          </c:tx>
          <c:cat>
            <c:numRef>
              <c:f>Conductance!$B$4:$P$4</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Conductance!$B$13:$P$13</c:f>
              <c:numCache>
                <c:formatCode>General</c:formatCode>
                <c:ptCount val="15"/>
                <c:pt idx="0">
                  <c:v>0.46</c:v>
                </c:pt>
                <c:pt idx="1">
                  <c:v>0.51</c:v>
                </c:pt>
                <c:pt idx="2">
                  <c:v>0.57799999999999996</c:v>
                </c:pt>
                <c:pt idx="3">
                  <c:v>0.61899999999999999</c:v>
                </c:pt>
                <c:pt idx="4">
                  <c:v>0.60299999999999998</c:v>
                </c:pt>
                <c:pt idx="5">
                  <c:v>0.13700000000000001</c:v>
                </c:pt>
                <c:pt idx="6">
                  <c:v>0.108</c:v>
                </c:pt>
                <c:pt idx="7">
                  <c:v>0.33600000000000002</c:v>
                </c:pt>
                <c:pt idx="8">
                  <c:v>0.27100000000000002</c:v>
                </c:pt>
                <c:pt idx="9">
                  <c:v>0.28939999999999999</c:v>
                </c:pt>
                <c:pt idx="10">
                  <c:v>0.28599999999999998</c:v>
                </c:pt>
                <c:pt idx="11">
                  <c:v>0.312</c:v>
                </c:pt>
                <c:pt idx="12">
                  <c:v>0.32300000000000001</c:v>
                </c:pt>
                <c:pt idx="13">
                  <c:v>0.311</c:v>
                </c:pt>
                <c:pt idx="14">
                  <c:v>0.41499999999999998</c:v>
                </c:pt>
              </c:numCache>
            </c:numRef>
          </c:val>
          <c:smooth val="0"/>
          <c:extLst>
            <c:ext xmlns:c16="http://schemas.microsoft.com/office/drawing/2014/chart" uri="{C3380CC4-5D6E-409C-BE32-E72D297353CC}">
              <c16:uniqueId val="{00000001-9F10-43EA-9DD7-942D4F90671E}"/>
            </c:ext>
          </c:extLst>
        </c:ser>
        <c:ser>
          <c:idx val="2"/>
          <c:order val="2"/>
          <c:tx>
            <c:strRef>
              <c:f>Conductance!$A$17</c:f>
              <c:strCache>
                <c:ptCount val="1"/>
                <c:pt idx="0">
                  <c:v>5m</c:v>
                </c:pt>
              </c:strCache>
            </c:strRef>
          </c:tx>
          <c:cat>
            <c:numRef>
              <c:f>Conductance!$B$4:$P$4</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Conductance!$B$17:$P$17</c:f>
              <c:numCache>
                <c:formatCode>General</c:formatCode>
                <c:ptCount val="15"/>
                <c:pt idx="0">
                  <c:v>0.49299999999999999</c:v>
                </c:pt>
                <c:pt idx="1">
                  <c:v>0.61099999999999999</c:v>
                </c:pt>
                <c:pt idx="2">
                  <c:v>0.57799999999999996</c:v>
                </c:pt>
                <c:pt idx="3">
                  <c:v>0.61899999999999999</c:v>
                </c:pt>
                <c:pt idx="4">
                  <c:v>0.61</c:v>
                </c:pt>
                <c:pt idx="5">
                  <c:v>0.13800000000000001</c:v>
                </c:pt>
                <c:pt idx="6">
                  <c:v>0.109</c:v>
                </c:pt>
                <c:pt idx="7">
                  <c:v>0.33700000000000002</c:v>
                </c:pt>
                <c:pt idx="8">
                  <c:v>0.27400000000000002</c:v>
                </c:pt>
                <c:pt idx="9">
                  <c:v>0.28939999999999999</c:v>
                </c:pt>
                <c:pt idx="10">
                  <c:v>0.28599999999999998</c:v>
                </c:pt>
                <c:pt idx="11">
                  <c:v>0.312</c:v>
                </c:pt>
                <c:pt idx="12">
                  <c:v>0.32400000000000001</c:v>
                </c:pt>
                <c:pt idx="13">
                  <c:v>0.313</c:v>
                </c:pt>
                <c:pt idx="14">
                  <c:v>0.435</c:v>
                </c:pt>
              </c:numCache>
            </c:numRef>
          </c:val>
          <c:smooth val="0"/>
          <c:extLst>
            <c:ext xmlns:c16="http://schemas.microsoft.com/office/drawing/2014/chart" uri="{C3380CC4-5D6E-409C-BE32-E72D297353CC}">
              <c16:uniqueId val="{00000002-9F10-43EA-9DD7-942D4F90671E}"/>
            </c:ext>
          </c:extLst>
        </c:ser>
        <c:dLbls>
          <c:showLegendKey val="0"/>
          <c:showVal val="0"/>
          <c:showCatName val="0"/>
          <c:showSerName val="0"/>
          <c:showPercent val="0"/>
          <c:showBubbleSize val="0"/>
        </c:dLbls>
        <c:marker val="1"/>
        <c:smooth val="0"/>
        <c:axId val="133506944"/>
        <c:axId val="133508480"/>
      </c:lineChart>
      <c:dateAx>
        <c:axId val="133506944"/>
        <c:scaling>
          <c:orientation val="minMax"/>
        </c:scaling>
        <c:delete val="0"/>
        <c:axPos val="b"/>
        <c:numFmt formatCode="[$-409]d\-mmm;@" sourceLinked="0"/>
        <c:majorTickMark val="out"/>
        <c:minorTickMark val="none"/>
        <c:tickLblPos val="nextTo"/>
        <c:spPr>
          <a:ln w="3175">
            <a:solidFill>
              <a:srgbClr val="000000"/>
            </a:solidFill>
            <a:prstDash val="solid"/>
          </a:ln>
        </c:spPr>
        <c:txPr>
          <a:bodyPr rot="0" vert="horz"/>
          <a:lstStyle/>
          <a:p>
            <a:pPr>
              <a:defRPr/>
            </a:pPr>
            <a:endParaRPr lang="en-US"/>
          </a:p>
        </c:txPr>
        <c:crossAx val="133508480"/>
        <c:crosses val="autoZero"/>
        <c:auto val="1"/>
        <c:lblOffset val="100"/>
        <c:baseTimeUnit val="days"/>
        <c:majorUnit val="30"/>
        <c:majorTimeUnit val="days"/>
        <c:minorUnit val="15"/>
        <c:minorTimeUnit val="days"/>
      </c:dateAx>
      <c:valAx>
        <c:axId val="133508480"/>
        <c:scaling>
          <c:orientation val="minMax"/>
        </c:scaling>
        <c:delete val="0"/>
        <c:axPos val="l"/>
        <c:majorGridlines>
          <c:spPr>
            <a:ln w="3175">
              <a:solidFill>
                <a:srgbClr val="000000"/>
              </a:solidFill>
              <a:prstDash val="solid"/>
            </a:ln>
          </c:spPr>
        </c:majorGridlines>
        <c:minorGridlines/>
        <c:title>
          <c:tx>
            <c:rich>
              <a:bodyPr/>
              <a:lstStyle/>
              <a:p>
                <a:pPr>
                  <a:defRPr/>
                </a:pPr>
                <a:r>
                  <a:rPr lang="en-US"/>
                  <a:t>Speciic Conductance uS/cm</a:t>
                </a:r>
              </a:p>
            </c:rich>
          </c:tx>
          <c:layout>
            <c:manualLayout>
              <c:xMode val="edge"/>
              <c:yMode val="edge"/>
              <c:x val="2.2598841811440236E-2"/>
              <c:y val="0.287582728629522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33506944"/>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prstDash val="solid"/>
        </a:ln>
      </c:spPr>
      <c:txPr>
        <a:bodyPr/>
        <a:lstStyle/>
        <a:p>
          <a:pPr>
            <a:defRPr sz="1050"/>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2011 Watershed Specific Conductance Trends</a:t>
            </a:r>
          </a:p>
        </c:rich>
      </c:tx>
      <c:layout>
        <c:manualLayout>
          <c:xMode val="edge"/>
          <c:yMode val="edge"/>
          <c:x val="0.34438502673797688"/>
          <c:y val="3.7288135593222214E-2"/>
        </c:manualLayout>
      </c:layout>
      <c:overlay val="0"/>
      <c:spPr>
        <a:noFill/>
        <a:ln w="25400">
          <a:noFill/>
        </a:ln>
      </c:spPr>
    </c:title>
    <c:autoTitleDeleted val="0"/>
    <c:plotArea>
      <c:layout>
        <c:manualLayout>
          <c:layoutTarget val="inner"/>
          <c:xMode val="edge"/>
          <c:yMode val="edge"/>
          <c:x val="0.11836750420852493"/>
          <c:y val="0.17966131432288521"/>
          <c:w val="0.82176979933274752"/>
          <c:h val="0.64745869878624651"/>
        </c:manualLayout>
      </c:layout>
      <c:lineChart>
        <c:grouping val="standard"/>
        <c:varyColors val="0"/>
        <c:ser>
          <c:idx val="0"/>
          <c:order val="0"/>
          <c:tx>
            <c:strRef>
              <c:f>Conductance!$A$5</c:f>
              <c:strCache>
                <c:ptCount val="1"/>
                <c:pt idx="0">
                  <c:v>Turkey Creek Inflow</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Conductance!$B$4:$P$4</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Conductance!$B$5:$P$5</c:f>
              <c:numCache>
                <c:formatCode>General</c:formatCode>
                <c:ptCount val="15"/>
                <c:pt idx="0">
                  <c:v>1.42</c:v>
                </c:pt>
                <c:pt idx="1">
                  <c:v>1.19</c:v>
                </c:pt>
                <c:pt idx="2">
                  <c:v>0.99</c:v>
                </c:pt>
                <c:pt idx="3">
                  <c:v>1.27</c:v>
                </c:pt>
                <c:pt idx="4">
                  <c:v>1.28</c:v>
                </c:pt>
                <c:pt idx="5">
                  <c:v>1.81</c:v>
                </c:pt>
                <c:pt idx="6">
                  <c:v>1.34</c:v>
                </c:pt>
                <c:pt idx="7">
                  <c:v>1.59</c:v>
                </c:pt>
                <c:pt idx="8">
                  <c:v>1.33</c:v>
                </c:pt>
                <c:pt idx="9">
                  <c:v>1.56</c:v>
                </c:pt>
                <c:pt idx="10">
                  <c:v>1.83</c:v>
                </c:pt>
                <c:pt idx="11">
                  <c:v>1.36</c:v>
                </c:pt>
                <c:pt idx="12">
                  <c:v>1.86</c:v>
                </c:pt>
                <c:pt idx="13">
                  <c:v>1.86</c:v>
                </c:pt>
                <c:pt idx="14">
                  <c:v>1.7</c:v>
                </c:pt>
              </c:numCache>
            </c:numRef>
          </c:val>
          <c:smooth val="0"/>
          <c:extLst>
            <c:ext xmlns:c16="http://schemas.microsoft.com/office/drawing/2014/chart" uri="{C3380CC4-5D6E-409C-BE32-E72D297353CC}">
              <c16:uniqueId val="{00000000-80E4-411D-9A14-EF84487FA252}"/>
            </c:ext>
          </c:extLst>
        </c:ser>
        <c:ser>
          <c:idx val="1"/>
          <c:order val="1"/>
          <c:tx>
            <c:strRef>
              <c:f>Conductance!$A$6</c:f>
              <c:strCache>
                <c:ptCount val="1"/>
                <c:pt idx="0">
                  <c:v>Bear Creek Inflow</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cat>
            <c:numRef>
              <c:f>Conductance!$B$4:$P$4</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Conductance!$B$6:$P$6</c:f>
              <c:numCache>
                <c:formatCode>General</c:formatCode>
                <c:ptCount val="15"/>
                <c:pt idx="0">
                  <c:v>0.39800000000000002</c:v>
                </c:pt>
                <c:pt idx="1">
                  <c:v>0.372</c:v>
                </c:pt>
                <c:pt idx="2">
                  <c:v>0.38</c:v>
                </c:pt>
                <c:pt idx="3">
                  <c:v>0.34899999999999998</c:v>
                </c:pt>
                <c:pt idx="4">
                  <c:v>0.28599999999999998</c:v>
                </c:pt>
                <c:pt idx="5">
                  <c:v>0.20100000000000001</c:v>
                </c:pt>
                <c:pt idx="6">
                  <c:v>9.6000000000000002E-2</c:v>
                </c:pt>
                <c:pt idx="7">
                  <c:v>0.20499999999999999</c:v>
                </c:pt>
                <c:pt idx="8">
                  <c:v>0.14899999999999999</c:v>
                </c:pt>
                <c:pt idx="9">
                  <c:v>9.2999999999999999E-2</c:v>
                </c:pt>
                <c:pt idx="10">
                  <c:v>0.17599999999999999</c:v>
                </c:pt>
                <c:pt idx="11">
                  <c:v>0.188</c:v>
                </c:pt>
                <c:pt idx="12">
                  <c:v>0.24299999999999999</c:v>
                </c:pt>
                <c:pt idx="13">
                  <c:v>0.24299999999999999</c:v>
                </c:pt>
                <c:pt idx="14">
                  <c:v>0.29799999999999999</c:v>
                </c:pt>
              </c:numCache>
            </c:numRef>
          </c:val>
          <c:smooth val="0"/>
          <c:extLst>
            <c:ext xmlns:c16="http://schemas.microsoft.com/office/drawing/2014/chart" uri="{C3380CC4-5D6E-409C-BE32-E72D297353CC}">
              <c16:uniqueId val="{00000001-80E4-411D-9A14-EF84487FA252}"/>
            </c:ext>
          </c:extLst>
        </c:ser>
        <c:ser>
          <c:idx val="2"/>
          <c:order val="2"/>
          <c:tx>
            <c:strRef>
              <c:f>Conductance!$A$7</c:f>
              <c:strCache>
                <c:ptCount val="1"/>
                <c:pt idx="0">
                  <c:v>Bear Creek Discharge</c:v>
                </c:pt>
              </c:strCache>
            </c:strRef>
          </c:tx>
          <c:spPr>
            <a:ln w="25400">
              <a:solidFill>
                <a:srgbClr val="00B050"/>
              </a:solidFill>
              <a:prstDash val="solid"/>
            </a:ln>
          </c:spPr>
          <c:marker>
            <c:symbol val="triangle"/>
            <c:size val="7"/>
            <c:spPr>
              <a:solidFill>
                <a:srgbClr val="00B050"/>
              </a:solidFill>
              <a:ln>
                <a:solidFill>
                  <a:srgbClr val="FFFF00"/>
                </a:solidFill>
                <a:prstDash val="solid"/>
              </a:ln>
            </c:spPr>
          </c:marker>
          <c:cat>
            <c:numRef>
              <c:f>Conductance!$B$4:$P$4</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Conductance!$B$7:$P$7</c:f>
              <c:numCache>
                <c:formatCode>General</c:formatCode>
                <c:ptCount val="15"/>
                <c:pt idx="0">
                  <c:v>0.44400000000000001</c:v>
                </c:pt>
                <c:pt idx="1">
                  <c:v>0.48</c:v>
                </c:pt>
                <c:pt idx="2">
                  <c:v>0.57899999999999996</c:v>
                </c:pt>
                <c:pt idx="3">
                  <c:v>0.61399999999999999</c:v>
                </c:pt>
                <c:pt idx="4">
                  <c:v>0.60199999999999998</c:v>
                </c:pt>
                <c:pt idx="5">
                  <c:v>0.45800000000000002</c:v>
                </c:pt>
                <c:pt idx="6">
                  <c:v>0.158</c:v>
                </c:pt>
                <c:pt idx="7">
                  <c:v>0.33700000000000002</c:v>
                </c:pt>
                <c:pt idx="8">
                  <c:v>0.26100000000000001</c:v>
                </c:pt>
                <c:pt idx="9">
                  <c:v>0.36199999999999999</c:v>
                </c:pt>
                <c:pt idx="10">
                  <c:v>0.28799999999999998</c:v>
                </c:pt>
                <c:pt idx="11">
                  <c:v>0.311</c:v>
                </c:pt>
                <c:pt idx="12">
                  <c:v>0.313</c:v>
                </c:pt>
                <c:pt idx="13">
                  <c:v>0.313</c:v>
                </c:pt>
                <c:pt idx="14">
                  <c:v>0.40600000000000003</c:v>
                </c:pt>
              </c:numCache>
            </c:numRef>
          </c:val>
          <c:smooth val="0"/>
          <c:extLst>
            <c:ext xmlns:c16="http://schemas.microsoft.com/office/drawing/2014/chart" uri="{C3380CC4-5D6E-409C-BE32-E72D297353CC}">
              <c16:uniqueId val="{00000002-80E4-411D-9A14-EF84487FA252}"/>
            </c:ext>
          </c:extLst>
        </c:ser>
        <c:dLbls>
          <c:showLegendKey val="0"/>
          <c:showVal val="0"/>
          <c:showCatName val="0"/>
          <c:showSerName val="0"/>
          <c:showPercent val="0"/>
          <c:showBubbleSize val="0"/>
        </c:dLbls>
        <c:marker val="1"/>
        <c:smooth val="0"/>
        <c:axId val="133542656"/>
        <c:axId val="133544576"/>
      </c:lineChart>
      <c:dateAx>
        <c:axId val="133542656"/>
        <c:scaling>
          <c:orientation val="minMax"/>
        </c:scaling>
        <c:delete val="0"/>
        <c:axPos val="b"/>
        <c:numFmt formatCode="[$-409]d\-mmm;@"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33544576"/>
        <c:crosses val="autoZero"/>
        <c:auto val="1"/>
        <c:lblOffset val="100"/>
        <c:baseTimeUnit val="days"/>
        <c:majorUnit val="31"/>
        <c:majorTimeUnit val="days"/>
        <c:minorUnit val="1"/>
        <c:minorTimeUnit val="days"/>
      </c:dateAx>
      <c:valAx>
        <c:axId val="133544576"/>
        <c:scaling>
          <c:orientation val="minMax"/>
        </c:scaling>
        <c:delete val="0"/>
        <c:axPos val="l"/>
        <c:majorGridlines>
          <c:spPr>
            <a:ln w="3175">
              <a:solidFill>
                <a:srgbClr val="000000"/>
              </a:solidFill>
              <a:prstDash val="solid"/>
            </a:ln>
          </c:spPr>
        </c:majorGridlines>
        <c:minorGridlines/>
        <c:title>
          <c:tx>
            <c:rich>
              <a:bodyPr/>
              <a:lstStyle/>
              <a:p>
                <a:pPr>
                  <a:defRPr sz="975" b="1" i="0" u="none" strike="noStrike" baseline="0">
                    <a:solidFill>
                      <a:srgbClr val="000000"/>
                    </a:solidFill>
                    <a:latin typeface="Arial"/>
                    <a:ea typeface="Arial"/>
                    <a:cs typeface="Arial"/>
                  </a:defRPr>
                </a:pPr>
                <a:r>
                  <a:rPr lang="en-US"/>
                  <a:t>Specific Conducatnace uS/cm</a:t>
                </a:r>
              </a:p>
            </c:rich>
          </c:tx>
          <c:layout>
            <c:manualLayout>
              <c:xMode val="edge"/>
              <c:yMode val="edge"/>
              <c:x val="3.5374064872906931E-2"/>
              <c:y val="0.172881711819920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33542656"/>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t"/>
      <c:layout>
        <c:manualLayout>
          <c:xMode val="edge"/>
          <c:yMode val="edge"/>
          <c:x val="0.18865083939979221"/>
          <c:y val="9.5831809872030244E-2"/>
          <c:w val="0.6048388649532016"/>
          <c:h val="0.10606988642548713"/>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0">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US"/>
              <a:t>2011 Bear Creek Watershed pH Trends</a:t>
            </a:r>
          </a:p>
        </c:rich>
      </c:tx>
      <c:layout>
        <c:manualLayout>
          <c:xMode val="edge"/>
          <c:yMode val="edge"/>
          <c:x val="0.3209242618742365"/>
          <c:y val="3.1331592689296812E-2"/>
        </c:manualLayout>
      </c:layout>
      <c:overlay val="0"/>
      <c:spPr>
        <a:noFill/>
        <a:ln w="25400">
          <a:noFill/>
        </a:ln>
      </c:spPr>
    </c:title>
    <c:autoTitleDeleted val="0"/>
    <c:plotArea>
      <c:layout>
        <c:manualLayout>
          <c:layoutTarget val="inner"/>
          <c:xMode val="edge"/>
          <c:yMode val="edge"/>
          <c:x val="8.1914936167582567E-2"/>
          <c:y val="9.9270108301308752E-2"/>
          <c:w val="0.8941575931463015"/>
          <c:h val="0.76757061084090061"/>
        </c:manualLayout>
      </c:layout>
      <c:lineChart>
        <c:grouping val="standard"/>
        <c:varyColors val="0"/>
        <c:ser>
          <c:idx val="2"/>
          <c:order val="0"/>
          <c:tx>
            <c:strRef>
              <c:f>pH!$A$5</c:f>
              <c:strCache>
                <c:ptCount val="1"/>
                <c:pt idx="0">
                  <c:v>Turkey Creek Inflow</c:v>
                </c:pt>
              </c:strCache>
            </c:strRef>
          </c:tx>
          <c:spPr>
            <a:ln w="31750">
              <a:solidFill>
                <a:srgbClr val="FF0000"/>
              </a:solidFill>
              <a:prstDash val="solid"/>
            </a:ln>
          </c:spPr>
          <c:marker>
            <c:symbol val="triangle"/>
            <c:size val="7"/>
            <c:spPr>
              <a:solidFill>
                <a:srgbClr val="FFFF00"/>
              </a:solidFill>
              <a:ln>
                <a:solidFill>
                  <a:srgbClr val="FFFF00"/>
                </a:solidFill>
                <a:prstDash val="solid"/>
              </a:ln>
            </c:spPr>
          </c:marker>
          <c:cat>
            <c:numRef>
              <c:f>pH!$B$4:$Q$4</c:f>
              <c:numCache>
                <c:formatCode>[$-409]d\-mmm;@</c:formatCode>
                <c:ptCount val="16"/>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40833</c:v>
                </c:pt>
                <c:pt idx="13">
                  <c:v>40840</c:v>
                </c:pt>
                <c:pt idx="14">
                  <c:v>40875</c:v>
                </c:pt>
                <c:pt idx="15">
                  <c:v>40893</c:v>
                </c:pt>
              </c:numCache>
            </c:numRef>
          </c:cat>
          <c:val>
            <c:numRef>
              <c:f>pH!$B$5:$Q$5</c:f>
              <c:numCache>
                <c:formatCode>General</c:formatCode>
                <c:ptCount val="16"/>
                <c:pt idx="0">
                  <c:v>7.89</c:v>
                </c:pt>
                <c:pt idx="1">
                  <c:v>7.76</c:v>
                </c:pt>
                <c:pt idx="2">
                  <c:v>7.69</c:v>
                </c:pt>
                <c:pt idx="3">
                  <c:v>7.44</c:v>
                </c:pt>
                <c:pt idx="4">
                  <c:v>8.44</c:v>
                </c:pt>
                <c:pt idx="5">
                  <c:v>8.4499999999999993</c:v>
                </c:pt>
                <c:pt idx="6">
                  <c:v>8.2899999999999991</c:v>
                </c:pt>
                <c:pt idx="7">
                  <c:v>8.3800000000000008</c:v>
                </c:pt>
                <c:pt idx="8">
                  <c:v>8.4700000000000006</c:v>
                </c:pt>
                <c:pt idx="9">
                  <c:v>8.2200000000000006</c:v>
                </c:pt>
                <c:pt idx="10">
                  <c:v>8.1999999999999993</c:v>
                </c:pt>
                <c:pt idx="11">
                  <c:v>8.51</c:v>
                </c:pt>
                <c:pt idx="13">
                  <c:v>8.42</c:v>
                </c:pt>
                <c:pt idx="14">
                  <c:v>8.0399999999999991</c:v>
                </c:pt>
                <c:pt idx="15">
                  <c:v>8.57</c:v>
                </c:pt>
              </c:numCache>
            </c:numRef>
          </c:val>
          <c:smooth val="0"/>
          <c:extLst>
            <c:ext xmlns:c16="http://schemas.microsoft.com/office/drawing/2014/chart" uri="{C3380CC4-5D6E-409C-BE32-E72D297353CC}">
              <c16:uniqueId val="{00000000-11CE-4325-9EC1-84C13AE9E718}"/>
            </c:ext>
          </c:extLst>
        </c:ser>
        <c:ser>
          <c:idx val="3"/>
          <c:order val="1"/>
          <c:tx>
            <c:strRef>
              <c:f>pH!$A$6</c:f>
              <c:strCache>
                <c:ptCount val="1"/>
                <c:pt idx="0">
                  <c:v>Bear Creek Inflow</c:v>
                </c:pt>
              </c:strCache>
            </c:strRef>
          </c:tx>
          <c:spPr>
            <a:ln w="38100">
              <a:solidFill>
                <a:srgbClr val="00FFFF"/>
              </a:solidFill>
              <a:prstDash val="solid"/>
            </a:ln>
          </c:spPr>
          <c:marker>
            <c:symbol val="x"/>
            <c:size val="9"/>
            <c:spPr>
              <a:noFill/>
              <a:ln>
                <a:solidFill>
                  <a:srgbClr val="00FFFF"/>
                </a:solidFill>
                <a:prstDash val="solid"/>
              </a:ln>
            </c:spPr>
          </c:marker>
          <c:cat>
            <c:numRef>
              <c:f>pH!$B$4:$Q$4</c:f>
              <c:numCache>
                <c:formatCode>[$-409]d\-mmm;@</c:formatCode>
                <c:ptCount val="16"/>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40833</c:v>
                </c:pt>
                <c:pt idx="13">
                  <c:v>40840</c:v>
                </c:pt>
                <c:pt idx="14">
                  <c:v>40875</c:v>
                </c:pt>
                <c:pt idx="15">
                  <c:v>40893</c:v>
                </c:pt>
              </c:numCache>
            </c:numRef>
          </c:cat>
          <c:val>
            <c:numRef>
              <c:f>pH!$B$6:$Q$6</c:f>
              <c:numCache>
                <c:formatCode>General</c:formatCode>
                <c:ptCount val="16"/>
                <c:pt idx="0">
                  <c:v>8.52</c:v>
                </c:pt>
                <c:pt idx="1">
                  <c:v>7.99</c:v>
                </c:pt>
                <c:pt idx="2">
                  <c:v>7.99</c:v>
                </c:pt>
                <c:pt idx="3">
                  <c:v>7.36</c:v>
                </c:pt>
                <c:pt idx="4">
                  <c:v>8.15</c:v>
                </c:pt>
                <c:pt idx="5">
                  <c:v>8.02</c:v>
                </c:pt>
                <c:pt idx="6">
                  <c:v>7.94</c:v>
                </c:pt>
                <c:pt idx="7">
                  <c:v>8.1</c:v>
                </c:pt>
                <c:pt idx="8">
                  <c:v>8.16</c:v>
                </c:pt>
                <c:pt idx="9">
                  <c:v>8</c:v>
                </c:pt>
                <c:pt idx="10">
                  <c:v>8.1</c:v>
                </c:pt>
                <c:pt idx="11">
                  <c:v>7.88</c:v>
                </c:pt>
                <c:pt idx="13">
                  <c:v>8.6</c:v>
                </c:pt>
                <c:pt idx="14">
                  <c:v>8.26</c:v>
                </c:pt>
                <c:pt idx="15">
                  <c:v>7.85</c:v>
                </c:pt>
              </c:numCache>
            </c:numRef>
          </c:val>
          <c:smooth val="0"/>
          <c:extLst>
            <c:ext xmlns:c16="http://schemas.microsoft.com/office/drawing/2014/chart" uri="{C3380CC4-5D6E-409C-BE32-E72D297353CC}">
              <c16:uniqueId val="{00000001-11CE-4325-9EC1-84C13AE9E718}"/>
            </c:ext>
          </c:extLst>
        </c:ser>
        <c:ser>
          <c:idx val="4"/>
          <c:order val="2"/>
          <c:tx>
            <c:strRef>
              <c:f>pH!$A$7</c:f>
              <c:strCache>
                <c:ptCount val="1"/>
                <c:pt idx="0">
                  <c:v>Reservoir Discharge</c:v>
                </c:pt>
              </c:strCache>
            </c:strRef>
          </c:tx>
          <c:spPr>
            <a:ln w="25400">
              <a:solidFill>
                <a:srgbClr val="800080"/>
              </a:solidFill>
              <a:prstDash val="solid"/>
            </a:ln>
          </c:spPr>
          <c:marker>
            <c:symbol val="star"/>
            <c:size val="7"/>
            <c:spPr>
              <a:noFill/>
              <a:ln>
                <a:solidFill>
                  <a:srgbClr val="800080"/>
                </a:solidFill>
                <a:prstDash val="solid"/>
              </a:ln>
            </c:spPr>
          </c:marker>
          <c:cat>
            <c:numRef>
              <c:f>pH!$B$4:$Q$4</c:f>
              <c:numCache>
                <c:formatCode>[$-409]d\-mmm;@</c:formatCode>
                <c:ptCount val="16"/>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40833</c:v>
                </c:pt>
                <c:pt idx="13">
                  <c:v>40840</c:v>
                </c:pt>
                <c:pt idx="14">
                  <c:v>40875</c:v>
                </c:pt>
                <c:pt idx="15">
                  <c:v>40893</c:v>
                </c:pt>
              </c:numCache>
            </c:numRef>
          </c:cat>
          <c:val>
            <c:numRef>
              <c:f>pH!$B$7:$Q$7</c:f>
              <c:numCache>
                <c:formatCode>General</c:formatCode>
                <c:ptCount val="16"/>
                <c:pt idx="0">
                  <c:v>8.32</c:v>
                </c:pt>
                <c:pt idx="1">
                  <c:v>8.07</c:v>
                </c:pt>
                <c:pt idx="2">
                  <c:v>7.86</c:v>
                </c:pt>
                <c:pt idx="3">
                  <c:v>8.0299999999999994</c:v>
                </c:pt>
                <c:pt idx="4">
                  <c:v>8.5299999999999994</c:v>
                </c:pt>
                <c:pt idx="5">
                  <c:v>8.74</c:v>
                </c:pt>
                <c:pt idx="6">
                  <c:v>8.3000000000000007</c:v>
                </c:pt>
                <c:pt idx="7">
                  <c:v>8.39</c:v>
                </c:pt>
                <c:pt idx="8">
                  <c:v>8.6300000000000008</c:v>
                </c:pt>
                <c:pt idx="9">
                  <c:v>8.67</c:v>
                </c:pt>
                <c:pt idx="10">
                  <c:v>8.4600000000000009</c:v>
                </c:pt>
                <c:pt idx="11">
                  <c:v>8.25</c:v>
                </c:pt>
                <c:pt idx="13">
                  <c:v>9.3000000000000007</c:v>
                </c:pt>
                <c:pt idx="14">
                  <c:v>8.2799999999999994</c:v>
                </c:pt>
                <c:pt idx="15">
                  <c:v>8.43</c:v>
                </c:pt>
              </c:numCache>
            </c:numRef>
          </c:val>
          <c:smooth val="0"/>
          <c:extLst>
            <c:ext xmlns:c16="http://schemas.microsoft.com/office/drawing/2014/chart" uri="{C3380CC4-5D6E-409C-BE32-E72D297353CC}">
              <c16:uniqueId val="{00000002-11CE-4325-9EC1-84C13AE9E718}"/>
            </c:ext>
          </c:extLst>
        </c:ser>
        <c:dLbls>
          <c:showLegendKey val="0"/>
          <c:showVal val="0"/>
          <c:showCatName val="0"/>
          <c:showSerName val="0"/>
          <c:showPercent val="0"/>
          <c:showBubbleSize val="0"/>
        </c:dLbls>
        <c:marker val="1"/>
        <c:smooth val="0"/>
        <c:axId val="133804416"/>
        <c:axId val="133806336"/>
      </c:lineChart>
      <c:dateAx>
        <c:axId val="133804416"/>
        <c:scaling>
          <c:orientation val="minMax"/>
        </c:scaling>
        <c:delete val="0"/>
        <c:axPos val="b"/>
        <c:numFmt formatCode="[$-409]d\-mmm;@" sourceLinked="0"/>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n-US"/>
          </a:p>
        </c:txPr>
        <c:crossAx val="133806336"/>
        <c:crosses val="autoZero"/>
        <c:auto val="1"/>
        <c:lblOffset val="100"/>
        <c:baseTimeUnit val="days"/>
        <c:majorUnit val="30"/>
        <c:majorTimeUnit val="days"/>
        <c:minorUnit val="15"/>
        <c:minorTimeUnit val="days"/>
      </c:dateAx>
      <c:valAx>
        <c:axId val="133806336"/>
        <c:scaling>
          <c:orientation val="minMax"/>
          <c:max val="9.5"/>
          <c:min val="6.5"/>
        </c:scaling>
        <c:delete val="0"/>
        <c:axPos val="l"/>
        <c:majorGridlines>
          <c:spPr>
            <a:ln w="3175">
              <a:solidFill>
                <a:srgbClr val="000000"/>
              </a:solidFill>
              <a:prstDash val="solid"/>
            </a:ln>
          </c:spPr>
        </c:majorGridlines>
        <c:minorGridlines/>
        <c:title>
          <c:tx>
            <c:rich>
              <a:bodyPr/>
              <a:lstStyle/>
              <a:p>
                <a:pPr>
                  <a:defRPr sz="1075" b="1" i="0" u="none" strike="noStrike" baseline="0">
                    <a:solidFill>
                      <a:srgbClr val="000000"/>
                    </a:solidFill>
                    <a:latin typeface="Arial"/>
                    <a:ea typeface="Arial"/>
                    <a:cs typeface="Arial"/>
                  </a:defRPr>
                </a:pPr>
                <a:r>
                  <a:rPr lang="en-US"/>
                  <a:t>pH (Standad Unit)</a:t>
                </a:r>
              </a:p>
            </c:rich>
          </c:tx>
          <c:layout>
            <c:manualLayout>
              <c:xMode val="edge"/>
              <c:yMode val="edge"/>
              <c:x val="1.7021351150104953E-2"/>
              <c:y val="0.383812010443882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33804416"/>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r"/>
      <c:layout>
        <c:manualLayout>
          <c:xMode val="edge"/>
          <c:yMode val="edge"/>
          <c:x val="0.10335061203217218"/>
          <c:y val="0.12469830654729806"/>
          <c:w val="0.32261294680913088"/>
          <c:h val="0.1253263707571802"/>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a:t>Bear Creek Reservoir Nitrate-Nitrogen [ug/l] Trend</a:t>
            </a:r>
          </a:p>
        </c:rich>
      </c:tx>
      <c:layout>
        <c:manualLayout>
          <c:xMode val="edge"/>
          <c:yMode val="edge"/>
          <c:x val="0.17907444668008049"/>
          <c:y val="3.6065573770491806E-2"/>
        </c:manualLayout>
      </c:layout>
      <c:overlay val="0"/>
      <c:spPr>
        <a:noFill/>
        <a:ln w="25400">
          <a:noFill/>
        </a:ln>
      </c:spPr>
    </c:title>
    <c:autoTitleDeleted val="0"/>
    <c:plotArea>
      <c:layout>
        <c:manualLayout>
          <c:layoutTarget val="inner"/>
          <c:xMode val="edge"/>
          <c:yMode val="edge"/>
          <c:x val="8.6519114688128479E-2"/>
          <c:y val="0.15737704918033629"/>
          <c:w val="0.89738430583498363"/>
          <c:h val="0.66557377049181365"/>
        </c:manualLayout>
      </c:layout>
      <c:barChart>
        <c:barDir val="col"/>
        <c:grouping val="clustered"/>
        <c:varyColors val="0"/>
        <c:ser>
          <c:idx val="0"/>
          <c:order val="0"/>
          <c:tx>
            <c:strRef>
              <c:f>'Annual Reservoir Trends'!$B$7</c:f>
              <c:strCache>
                <c:ptCount val="1"/>
                <c:pt idx="0">
                  <c:v>Top</c:v>
                </c:pt>
              </c:strCache>
            </c:strRef>
          </c:tx>
          <c:spPr>
            <a:solidFill>
              <a:srgbClr val="9999FF"/>
            </a:solidFill>
            <a:ln w="12700">
              <a:solidFill>
                <a:srgbClr val="000000"/>
              </a:solidFill>
              <a:prstDash val="solid"/>
            </a:ln>
          </c:spPr>
          <c:invertIfNegative val="0"/>
          <c:cat>
            <c:numRef>
              <c:f>'Annual Reservoir Trends'!$C$3:$W$3</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'Annual Reservoir Trends'!$C$7:$W$7</c:f>
              <c:numCache>
                <c:formatCode>General</c:formatCode>
                <c:ptCount val="21"/>
                <c:pt idx="0">
                  <c:v>442</c:v>
                </c:pt>
                <c:pt idx="1">
                  <c:v>289</c:v>
                </c:pt>
                <c:pt idx="2">
                  <c:v>504</c:v>
                </c:pt>
                <c:pt idx="3">
                  <c:v>382</c:v>
                </c:pt>
                <c:pt idx="4">
                  <c:v>474</c:v>
                </c:pt>
                <c:pt idx="5">
                  <c:v>578</c:v>
                </c:pt>
                <c:pt idx="6">
                  <c:v>393</c:v>
                </c:pt>
                <c:pt idx="7">
                  <c:v>388</c:v>
                </c:pt>
                <c:pt idx="8">
                  <c:v>224</c:v>
                </c:pt>
                <c:pt idx="9">
                  <c:v>431</c:v>
                </c:pt>
                <c:pt idx="10">
                  <c:v>401</c:v>
                </c:pt>
                <c:pt idx="11">
                  <c:v>289</c:v>
                </c:pt>
                <c:pt idx="12">
                  <c:v>268</c:v>
                </c:pt>
                <c:pt idx="13">
                  <c:v>268</c:v>
                </c:pt>
                <c:pt idx="14" formatCode="0">
                  <c:v>193.23769230769227</c:v>
                </c:pt>
                <c:pt idx="15" formatCode="0">
                  <c:v>158.27857142857144</c:v>
                </c:pt>
                <c:pt idx="16" formatCode="0">
                  <c:v>221.96199999999999</c:v>
                </c:pt>
                <c:pt idx="17" formatCode="0">
                  <c:v>233</c:v>
                </c:pt>
                <c:pt idx="18" formatCode="0">
                  <c:v>291</c:v>
                </c:pt>
                <c:pt idx="19" formatCode="0">
                  <c:v>287</c:v>
                </c:pt>
                <c:pt idx="20" formatCode="0">
                  <c:v>158</c:v>
                </c:pt>
              </c:numCache>
            </c:numRef>
          </c:val>
          <c:extLst>
            <c:ext xmlns:c16="http://schemas.microsoft.com/office/drawing/2014/chart" uri="{C3380CC4-5D6E-409C-BE32-E72D297353CC}">
              <c16:uniqueId val="{00000000-B513-434B-BB62-10C28A6DA438}"/>
            </c:ext>
          </c:extLst>
        </c:ser>
        <c:ser>
          <c:idx val="3"/>
          <c:order val="1"/>
          <c:tx>
            <c:strRef>
              <c:f>'Annual Reservoir Trends'!$B$9</c:f>
              <c:strCache>
                <c:ptCount val="1"/>
                <c:pt idx="0">
                  <c:v>Bottom</c:v>
                </c:pt>
              </c:strCache>
            </c:strRef>
          </c:tx>
          <c:spPr>
            <a:solidFill>
              <a:srgbClr val="CCFFFF"/>
            </a:solidFill>
            <a:ln w="12700">
              <a:solidFill>
                <a:srgbClr val="000000"/>
              </a:solidFill>
              <a:prstDash val="solid"/>
            </a:ln>
          </c:spPr>
          <c:invertIfNegative val="0"/>
          <c:trendline>
            <c:spPr>
              <a:ln w="25400">
                <a:solidFill>
                  <a:srgbClr val="000000"/>
                </a:solidFill>
                <a:prstDash val="solid"/>
              </a:ln>
            </c:spPr>
            <c:trendlineType val="poly"/>
            <c:order val="6"/>
            <c:dispRSqr val="0"/>
            <c:dispEq val="0"/>
          </c:trendline>
          <c:cat>
            <c:numRef>
              <c:f>'Annual Reservoir Trends'!$C$3:$W$3</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'Annual Reservoir Trends'!$C$9:$W$9</c:f>
              <c:numCache>
                <c:formatCode>General</c:formatCode>
                <c:ptCount val="21"/>
                <c:pt idx="0">
                  <c:v>341</c:v>
                </c:pt>
                <c:pt idx="1">
                  <c:v>228</c:v>
                </c:pt>
                <c:pt idx="2">
                  <c:v>333</c:v>
                </c:pt>
                <c:pt idx="3">
                  <c:v>308</c:v>
                </c:pt>
                <c:pt idx="4">
                  <c:v>503</c:v>
                </c:pt>
                <c:pt idx="5">
                  <c:v>561</c:v>
                </c:pt>
                <c:pt idx="6">
                  <c:v>341</c:v>
                </c:pt>
                <c:pt idx="7">
                  <c:v>342</c:v>
                </c:pt>
                <c:pt idx="8">
                  <c:v>231</c:v>
                </c:pt>
                <c:pt idx="9">
                  <c:v>483</c:v>
                </c:pt>
                <c:pt idx="10">
                  <c:v>390</c:v>
                </c:pt>
                <c:pt idx="11">
                  <c:v>268</c:v>
                </c:pt>
                <c:pt idx="12">
                  <c:v>259</c:v>
                </c:pt>
                <c:pt idx="13">
                  <c:v>224</c:v>
                </c:pt>
                <c:pt idx="14" formatCode="0">
                  <c:v>220.75615384615381</c:v>
                </c:pt>
                <c:pt idx="15" formatCode="0">
                  <c:v>151.27000000000001</c:v>
                </c:pt>
                <c:pt idx="16" formatCode="0">
                  <c:v>232.79071428571427</c:v>
                </c:pt>
                <c:pt idx="17" formatCode="0">
                  <c:v>230</c:v>
                </c:pt>
                <c:pt idx="18" formatCode="0">
                  <c:v>244</c:v>
                </c:pt>
                <c:pt idx="19" formatCode="0">
                  <c:v>222</c:v>
                </c:pt>
                <c:pt idx="20" formatCode="0">
                  <c:v>186</c:v>
                </c:pt>
              </c:numCache>
            </c:numRef>
          </c:val>
          <c:extLst>
            <c:ext xmlns:c16="http://schemas.microsoft.com/office/drawing/2014/chart" uri="{C3380CC4-5D6E-409C-BE32-E72D297353CC}">
              <c16:uniqueId val="{00000002-B513-434B-BB62-10C28A6DA438}"/>
            </c:ext>
          </c:extLst>
        </c:ser>
        <c:dLbls>
          <c:showLegendKey val="0"/>
          <c:showVal val="0"/>
          <c:showCatName val="0"/>
          <c:showSerName val="0"/>
          <c:showPercent val="0"/>
          <c:showBubbleSize val="0"/>
        </c:dLbls>
        <c:gapWidth val="150"/>
        <c:axId val="179511296"/>
        <c:axId val="179513600"/>
      </c:barChart>
      <c:catAx>
        <c:axId val="179511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Arial"/>
                <a:ea typeface="Arial"/>
                <a:cs typeface="Arial"/>
              </a:defRPr>
            </a:pPr>
            <a:endParaRPr lang="en-US"/>
          </a:p>
        </c:txPr>
        <c:crossAx val="179513600"/>
        <c:crosses val="autoZero"/>
        <c:auto val="1"/>
        <c:lblAlgn val="ctr"/>
        <c:lblOffset val="100"/>
        <c:tickLblSkip val="1"/>
        <c:tickMarkSkip val="1"/>
        <c:noMultiLvlLbl val="0"/>
      </c:catAx>
      <c:valAx>
        <c:axId val="1795136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79511296"/>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r"/>
      <c:layout>
        <c:manualLayout>
          <c:xMode val="edge"/>
          <c:yMode val="edge"/>
          <c:x val="0.69818913480885314"/>
          <c:y val="0.13989071038251366"/>
          <c:w val="0.27364185110663974"/>
          <c:h val="0.19016393442623244"/>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2011 Bear Creek Reservoir pH</a:t>
            </a:r>
          </a:p>
        </c:rich>
      </c:tx>
      <c:overlay val="0"/>
    </c:title>
    <c:autoTitleDeleted val="0"/>
    <c:plotArea>
      <c:layout>
        <c:manualLayout>
          <c:layoutTarget val="inner"/>
          <c:xMode val="edge"/>
          <c:yMode val="edge"/>
          <c:x val="7.0719362412355671E-2"/>
          <c:y val="0.18354819777963427"/>
          <c:w val="0.88952644104070056"/>
          <c:h val="0.64060986941854314"/>
        </c:manualLayout>
      </c:layout>
      <c:lineChart>
        <c:grouping val="standard"/>
        <c:varyColors val="0"/>
        <c:ser>
          <c:idx val="0"/>
          <c:order val="0"/>
          <c:tx>
            <c:strRef>
              <c:f>pH!$A$9</c:f>
              <c:strCache>
                <c:ptCount val="1"/>
                <c:pt idx="0">
                  <c:v>1/2m</c:v>
                </c:pt>
              </c:strCache>
            </c:strRef>
          </c:tx>
          <c:cat>
            <c:numRef>
              <c:f>pH!$B$4:$Q$4</c:f>
              <c:numCache>
                <c:formatCode>[$-409]d\-mmm;@</c:formatCode>
                <c:ptCount val="16"/>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40833</c:v>
                </c:pt>
                <c:pt idx="13">
                  <c:v>40840</c:v>
                </c:pt>
                <c:pt idx="14">
                  <c:v>40875</c:v>
                </c:pt>
                <c:pt idx="15">
                  <c:v>40893</c:v>
                </c:pt>
              </c:numCache>
            </c:numRef>
          </c:cat>
          <c:val>
            <c:numRef>
              <c:f>pH!$B$9:$Q$9</c:f>
              <c:numCache>
                <c:formatCode>General</c:formatCode>
                <c:ptCount val="16"/>
                <c:pt idx="0">
                  <c:v>8.52</c:v>
                </c:pt>
                <c:pt idx="1">
                  <c:v>8.34</c:v>
                </c:pt>
                <c:pt idx="2">
                  <c:v>8.15</c:v>
                </c:pt>
                <c:pt idx="3">
                  <c:v>8.41</c:v>
                </c:pt>
                <c:pt idx="4">
                  <c:v>8.61</c:v>
                </c:pt>
                <c:pt idx="5">
                  <c:v>8.84</c:v>
                </c:pt>
                <c:pt idx="6">
                  <c:v>7.98</c:v>
                </c:pt>
                <c:pt idx="7">
                  <c:v>8.1</c:v>
                </c:pt>
                <c:pt idx="8">
                  <c:v>8.17</c:v>
                </c:pt>
                <c:pt idx="9">
                  <c:v>8.7100000000000009</c:v>
                </c:pt>
                <c:pt idx="10">
                  <c:v>8.32</c:v>
                </c:pt>
                <c:pt idx="11">
                  <c:v>7.93</c:v>
                </c:pt>
                <c:pt idx="12">
                  <c:v>8.52</c:v>
                </c:pt>
                <c:pt idx="13">
                  <c:v>9.5</c:v>
                </c:pt>
                <c:pt idx="14">
                  <c:v>8.5299999999999994</c:v>
                </c:pt>
                <c:pt idx="15">
                  <c:v>8.35</c:v>
                </c:pt>
              </c:numCache>
            </c:numRef>
          </c:val>
          <c:smooth val="0"/>
          <c:extLst>
            <c:ext xmlns:c16="http://schemas.microsoft.com/office/drawing/2014/chart" uri="{C3380CC4-5D6E-409C-BE32-E72D297353CC}">
              <c16:uniqueId val="{00000000-4FA3-46FC-897E-888C3BE432DC}"/>
            </c:ext>
          </c:extLst>
        </c:ser>
        <c:ser>
          <c:idx val="2"/>
          <c:order val="1"/>
          <c:tx>
            <c:strRef>
              <c:f>pH!$A$11</c:f>
              <c:strCache>
                <c:ptCount val="1"/>
                <c:pt idx="0">
                  <c:v>1 1/2m</c:v>
                </c:pt>
              </c:strCache>
            </c:strRef>
          </c:tx>
          <c:cat>
            <c:numRef>
              <c:f>pH!$B$4:$Q$4</c:f>
              <c:numCache>
                <c:formatCode>[$-409]d\-mmm;@</c:formatCode>
                <c:ptCount val="16"/>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40833</c:v>
                </c:pt>
                <c:pt idx="13">
                  <c:v>40840</c:v>
                </c:pt>
                <c:pt idx="14">
                  <c:v>40875</c:v>
                </c:pt>
                <c:pt idx="15">
                  <c:v>40893</c:v>
                </c:pt>
              </c:numCache>
            </c:numRef>
          </c:cat>
          <c:val>
            <c:numRef>
              <c:f>pH!$B$11:$Q$11</c:f>
              <c:numCache>
                <c:formatCode>General</c:formatCode>
                <c:ptCount val="16"/>
                <c:pt idx="0">
                  <c:v>8.52</c:v>
                </c:pt>
                <c:pt idx="1">
                  <c:v>8.01</c:v>
                </c:pt>
                <c:pt idx="2">
                  <c:v>8.01</c:v>
                </c:pt>
                <c:pt idx="3">
                  <c:v>8.24</c:v>
                </c:pt>
                <c:pt idx="4">
                  <c:v>8.61</c:v>
                </c:pt>
                <c:pt idx="5">
                  <c:v>8.81</c:v>
                </c:pt>
                <c:pt idx="6">
                  <c:v>7.9</c:v>
                </c:pt>
                <c:pt idx="7">
                  <c:v>8.07</c:v>
                </c:pt>
                <c:pt idx="8">
                  <c:v>8.14</c:v>
                </c:pt>
                <c:pt idx="9">
                  <c:v>8.69</c:v>
                </c:pt>
                <c:pt idx="10">
                  <c:v>8.33</c:v>
                </c:pt>
                <c:pt idx="11">
                  <c:v>7.8</c:v>
                </c:pt>
                <c:pt idx="12">
                  <c:v>8.44</c:v>
                </c:pt>
                <c:pt idx="13">
                  <c:v>9.4499999999999993</c:v>
                </c:pt>
                <c:pt idx="14">
                  <c:v>8.15</c:v>
                </c:pt>
                <c:pt idx="15">
                  <c:v>8.2899999999999991</c:v>
                </c:pt>
              </c:numCache>
            </c:numRef>
          </c:val>
          <c:smooth val="0"/>
          <c:extLst>
            <c:ext xmlns:c16="http://schemas.microsoft.com/office/drawing/2014/chart" uri="{C3380CC4-5D6E-409C-BE32-E72D297353CC}">
              <c16:uniqueId val="{00000001-4FA3-46FC-897E-888C3BE432DC}"/>
            </c:ext>
          </c:extLst>
        </c:ser>
        <c:ser>
          <c:idx val="4"/>
          <c:order val="2"/>
          <c:tx>
            <c:strRef>
              <c:f>pH!$A$13</c:f>
              <c:strCache>
                <c:ptCount val="1"/>
                <c:pt idx="0">
                  <c:v>2 1/2m</c:v>
                </c:pt>
              </c:strCache>
            </c:strRef>
          </c:tx>
          <c:cat>
            <c:numRef>
              <c:f>pH!$B$4:$Q$4</c:f>
              <c:numCache>
                <c:formatCode>[$-409]d\-mmm;@</c:formatCode>
                <c:ptCount val="16"/>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40833</c:v>
                </c:pt>
                <c:pt idx="13">
                  <c:v>40840</c:v>
                </c:pt>
                <c:pt idx="14">
                  <c:v>40875</c:v>
                </c:pt>
                <c:pt idx="15">
                  <c:v>40893</c:v>
                </c:pt>
              </c:numCache>
            </c:numRef>
          </c:cat>
          <c:val>
            <c:numRef>
              <c:f>pH!$B$13:$Q$13</c:f>
              <c:numCache>
                <c:formatCode>General</c:formatCode>
                <c:ptCount val="16"/>
                <c:pt idx="0">
                  <c:v>8.57</c:v>
                </c:pt>
                <c:pt idx="1">
                  <c:v>7.94</c:v>
                </c:pt>
                <c:pt idx="2">
                  <c:v>8.06</c:v>
                </c:pt>
                <c:pt idx="3">
                  <c:v>8.24</c:v>
                </c:pt>
                <c:pt idx="4">
                  <c:v>8.59</c:v>
                </c:pt>
                <c:pt idx="5">
                  <c:v>8.81</c:v>
                </c:pt>
                <c:pt idx="6">
                  <c:v>7.83</c:v>
                </c:pt>
                <c:pt idx="7">
                  <c:v>8.0399999999999991</c:v>
                </c:pt>
                <c:pt idx="8">
                  <c:v>8.11</c:v>
                </c:pt>
                <c:pt idx="9">
                  <c:v>8.69</c:v>
                </c:pt>
                <c:pt idx="10">
                  <c:v>8.33</c:v>
                </c:pt>
                <c:pt idx="11">
                  <c:v>7.79</c:v>
                </c:pt>
                <c:pt idx="12">
                  <c:v>8.41</c:v>
                </c:pt>
                <c:pt idx="13">
                  <c:v>9.4</c:v>
                </c:pt>
                <c:pt idx="14">
                  <c:v>7.98</c:v>
                </c:pt>
                <c:pt idx="15">
                  <c:v>8.48</c:v>
                </c:pt>
              </c:numCache>
            </c:numRef>
          </c:val>
          <c:smooth val="0"/>
          <c:extLst>
            <c:ext xmlns:c16="http://schemas.microsoft.com/office/drawing/2014/chart" uri="{C3380CC4-5D6E-409C-BE32-E72D297353CC}">
              <c16:uniqueId val="{00000002-4FA3-46FC-897E-888C3BE432DC}"/>
            </c:ext>
          </c:extLst>
        </c:ser>
        <c:ser>
          <c:idx val="6"/>
          <c:order val="3"/>
          <c:tx>
            <c:strRef>
              <c:f>pH!$A$15</c:f>
              <c:strCache>
                <c:ptCount val="1"/>
                <c:pt idx="0">
                  <c:v>3 1/2m</c:v>
                </c:pt>
              </c:strCache>
            </c:strRef>
          </c:tx>
          <c:cat>
            <c:numRef>
              <c:f>pH!$B$4:$Q$4</c:f>
              <c:numCache>
                <c:formatCode>[$-409]d\-mmm;@</c:formatCode>
                <c:ptCount val="16"/>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40833</c:v>
                </c:pt>
                <c:pt idx="13">
                  <c:v>40840</c:v>
                </c:pt>
                <c:pt idx="14">
                  <c:v>40875</c:v>
                </c:pt>
                <c:pt idx="15">
                  <c:v>40893</c:v>
                </c:pt>
              </c:numCache>
            </c:numRef>
          </c:cat>
          <c:val>
            <c:numRef>
              <c:f>pH!$B$15:$Q$15</c:f>
              <c:numCache>
                <c:formatCode>General</c:formatCode>
                <c:ptCount val="16"/>
                <c:pt idx="0">
                  <c:v>8.4</c:v>
                </c:pt>
                <c:pt idx="1">
                  <c:v>7.81</c:v>
                </c:pt>
                <c:pt idx="2">
                  <c:v>7.99</c:v>
                </c:pt>
                <c:pt idx="3">
                  <c:v>8.2200000000000006</c:v>
                </c:pt>
                <c:pt idx="4">
                  <c:v>8.5299999999999994</c:v>
                </c:pt>
                <c:pt idx="5">
                  <c:v>8.76</c:v>
                </c:pt>
                <c:pt idx="6">
                  <c:v>7.77</c:v>
                </c:pt>
                <c:pt idx="7">
                  <c:v>7.99</c:v>
                </c:pt>
                <c:pt idx="8">
                  <c:v>8.07</c:v>
                </c:pt>
                <c:pt idx="9">
                  <c:v>8.68</c:v>
                </c:pt>
                <c:pt idx="10">
                  <c:v>8.35</c:v>
                </c:pt>
                <c:pt idx="11">
                  <c:v>7.75</c:v>
                </c:pt>
                <c:pt idx="12">
                  <c:v>8.41</c:v>
                </c:pt>
                <c:pt idx="13">
                  <c:v>9.3699999999999992</c:v>
                </c:pt>
                <c:pt idx="14">
                  <c:v>7.98</c:v>
                </c:pt>
                <c:pt idx="15">
                  <c:v>8.5299999999999994</c:v>
                </c:pt>
              </c:numCache>
            </c:numRef>
          </c:val>
          <c:smooth val="0"/>
          <c:extLst>
            <c:ext xmlns:c16="http://schemas.microsoft.com/office/drawing/2014/chart" uri="{C3380CC4-5D6E-409C-BE32-E72D297353CC}">
              <c16:uniqueId val="{00000003-4FA3-46FC-897E-888C3BE432DC}"/>
            </c:ext>
          </c:extLst>
        </c:ser>
        <c:ser>
          <c:idx val="9"/>
          <c:order val="4"/>
          <c:tx>
            <c:strRef>
              <c:f>pH!$A$17</c:f>
              <c:strCache>
                <c:ptCount val="1"/>
                <c:pt idx="0">
                  <c:v>5m</c:v>
                </c:pt>
              </c:strCache>
            </c:strRef>
          </c:tx>
          <c:cat>
            <c:numRef>
              <c:f>pH!$B$4:$Q$4</c:f>
              <c:numCache>
                <c:formatCode>[$-409]d\-mmm;@</c:formatCode>
                <c:ptCount val="16"/>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40833</c:v>
                </c:pt>
                <c:pt idx="13">
                  <c:v>40840</c:v>
                </c:pt>
                <c:pt idx="14">
                  <c:v>40875</c:v>
                </c:pt>
                <c:pt idx="15">
                  <c:v>40893</c:v>
                </c:pt>
              </c:numCache>
            </c:numRef>
          </c:cat>
          <c:val>
            <c:numRef>
              <c:f>pH!$B$17:$Q$17</c:f>
              <c:numCache>
                <c:formatCode>General</c:formatCode>
                <c:ptCount val="16"/>
                <c:pt idx="0">
                  <c:v>8.27</c:v>
                </c:pt>
                <c:pt idx="1">
                  <c:v>7.66</c:v>
                </c:pt>
                <c:pt idx="2">
                  <c:v>8</c:v>
                </c:pt>
                <c:pt idx="3">
                  <c:v>8.2200000000000006</c:v>
                </c:pt>
                <c:pt idx="4">
                  <c:v>8.15</c:v>
                </c:pt>
                <c:pt idx="5">
                  <c:v>8.61</c:v>
                </c:pt>
                <c:pt idx="6">
                  <c:v>7.62</c:v>
                </c:pt>
                <c:pt idx="7">
                  <c:v>7.94</c:v>
                </c:pt>
                <c:pt idx="8">
                  <c:v>8.01</c:v>
                </c:pt>
                <c:pt idx="9">
                  <c:v>8.67</c:v>
                </c:pt>
                <c:pt idx="10">
                  <c:v>8.3699999999999992</c:v>
                </c:pt>
                <c:pt idx="11">
                  <c:v>7.74</c:v>
                </c:pt>
                <c:pt idx="12">
                  <c:v>8.4499999999999993</c:v>
                </c:pt>
                <c:pt idx="13">
                  <c:v>9.33</c:v>
                </c:pt>
                <c:pt idx="14">
                  <c:v>7.97</c:v>
                </c:pt>
                <c:pt idx="15">
                  <c:v>8.23</c:v>
                </c:pt>
              </c:numCache>
            </c:numRef>
          </c:val>
          <c:smooth val="0"/>
          <c:extLst>
            <c:ext xmlns:c16="http://schemas.microsoft.com/office/drawing/2014/chart" uri="{C3380CC4-5D6E-409C-BE32-E72D297353CC}">
              <c16:uniqueId val="{00000004-4FA3-46FC-897E-888C3BE432DC}"/>
            </c:ext>
          </c:extLst>
        </c:ser>
        <c:dLbls>
          <c:showLegendKey val="0"/>
          <c:showVal val="0"/>
          <c:showCatName val="0"/>
          <c:showSerName val="0"/>
          <c:showPercent val="0"/>
          <c:showBubbleSize val="0"/>
        </c:dLbls>
        <c:marker val="1"/>
        <c:smooth val="0"/>
        <c:axId val="134022656"/>
        <c:axId val="134024192"/>
      </c:lineChart>
      <c:dateAx>
        <c:axId val="134022656"/>
        <c:scaling>
          <c:orientation val="minMax"/>
        </c:scaling>
        <c:delete val="0"/>
        <c:axPos val="b"/>
        <c:numFmt formatCode="[$-409]d\-mmm;@" sourceLinked="1"/>
        <c:majorTickMark val="out"/>
        <c:minorTickMark val="none"/>
        <c:tickLblPos val="nextTo"/>
        <c:txPr>
          <a:bodyPr/>
          <a:lstStyle/>
          <a:p>
            <a:pPr>
              <a:defRPr sz="1000"/>
            </a:pPr>
            <a:endParaRPr lang="en-US"/>
          </a:p>
        </c:txPr>
        <c:crossAx val="134024192"/>
        <c:crosses val="autoZero"/>
        <c:auto val="1"/>
        <c:lblOffset val="100"/>
        <c:baseTimeUnit val="days"/>
      </c:dateAx>
      <c:valAx>
        <c:axId val="134024192"/>
        <c:scaling>
          <c:orientation val="minMax"/>
          <c:max val="9.5"/>
          <c:min val="6.5"/>
        </c:scaling>
        <c:delete val="0"/>
        <c:axPos val="l"/>
        <c:majorGridlines/>
        <c:minorGridlines/>
        <c:numFmt formatCode="General" sourceLinked="1"/>
        <c:majorTickMark val="out"/>
        <c:minorTickMark val="none"/>
        <c:tickLblPos val="nextTo"/>
        <c:crossAx val="134022656"/>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lotArea>
    <c:legend>
      <c:legendPos val="t"/>
      <c:layout>
        <c:manualLayout>
          <c:xMode val="edge"/>
          <c:yMode val="edge"/>
          <c:x val="0.10857492554363836"/>
          <c:y val="9.3090184379126528E-2"/>
          <c:w val="0.78285014891271099"/>
          <c:h val="5.9877196641810522E-2"/>
        </c:manualLayout>
      </c:layout>
      <c:overlay val="0"/>
      <c:spPr>
        <a:ln w="25400" cap="sq" cmpd="sng">
          <a:solidFill>
            <a:srgbClr val="000000"/>
          </a:solidFill>
          <a:prstDash val="solid"/>
          <a:round/>
        </a:ln>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mn-lt"/>
                <a:ea typeface="Arial Black"/>
                <a:cs typeface="Arial Black"/>
              </a:defRPr>
            </a:pPr>
            <a:r>
              <a:rPr lang="en-US" sz="1600">
                <a:latin typeface="+mn-lt"/>
              </a:rPr>
              <a:t>2011 Reservoir Dissolved Oxygen Trends</a:t>
            </a:r>
          </a:p>
        </c:rich>
      </c:tx>
      <c:layout>
        <c:manualLayout>
          <c:xMode val="edge"/>
          <c:yMode val="edge"/>
          <c:x val="0.41865459014155032"/>
          <c:y val="3.2760885687465817E-2"/>
        </c:manualLayout>
      </c:layout>
      <c:overlay val="0"/>
      <c:spPr>
        <a:noFill/>
        <a:ln w="25400">
          <a:noFill/>
        </a:ln>
      </c:spPr>
    </c:title>
    <c:autoTitleDeleted val="0"/>
    <c:plotArea>
      <c:layout>
        <c:manualLayout>
          <c:layoutTarget val="inner"/>
          <c:xMode val="edge"/>
          <c:yMode val="edge"/>
          <c:x val="9.5389917727394982E-2"/>
          <c:y val="0.14479678982435704"/>
          <c:w val="0.88133087334983395"/>
          <c:h val="0.69638098122350089"/>
        </c:manualLayout>
      </c:layout>
      <c:lineChart>
        <c:grouping val="standard"/>
        <c:varyColors val="0"/>
        <c:ser>
          <c:idx val="0"/>
          <c:order val="0"/>
          <c:tx>
            <c:strRef>
              <c:f>Oxygen!$A$10</c:f>
              <c:strCache>
                <c:ptCount val="1"/>
                <c:pt idx="0">
                  <c:v>1/2m</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Oxygen!$B$5:$Q$5</c:f>
              <c:numCache>
                <c:formatCode>[$-409]d\-mmm;@</c:formatCode>
                <c:ptCount val="16"/>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40833</c:v>
                </c:pt>
                <c:pt idx="13">
                  <c:v>40840</c:v>
                </c:pt>
                <c:pt idx="14">
                  <c:v>40875</c:v>
                </c:pt>
                <c:pt idx="15">
                  <c:v>40893</c:v>
                </c:pt>
              </c:numCache>
            </c:numRef>
          </c:cat>
          <c:val>
            <c:numRef>
              <c:f>Oxygen!$B$10:$Q$10</c:f>
              <c:numCache>
                <c:formatCode>General</c:formatCode>
                <c:ptCount val="16"/>
                <c:pt idx="0">
                  <c:v>11.37</c:v>
                </c:pt>
                <c:pt idx="1">
                  <c:v>8.75</c:v>
                </c:pt>
                <c:pt idx="2">
                  <c:v>8.36</c:v>
                </c:pt>
                <c:pt idx="3">
                  <c:v>10.02</c:v>
                </c:pt>
                <c:pt idx="4">
                  <c:v>8.9</c:v>
                </c:pt>
                <c:pt idx="5">
                  <c:v>8.11</c:v>
                </c:pt>
                <c:pt idx="6">
                  <c:v>6.03</c:v>
                </c:pt>
                <c:pt idx="7">
                  <c:v>6.19</c:v>
                </c:pt>
                <c:pt idx="8">
                  <c:v>6.64</c:v>
                </c:pt>
                <c:pt idx="9">
                  <c:v>7.35</c:v>
                </c:pt>
                <c:pt idx="10">
                  <c:v>7.46</c:v>
                </c:pt>
                <c:pt idx="11">
                  <c:v>7.02</c:v>
                </c:pt>
                <c:pt idx="12">
                  <c:v>9.61</c:v>
                </c:pt>
                <c:pt idx="13">
                  <c:v>11.29</c:v>
                </c:pt>
                <c:pt idx="14">
                  <c:v>9.64</c:v>
                </c:pt>
                <c:pt idx="15">
                  <c:v>11.39</c:v>
                </c:pt>
              </c:numCache>
            </c:numRef>
          </c:val>
          <c:smooth val="0"/>
          <c:extLst>
            <c:ext xmlns:c16="http://schemas.microsoft.com/office/drawing/2014/chart" uri="{C3380CC4-5D6E-409C-BE32-E72D297353CC}">
              <c16:uniqueId val="{00000000-AC1C-431E-916E-A33F9083096B}"/>
            </c:ext>
          </c:extLst>
        </c:ser>
        <c:ser>
          <c:idx val="2"/>
          <c:order val="1"/>
          <c:tx>
            <c:strRef>
              <c:f>Oxygen!$A$13</c:f>
              <c:strCache>
                <c:ptCount val="1"/>
                <c:pt idx="0">
                  <c:v>2m</c:v>
                </c:pt>
              </c:strCache>
            </c:strRef>
          </c:tx>
          <c:spPr>
            <a:ln w="25400">
              <a:solidFill>
                <a:srgbClr val="FF0000"/>
              </a:solidFill>
              <a:prstDash val="solid"/>
            </a:ln>
          </c:spPr>
          <c:marker>
            <c:symbol val="triangle"/>
            <c:size val="7"/>
            <c:spPr>
              <a:solidFill>
                <a:srgbClr val="FF0000"/>
              </a:solidFill>
              <a:ln>
                <a:solidFill>
                  <a:srgbClr val="FF0000"/>
                </a:solidFill>
                <a:prstDash val="solid"/>
              </a:ln>
            </c:spPr>
          </c:marker>
          <c:cat>
            <c:numRef>
              <c:f>Oxygen!$B$5:$Q$5</c:f>
              <c:numCache>
                <c:formatCode>[$-409]d\-mmm;@</c:formatCode>
                <c:ptCount val="16"/>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40833</c:v>
                </c:pt>
                <c:pt idx="13">
                  <c:v>40840</c:v>
                </c:pt>
                <c:pt idx="14">
                  <c:v>40875</c:v>
                </c:pt>
                <c:pt idx="15">
                  <c:v>40893</c:v>
                </c:pt>
              </c:numCache>
            </c:numRef>
          </c:cat>
          <c:val>
            <c:numRef>
              <c:f>Oxygen!$B$13:$Q$13</c:f>
              <c:numCache>
                <c:formatCode>General</c:formatCode>
                <c:ptCount val="16"/>
                <c:pt idx="0">
                  <c:v>12.1</c:v>
                </c:pt>
                <c:pt idx="1">
                  <c:v>9.07</c:v>
                </c:pt>
                <c:pt idx="2">
                  <c:v>9.42</c:v>
                </c:pt>
                <c:pt idx="3">
                  <c:v>10.24</c:v>
                </c:pt>
                <c:pt idx="4">
                  <c:v>8.92</c:v>
                </c:pt>
                <c:pt idx="5">
                  <c:v>8.06</c:v>
                </c:pt>
                <c:pt idx="6">
                  <c:v>5.51</c:v>
                </c:pt>
                <c:pt idx="7">
                  <c:v>5.77</c:v>
                </c:pt>
                <c:pt idx="8">
                  <c:v>6.34</c:v>
                </c:pt>
                <c:pt idx="9">
                  <c:v>7.47</c:v>
                </c:pt>
                <c:pt idx="10">
                  <c:v>7.1</c:v>
                </c:pt>
                <c:pt idx="11">
                  <c:v>6.79</c:v>
                </c:pt>
                <c:pt idx="12">
                  <c:v>9.1199999999999992</c:v>
                </c:pt>
                <c:pt idx="13">
                  <c:v>10.91</c:v>
                </c:pt>
                <c:pt idx="14">
                  <c:v>9.18</c:v>
                </c:pt>
                <c:pt idx="15">
                  <c:v>11.58</c:v>
                </c:pt>
              </c:numCache>
            </c:numRef>
          </c:val>
          <c:smooth val="0"/>
          <c:extLst>
            <c:ext xmlns:c16="http://schemas.microsoft.com/office/drawing/2014/chart" uri="{C3380CC4-5D6E-409C-BE32-E72D297353CC}">
              <c16:uniqueId val="{00000001-AC1C-431E-916E-A33F9083096B}"/>
            </c:ext>
          </c:extLst>
        </c:ser>
        <c:ser>
          <c:idx val="1"/>
          <c:order val="2"/>
          <c:tx>
            <c:strRef>
              <c:f>Oxygen!$A$23</c:f>
              <c:strCache>
                <c:ptCount val="1"/>
                <c:pt idx="0">
                  <c:v>10m</c:v>
                </c:pt>
              </c:strCache>
            </c:strRef>
          </c:tx>
          <c:val>
            <c:numRef>
              <c:f>Oxygen!$B$23:$Q$23</c:f>
              <c:numCache>
                <c:formatCode>0.00</c:formatCode>
                <c:ptCount val="16"/>
                <c:pt idx="0">
                  <c:v>5.7</c:v>
                </c:pt>
                <c:pt idx="1">
                  <c:v>4.6500000000000004</c:v>
                </c:pt>
                <c:pt idx="2">
                  <c:v>10.15</c:v>
                </c:pt>
                <c:pt idx="3">
                  <c:v>9.6199999999999992</c:v>
                </c:pt>
                <c:pt idx="4">
                  <c:v>4.3499999999999996</c:v>
                </c:pt>
                <c:pt idx="5">
                  <c:v>5.91</c:v>
                </c:pt>
                <c:pt idx="6">
                  <c:v>3.02</c:v>
                </c:pt>
                <c:pt idx="7">
                  <c:v>3.29</c:v>
                </c:pt>
                <c:pt idx="8" formatCode="General">
                  <c:v>5.67</c:v>
                </c:pt>
                <c:pt idx="9">
                  <c:v>6.24</c:v>
                </c:pt>
                <c:pt idx="10">
                  <c:v>6.23</c:v>
                </c:pt>
                <c:pt idx="11">
                  <c:v>6.32</c:v>
                </c:pt>
                <c:pt idx="12">
                  <c:v>7.41</c:v>
                </c:pt>
                <c:pt idx="13">
                  <c:v>6.31</c:v>
                </c:pt>
                <c:pt idx="14">
                  <c:v>8.8000000000000007</c:v>
                </c:pt>
                <c:pt idx="15">
                  <c:v>4.3499999999999996</c:v>
                </c:pt>
              </c:numCache>
            </c:numRef>
          </c:val>
          <c:smooth val="0"/>
          <c:extLst>
            <c:ext xmlns:c16="http://schemas.microsoft.com/office/drawing/2014/chart" uri="{C3380CC4-5D6E-409C-BE32-E72D297353CC}">
              <c16:uniqueId val="{00000002-AC1C-431E-916E-A33F9083096B}"/>
            </c:ext>
          </c:extLst>
        </c:ser>
        <c:dLbls>
          <c:showLegendKey val="0"/>
          <c:showVal val="0"/>
          <c:showCatName val="0"/>
          <c:showSerName val="0"/>
          <c:showPercent val="0"/>
          <c:showBubbleSize val="0"/>
        </c:dLbls>
        <c:marker val="1"/>
        <c:smooth val="0"/>
        <c:axId val="134198016"/>
        <c:axId val="134199552"/>
      </c:lineChart>
      <c:dateAx>
        <c:axId val="134198016"/>
        <c:scaling>
          <c:orientation val="minMax"/>
        </c:scaling>
        <c:delete val="0"/>
        <c:axPos val="b"/>
        <c:numFmt formatCode="[$-409]d\-mmm;@"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Black"/>
                <a:ea typeface="Arial Black"/>
                <a:cs typeface="Arial Black"/>
              </a:defRPr>
            </a:pPr>
            <a:endParaRPr lang="en-US"/>
          </a:p>
        </c:txPr>
        <c:crossAx val="134199552"/>
        <c:crosses val="autoZero"/>
        <c:auto val="1"/>
        <c:lblOffset val="100"/>
        <c:baseTimeUnit val="days"/>
        <c:majorUnit val="30"/>
        <c:majorTimeUnit val="days"/>
        <c:minorUnit val="7"/>
        <c:minorTimeUnit val="days"/>
      </c:dateAx>
      <c:valAx>
        <c:axId val="134199552"/>
        <c:scaling>
          <c:orientation val="minMax"/>
        </c:scaling>
        <c:delete val="0"/>
        <c:axPos val="l"/>
        <c:majorGridlines>
          <c:spPr>
            <a:ln w="3175">
              <a:solidFill>
                <a:srgbClr val="000000"/>
              </a:solidFill>
              <a:prstDash val="solid"/>
            </a:ln>
          </c:spPr>
        </c:majorGridlines>
        <c:minorGridlines/>
        <c:title>
          <c:tx>
            <c:rich>
              <a:bodyPr/>
              <a:lstStyle/>
              <a:p>
                <a:pPr>
                  <a:defRPr sz="1100" b="1" i="0" u="none" strike="noStrike" baseline="0">
                    <a:solidFill>
                      <a:srgbClr val="000000"/>
                    </a:solidFill>
                    <a:latin typeface="Arial"/>
                    <a:ea typeface="Arial"/>
                    <a:cs typeface="Arial"/>
                  </a:defRPr>
                </a:pPr>
                <a:r>
                  <a:rPr lang="en-US" sz="1100"/>
                  <a:t>DO mg/l</a:t>
                </a:r>
              </a:p>
            </c:rich>
          </c:tx>
          <c:layout>
            <c:manualLayout>
              <c:xMode val="edge"/>
              <c:yMode val="edge"/>
              <c:x val="2.0834563061591552E-2"/>
              <c:y val="0.409955534969906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Black"/>
                <a:ea typeface="Arial Black"/>
                <a:cs typeface="Arial Black"/>
              </a:defRPr>
            </a:pPr>
            <a:endParaRPr lang="en-US"/>
          </a:p>
        </c:txPr>
        <c:crossAx val="134198016"/>
        <c:crosses val="autoZero"/>
        <c:crossBetween val="between"/>
        <c:majorUnit val="1"/>
        <c:minorUnit val="0.5"/>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r"/>
      <c:layout>
        <c:manualLayout>
          <c:xMode val="edge"/>
          <c:yMode val="edge"/>
          <c:x val="0.32903026717036166"/>
          <c:y val="0.15397023852029615"/>
          <c:w val="0.42204751880938562"/>
          <c:h val="7.8733683758702502E-2"/>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25400">
          <a:solidFill>
            <a:schemeClr val="tx1"/>
          </a:solid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sz="1200"/>
              <a:t>2011 Total Phosphorus Bear Creek Watershed</a:t>
            </a:r>
          </a:p>
        </c:rich>
      </c:tx>
      <c:layout>
        <c:manualLayout>
          <c:xMode val="edge"/>
          <c:yMode val="edge"/>
          <c:x val="0.318889234905881"/>
          <c:y val="3.4582132564841515E-2"/>
        </c:manualLayout>
      </c:layout>
      <c:overlay val="0"/>
      <c:spPr>
        <a:noFill/>
        <a:ln w="25400">
          <a:noFill/>
        </a:ln>
      </c:spPr>
    </c:title>
    <c:autoTitleDeleted val="0"/>
    <c:plotArea>
      <c:layout>
        <c:manualLayout>
          <c:layoutTarget val="inner"/>
          <c:xMode val="edge"/>
          <c:yMode val="edge"/>
          <c:x val="7.4098202075747133E-2"/>
          <c:y val="0.17547606730550772"/>
          <c:w val="0.87901499203293831"/>
          <c:h val="0.6547519296714267"/>
        </c:manualLayout>
      </c:layout>
      <c:lineChart>
        <c:grouping val="standard"/>
        <c:varyColors val="0"/>
        <c:ser>
          <c:idx val="0"/>
          <c:order val="0"/>
          <c:tx>
            <c:strRef>
              <c:f>'T &amp; Diss Phosphorus'!$A$17</c:f>
              <c:strCache>
                <c:ptCount val="1"/>
                <c:pt idx="0">
                  <c:v>Reservoir Discharge</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'T &amp; Diss Phosphorus'!$B$14:$M$14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 &amp; Diss Phosphorus'!$B$17:$M$17</c:f>
              <c:numCache>
                <c:formatCode>0.0</c:formatCode>
                <c:ptCount val="12"/>
                <c:pt idx="0">
                  <c:v>32</c:v>
                </c:pt>
                <c:pt idx="1">
                  <c:v>24</c:v>
                </c:pt>
                <c:pt idx="2">
                  <c:v>20</c:v>
                </c:pt>
                <c:pt idx="3">
                  <c:v>23</c:v>
                </c:pt>
                <c:pt idx="4">
                  <c:v>30</c:v>
                </c:pt>
                <c:pt idx="5">
                  <c:v>89</c:v>
                </c:pt>
                <c:pt idx="6">
                  <c:v>35</c:v>
                </c:pt>
                <c:pt idx="7">
                  <c:v>50</c:v>
                </c:pt>
                <c:pt idx="8">
                  <c:v>61.5</c:v>
                </c:pt>
                <c:pt idx="9">
                  <c:v>24</c:v>
                </c:pt>
                <c:pt idx="10">
                  <c:v>45</c:v>
                </c:pt>
                <c:pt idx="11">
                  <c:v>12</c:v>
                </c:pt>
              </c:numCache>
            </c:numRef>
          </c:val>
          <c:smooth val="0"/>
          <c:extLst>
            <c:ext xmlns:c16="http://schemas.microsoft.com/office/drawing/2014/chart" uri="{C3380CC4-5D6E-409C-BE32-E72D297353CC}">
              <c16:uniqueId val="{00000000-2B97-4FE2-AFBD-B4EB667BD2D3}"/>
            </c:ext>
          </c:extLst>
        </c:ser>
        <c:ser>
          <c:idx val="2"/>
          <c:order val="1"/>
          <c:tx>
            <c:strRef>
              <c:f>'T &amp; Diss Phosphorus'!$A$15</c:f>
              <c:strCache>
                <c:ptCount val="1"/>
                <c:pt idx="0">
                  <c:v>Turkey Creek Inflow</c:v>
                </c:pt>
              </c:strCache>
            </c:strRef>
          </c:tx>
          <c:cat>
            <c:strRef>
              <c:f>'T &amp; Diss Phosphorus'!$B$14:$M$14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 &amp; Diss Phosphorus'!$B$15:$M$15</c:f>
              <c:numCache>
                <c:formatCode>0.0</c:formatCode>
                <c:ptCount val="12"/>
                <c:pt idx="0">
                  <c:v>2</c:v>
                </c:pt>
                <c:pt idx="1">
                  <c:v>23</c:v>
                </c:pt>
                <c:pt idx="2">
                  <c:v>15</c:v>
                </c:pt>
                <c:pt idx="3">
                  <c:v>8</c:v>
                </c:pt>
                <c:pt idx="4">
                  <c:v>7</c:v>
                </c:pt>
                <c:pt idx="5">
                  <c:v>27</c:v>
                </c:pt>
                <c:pt idx="6">
                  <c:v>26.5</c:v>
                </c:pt>
                <c:pt idx="7">
                  <c:v>14</c:v>
                </c:pt>
                <c:pt idx="8">
                  <c:v>5.5</c:v>
                </c:pt>
                <c:pt idx="9">
                  <c:v>8</c:v>
                </c:pt>
                <c:pt idx="10">
                  <c:v>4</c:v>
                </c:pt>
                <c:pt idx="11">
                  <c:v>2</c:v>
                </c:pt>
              </c:numCache>
            </c:numRef>
          </c:val>
          <c:smooth val="0"/>
          <c:extLst>
            <c:ext xmlns:c16="http://schemas.microsoft.com/office/drawing/2014/chart" uri="{C3380CC4-5D6E-409C-BE32-E72D297353CC}">
              <c16:uniqueId val="{00000001-2B97-4FE2-AFBD-B4EB667BD2D3}"/>
            </c:ext>
          </c:extLst>
        </c:ser>
        <c:ser>
          <c:idx val="3"/>
          <c:order val="2"/>
          <c:tx>
            <c:strRef>
              <c:f>'T &amp; Diss Phosphorus'!$A$16</c:f>
              <c:strCache>
                <c:ptCount val="1"/>
                <c:pt idx="0">
                  <c:v>Bear Creek Inflow</c:v>
                </c:pt>
              </c:strCache>
            </c:strRef>
          </c:tx>
          <c:cat>
            <c:strRef>
              <c:f>'T &amp; Diss Phosphorus'!$B$14:$M$14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 &amp; Diss Phosphorus'!$B$16:$M$16</c:f>
              <c:numCache>
                <c:formatCode>0.0</c:formatCode>
                <c:ptCount val="12"/>
                <c:pt idx="0">
                  <c:v>38</c:v>
                </c:pt>
                <c:pt idx="1">
                  <c:v>29</c:v>
                </c:pt>
                <c:pt idx="2">
                  <c:v>37</c:v>
                </c:pt>
                <c:pt idx="3">
                  <c:v>31</c:v>
                </c:pt>
                <c:pt idx="4">
                  <c:v>60</c:v>
                </c:pt>
                <c:pt idx="5">
                  <c:v>49</c:v>
                </c:pt>
                <c:pt idx="6">
                  <c:v>22.5</c:v>
                </c:pt>
                <c:pt idx="7">
                  <c:v>35.5</c:v>
                </c:pt>
                <c:pt idx="8">
                  <c:v>75</c:v>
                </c:pt>
                <c:pt idx="9">
                  <c:v>15</c:v>
                </c:pt>
                <c:pt idx="10">
                  <c:v>18</c:v>
                </c:pt>
                <c:pt idx="11">
                  <c:v>11</c:v>
                </c:pt>
              </c:numCache>
            </c:numRef>
          </c:val>
          <c:smooth val="0"/>
          <c:extLst>
            <c:ext xmlns:c16="http://schemas.microsoft.com/office/drawing/2014/chart" uri="{C3380CC4-5D6E-409C-BE32-E72D297353CC}">
              <c16:uniqueId val="{00000002-2B97-4FE2-AFBD-B4EB667BD2D3}"/>
            </c:ext>
          </c:extLst>
        </c:ser>
        <c:ser>
          <c:idx val="1"/>
          <c:order val="3"/>
          <c:tx>
            <c:strRef>
              <c:f>'T &amp; Diss Phosphorus'!$A$18</c:f>
              <c:strCache>
                <c:ptCount val="1"/>
                <c:pt idx="0">
                  <c:v>Reservoir - Top</c:v>
                </c:pt>
              </c:strCache>
            </c:strRef>
          </c:tx>
          <c:val>
            <c:numRef>
              <c:f>'T &amp; Diss Phosphorus'!$B$18:$M$18</c:f>
              <c:numCache>
                <c:formatCode>0.0</c:formatCode>
                <c:ptCount val="12"/>
                <c:pt idx="0">
                  <c:v>23</c:v>
                </c:pt>
                <c:pt idx="1">
                  <c:v>16</c:v>
                </c:pt>
                <c:pt idx="2">
                  <c:v>19</c:v>
                </c:pt>
                <c:pt idx="3">
                  <c:v>26</c:v>
                </c:pt>
                <c:pt idx="4">
                  <c:v>5</c:v>
                </c:pt>
                <c:pt idx="5">
                  <c:v>25</c:v>
                </c:pt>
                <c:pt idx="6">
                  <c:v>43</c:v>
                </c:pt>
                <c:pt idx="7">
                  <c:v>45</c:v>
                </c:pt>
                <c:pt idx="8">
                  <c:v>73.5</c:v>
                </c:pt>
                <c:pt idx="9">
                  <c:v>35</c:v>
                </c:pt>
                <c:pt idx="10">
                  <c:v>22</c:v>
                </c:pt>
                <c:pt idx="11">
                  <c:v>11</c:v>
                </c:pt>
              </c:numCache>
            </c:numRef>
          </c:val>
          <c:smooth val="0"/>
          <c:extLst>
            <c:ext xmlns:c16="http://schemas.microsoft.com/office/drawing/2014/chart" uri="{C3380CC4-5D6E-409C-BE32-E72D297353CC}">
              <c16:uniqueId val="{00000003-2B97-4FE2-AFBD-B4EB667BD2D3}"/>
            </c:ext>
          </c:extLst>
        </c:ser>
        <c:dLbls>
          <c:showLegendKey val="0"/>
          <c:showVal val="0"/>
          <c:showCatName val="0"/>
          <c:showSerName val="0"/>
          <c:showPercent val="0"/>
          <c:showBubbleSize val="0"/>
        </c:dLbls>
        <c:marker val="1"/>
        <c:smooth val="0"/>
        <c:axId val="134337664"/>
        <c:axId val="134339200"/>
      </c:lineChart>
      <c:catAx>
        <c:axId val="134337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134339200"/>
        <c:crosses val="autoZero"/>
        <c:auto val="1"/>
        <c:lblAlgn val="ctr"/>
        <c:lblOffset val="100"/>
        <c:tickLblSkip val="1"/>
        <c:tickMarkSkip val="1"/>
        <c:noMultiLvlLbl val="0"/>
      </c:catAx>
      <c:valAx>
        <c:axId val="134339200"/>
        <c:scaling>
          <c:orientation val="minMax"/>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a:t>Total Phosphorus ug/l</a:t>
                </a:r>
              </a:p>
            </c:rich>
          </c:tx>
          <c:layout>
            <c:manualLayout>
              <c:xMode val="edge"/>
              <c:yMode val="edge"/>
              <c:x val="1.0051089611585925E-2"/>
              <c:y val="0.24238580445422594"/>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50" b="1" i="0" u="none" strike="noStrike" baseline="0">
                <a:solidFill>
                  <a:srgbClr val="000000"/>
                </a:solidFill>
                <a:latin typeface="Arial"/>
                <a:ea typeface="Arial"/>
                <a:cs typeface="Arial"/>
              </a:defRPr>
            </a:pPr>
            <a:endParaRPr lang="en-US"/>
          </a:p>
        </c:txPr>
        <c:crossAx val="134337664"/>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r"/>
      <c:layout>
        <c:manualLayout>
          <c:xMode val="edge"/>
          <c:yMode val="edge"/>
          <c:x val="0.10629253231948327"/>
          <c:y val="4.5664639570567392E-2"/>
          <c:w val="0.15454819530812808"/>
          <c:h val="0.25451459979480939"/>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pPr>
            <a:r>
              <a:rPr lang="en-US" sz="1200" b="1"/>
              <a:t>2011 Bear Creek Reservoir Total Phosphorus Trends</a:t>
            </a:r>
          </a:p>
        </c:rich>
      </c:tx>
      <c:overlay val="0"/>
    </c:title>
    <c:autoTitleDeleted val="0"/>
    <c:plotArea>
      <c:layout>
        <c:manualLayout>
          <c:layoutTarget val="inner"/>
          <c:xMode val="edge"/>
          <c:yMode val="edge"/>
          <c:x val="5.5961137043247934E-2"/>
          <c:y val="0.24084965340870854"/>
          <c:w val="0.91975752799204058"/>
          <c:h val="0.64510061242350614"/>
        </c:manualLayout>
      </c:layout>
      <c:lineChart>
        <c:grouping val="standard"/>
        <c:varyColors val="0"/>
        <c:ser>
          <c:idx val="2"/>
          <c:order val="0"/>
          <c:tx>
            <c:strRef>
              <c:f>'T &amp; Diss Phosphorus'!$A$18</c:f>
              <c:strCache>
                <c:ptCount val="1"/>
                <c:pt idx="0">
                  <c:v>Reservoir - Top</c:v>
                </c:pt>
              </c:strCache>
            </c:strRef>
          </c:tx>
          <c:spPr>
            <a:ln w="38100"/>
          </c:spPr>
          <c:cat>
            <c:strRef>
              <c:f>'T &amp; Diss Phosphorus'!$B$14:$M$14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 &amp; Diss Phosphorus'!$B$18:$M$18</c:f>
              <c:numCache>
                <c:formatCode>0.0</c:formatCode>
                <c:ptCount val="12"/>
                <c:pt idx="0">
                  <c:v>23</c:v>
                </c:pt>
                <c:pt idx="1">
                  <c:v>16</c:v>
                </c:pt>
                <c:pt idx="2">
                  <c:v>19</c:v>
                </c:pt>
                <c:pt idx="3">
                  <c:v>26</c:v>
                </c:pt>
                <c:pt idx="4">
                  <c:v>5</c:v>
                </c:pt>
                <c:pt idx="5">
                  <c:v>25</c:v>
                </c:pt>
                <c:pt idx="6">
                  <c:v>43</c:v>
                </c:pt>
                <c:pt idx="7">
                  <c:v>45</c:v>
                </c:pt>
                <c:pt idx="8">
                  <c:v>73.5</c:v>
                </c:pt>
                <c:pt idx="9">
                  <c:v>35</c:v>
                </c:pt>
                <c:pt idx="10">
                  <c:v>22</c:v>
                </c:pt>
                <c:pt idx="11">
                  <c:v>11</c:v>
                </c:pt>
              </c:numCache>
            </c:numRef>
          </c:val>
          <c:smooth val="0"/>
          <c:extLst>
            <c:ext xmlns:c16="http://schemas.microsoft.com/office/drawing/2014/chart" uri="{C3380CC4-5D6E-409C-BE32-E72D297353CC}">
              <c16:uniqueId val="{00000000-27AF-4BCD-97E7-678E71864748}"/>
            </c:ext>
          </c:extLst>
        </c:ser>
        <c:ser>
          <c:idx val="3"/>
          <c:order val="1"/>
          <c:tx>
            <c:strRef>
              <c:f>'T &amp; Diss Phosphorus'!$A$19</c:f>
              <c:strCache>
                <c:ptCount val="1"/>
                <c:pt idx="0">
                  <c:v>Reservoir - Lower</c:v>
                </c:pt>
              </c:strCache>
            </c:strRef>
          </c:tx>
          <c:spPr>
            <a:ln w="38100"/>
          </c:spPr>
          <c:cat>
            <c:strRef>
              <c:f>'T &amp; Diss Phosphorus'!$B$14:$M$14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 &amp; Diss Phosphorus'!$B$19:$M$19</c:f>
              <c:numCache>
                <c:formatCode>0.0</c:formatCode>
                <c:ptCount val="12"/>
                <c:pt idx="0">
                  <c:v>21</c:v>
                </c:pt>
                <c:pt idx="1">
                  <c:v>102</c:v>
                </c:pt>
                <c:pt idx="2">
                  <c:v>21</c:v>
                </c:pt>
                <c:pt idx="3">
                  <c:v>25</c:v>
                </c:pt>
                <c:pt idx="4">
                  <c:v>36</c:v>
                </c:pt>
                <c:pt idx="5">
                  <c:v>43</c:v>
                </c:pt>
                <c:pt idx="6">
                  <c:v>66</c:v>
                </c:pt>
                <c:pt idx="7">
                  <c:v>45</c:v>
                </c:pt>
                <c:pt idx="8">
                  <c:v>58.5</c:v>
                </c:pt>
                <c:pt idx="9">
                  <c:v>89</c:v>
                </c:pt>
                <c:pt idx="10">
                  <c:v>23</c:v>
                </c:pt>
                <c:pt idx="11">
                  <c:v>19</c:v>
                </c:pt>
              </c:numCache>
            </c:numRef>
          </c:val>
          <c:smooth val="0"/>
          <c:extLst>
            <c:ext xmlns:c16="http://schemas.microsoft.com/office/drawing/2014/chart" uri="{C3380CC4-5D6E-409C-BE32-E72D297353CC}">
              <c16:uniqueId val="{00000001-27AF-4BCD-97E7-678E71864748}"/>
            </c:ext>
          </c:extLst>
        </c:ser>
        <c:ser>
          <c:idx val="0"/>
          <c:order val="2"/>
          <c:tx>
            <c:strRef>
              <c:f>'T &amp; Diss Phosphorus'!$A$17</c:f>
              <c:strCache>
                <c:ptCount val="1"/>
                <c:pt idx="0">
                  <c:v>Reservoir Discharge</c:v>
                </c:pt>
              </c:strCache>
            </c:strRef>
          </c:tx>
          <c:cat>
            <c:strRef>
              <c:f>'T &amp; Diss Phosphorus'!$B$14:$M$14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 &amp; Diss Phosphorus'!$B$17:$M$17</c:f>
              <c:numCache>
                <c:formatCode>0.0</c:formatCode>
                <c:ptCount val="12"/>
                <c:pt idx="0">
                  <c:v>32</c:v>
                </c:pt>
                <c:pt idx="1">
                  <c:v>24</c:v>
                </c:pt>
                <c:pt idx="2">
                  <c:v>20</c:v>
                </c:pt>
                <c:pt idx="3">
                  <c:v>23</c:v>
                </c:pt>
                <c:pt idx="4">
                  <c:v>30</c:v>
                </c:pt>
                <c:pt idx="5">
                  <c:v>89</c:v>
                </c:pt>
                <c:pt idx="6">
                  <c:v>35</c:v>
                </c:pt>
                <c:pt idx="7">
                  <c:v>50</c:v>
                </c:pt>
                <c:pt idx="8">
                  <c:v>61.5</c:v>
                </c:pt>
                <c:pt idx="9">
                  <c:v>24</c:v>
                </c:pt>
                <c:pt idx="10">
                  <c:v>45</c:v>
                </c:pt>
                <c:pt idx="11">
                  <c:v>12</c:v>
                </c:pt>
              </c:numCache>
            </c:numRef>
          </c:val>
          <c:smooth val="0"/>
          <c:extLst>
            <c:ext xmlns:c16="http://schemas.microsoft.com/office/drawing/2014/chart" uri="{C3380CC4-5D6E-409C-BE32-E72D297353CC}">
              <c16:uniqueId val="{00000002-27AF-4BCD-97E7-678E71864748}"/>
            </c:ext>
          </c:extLst>
        </c:ser>
        <c:dLbls>
          <c:showLegendKey val="0"/>
          <c:showVal val="0"/>
          <c:showCatName val="0"/>
          <c:showSerName val="0"/>
          <c:showPercent val="0"/>
          <c:showBubbleSize val="0"/>
        </c:dLbls>
        <c:marker val="1"/>
        <c:smooth val="0"/>
        <c:axId val="134377856"/>
        <c:axId val="134379392"/>
      </c:lineChart>
      <c:catAx>
        <c:axId val="134377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4379392"/>
        <c:crosses val="autoZero"/>
        <c:auto val="1"/>
        <c:lblAlgn val="ctr"/>
        <c:lblOffset val="100"/>
        <c:tickLblSkip val="1"/>
        <c:tickMarkSkip val="1"/>
        <c:noMultiLvlLbl val="0"/>
      </c:catAx>
      <c:valAx>
        <c:axId val="134379392"/>
        <c:scaling>
          <c:orientation val="minMax"/>
        </c:scaling>
        <c:delete val="0"/>
        <c:axPos val="l"/>
        <c:majorGridlines>
          <c:spPr>
            <a:ln w="3175">
              <a:solidFill>
                <a:srgbClr val="000000"/>
              </a:solidFill>
              <a:prstDash val="solid"/>
            </a:ln>
          </c:spPr>
        </c:majorGridlines>
        <c:minorGridlines/>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4377856"/>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w="12700">
          <a:solidFill>
            <a:srgbClr val="808080"/>
          </a:solidFill>
          <a:prstDash val="solid"/>
        </a:ln>
      </c:spPr>
    </c:plotArea>
    <c:legend>
      <c:legendPos val="r"/>
      <c:layout>
        <c:manualLayout>
          <c:xMode val="edge"/>
          <c:yMode val="edge"/>
          <c:x val="0.2504555848932058"/>
          <c:y val="0.11102463153644269"/>
          <c:w val="0.50798658588331536"/>
          <c:h val="0.11367872494199444"/>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2011 Bear Creek Reservoir TP versus TDP Surface</a:t>
            </a:r>
          </a:p>
        </c:rich>
      </c:tx>
      <c:layout>
        <c:manualLayout>
          <c:xMode val="edge"/>
          <c:yMode val="edge"/>
          <c:x val="0.26584157749512083"/>
          <c:y val="1.3793103448276021E-2"/>
        </c:manualLayout>
      </c:layout>
      <c:overlay val="0"/>
    </c:title>
    <c:autoTitleDeleted val="0"/>
    <c:plotArea>
      <c:layout>
        <c:manualLayout>
          <c:layoutTarget val="inner"/>
          <c:xMode val="edge"/>
          <c:yMode val="edge"/>
          <c:x val="6.9161675303407583E-2"/>
          <c:y val="0.20761145805050241"/>
          <c:w val="0.9298213204118968"/>
          <c:h val="0.67829106706490794"/>
        </c:manualLayout>
      </c:layout>
      <c:lineChart>
        <c:grouping val="standard"/>
        <c:varyColors val="0"/>
        <c:ser>
          <c:idx val="0"/>
          <c:order val="0"/>
          <c:tx>
            <c:strRef>
              <c:f>'T &amp; Diss Phosphorus'!$A$13:$M$13</c:f>
              <c:strCache>
                <c:ptCount val="13"/>
                <c:pt idx="0">
                  <c:v>Total Phosphorus (ug/l)</c:v>
                </c:pt>
              </c:strCache>
            </c:strRef>
          </c:tx>
          <c:cat>
            <c:strRef>
              <c:f>'T &amp; Diss Phosphorus'!$B$54:$M$54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 &amp; Diss Phosphorus'!$B$18:$M$18</c:f>
              <c:numCache>
                <c:formatCode>0.0</c:formatCode>
                <c:ptCount val="12"/>
                <c:pt idx="0">
                  <c:v>23</c:v>
                </c:pt>
                <c:pt idx="1">
                  <c:v>16</c:v>
                </c:pt>
                <c:pt idx="2">
                  <c:v>19</c:v>
                </c:pt>
                <c:pt idx="3">
                  <c:v>26</c:v>
                </c:pt>
                <c:pt idx="4">
                  <c:v>5</c:v>
                </c:pt>
                <c:pt idx="5">
                  <c:v>25</c:v>
                </c:pt>
                <c:pt idx="6">
                  <c:v>43</c:v>
                </c:pt>
                <c:pt idx="7">
                  <c:v>45</c:v>
                </c:pt>
                <c:pt idx="8">
                  <c:v>73.5</c:v>
                </c:pt>
                <c:pt idx="9">
                  <c:v>35</c:v>
                </c:pt>
                <c:pt idx="10">
                  <c:v>22</c:v>
                </c:pt>
                <c:pt idx="11">
                  <c:v>11</c:v>
                </c:pt>
              </c:numCache>
            </c:numRef>
          </c:val>
          <c:smooth val="0"/>
          <c:extLst>
            <c:ext xmlns:c16="http://schemas.microsoft.com/office/drawing/2014/chart" uri="{C3380CC4-5D6E-409C-BE32-E72D297353CC}">
              <c16:uniqueId val="{00000000-06A0-448E-96E7-1C661D3F588E}"/>
            </c:ext>
          </c:extLst>
        </c:ser>
        <c:ser>
          <c:idx val="1"/>
          <c:order val="1"/>
          <c:tx>
            <c:strRef>
              <c:f>'T &amp; Diss Phosphorus'!$A$53:$P$53</c:f>
              <c:strCache>
                <c:ptCount val="16"/>
                <c:pt idx="0">
                  <c:v>Total Dissolved Phosphorus, ug/l </c:v>
                </c:pt>
              </c:strCache>
            </c:strRef>
          </c:tx>
          <c:cat>
            <c:strRef>
              <c:f>'T &amp; Diss Phosphorus'!$B$54:$M$54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 &amp; Diss Phosphorus'!$B$58:$M$58</c:f>
              <c:numCache>
                <c:formatCode>0</c:formatCode>
                <c:ptCount val="12"/>
                <c:pt idx="0">
                  <c:v>2</c:v>
                </c:pt>
                <c:pt idx="1">
                  <c:v>10</c:v>
                </c:pt>
                <c:pt idx="2">
                  <c:v>2</c:v>
                </c:pt>
                <c:pt idx="3">
                  <c:v>0</c:v>
                </c:pt>
                <c:pt idx="4">
                  <c:v>6</c:v>
                </c:pt>
                <c:pt idx="5">
                  <c:v>19</c:v>
                </c:pt>
                <c:pt idx="6">
                  <c:v>15</c:v>
                </c:pt>
                <c:pt idx="7">
                  <c:v>5.5</c:v>
                </c:pt>
                <c:pt idx="8">
                  <c:v>3</c:v>
                </c:pt>
                <c:pt idx="9">
                  <c:v>5</c:v>
                </c:pt>
                <c:pt idx="10">
                  <c:v>5</c:v>
                </c:pt>
                <c:pt idx="11">
                  <c:v>2</c:v>
                </c:pt>
              </c:numCache>
            </c:numRef>
          </c:val>
          <c:smooth val="0"/>
          <c:extLst>
            <c:ext xmlns:c16="http://schemas.microsoft.com/office/drawing/2014/chart" uri="{C3380CC4-5D6E-409C-BE32-E72D297353CC}">
              <c16:uniqueId val="{00000001-06A0-448E-96E7-1C661D3F588E}"/>
            </c:ext>
          </c:extLst>
        </c:ser>
        <c:dLbls>
          <c:showLegendKey val="0"/>
          <c:showVal val="0"/>
          <c:showCatName val="0"/>
          <c:showSerName val="0"/>
          <c:showPercent val="0"/>
          <c:showBubbleSize val="0"/>
        </c:dLbls>
        <c:marker val="1"/>
        <c:smooth val="0"/>
        <c:axId val="134419584"/>
        <c:axId val="134421120"/>
      </c:lineChart>
      <c:catAx>
        <c:axId val="134419584"/>
        <c:scaling>
          <c:orientation val="minMax"/>
        </c:scaling>
        <c:delete val="0"/>
        <c:axPos val="b"/>
        <c:numFmt formatCode="General" sourceLinked="0"/>
        <c:majorTickMark val="out"/>
        <c:minorTickMark val="none"/>
        <c:tickLblPos val="nextTo"/>
        <c:crossAx val="134421120"/>
        <c:crosses val="autoZero"/>
        <c:auto val="1"/>
        <c:lblAlgn val="ctr"/>
        <c:lblOffset val="100"/>
        <c:noMultiLvlLbl val="0"/>
      </c:catAx>
      <c:valAx>
        <c:axId val="134421120"/>
        <c:scaling>
          <c:orientation val="minMax"/>
        </c:scaling>
        <c:delete val="0"/>
        <c:axPos val="l"/>
        <c:majorGridlines/>
        <c:numFmt formatCode="0.0" sourceLinked="1"/>
        <c:majorTickMark val="out"/>
        <c:minorTickMark val="none"/>
        <c:tickLblPos val="nextTo"/>
        <c:crossAx val="134419584"/>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lotArea>
    <c:legend>
      <c:legendPos val="r"/>
      <c:layout>
        <c:manualLayout>
          <c:xMode val="edge"/>
          <c:yMode val="edge"/>
          <c:x val="0.11563309809616741"/>
          <c:y val="0.23232582134129789"/>
          <c:w val="0.2796845425867508"/>
          <c:h val="0.13946429541135344"/>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2011 Bear Creek Watershed Nitrate-Nitrogen</a:t>
            </a:r>
          </a:p>
        </c:rich>
      </c:tx>
      <c:layout>
        <c:manualLayout>
          <c:xMode val="edge"/>
          <c:yMode val="edge"/>
          <c:x val="0.34838709677419388"/>
          <c:y val="3.5842293906810055E-2"/>
        </c:manualLayout>
      </c:layout>
      <c:overlay val="0"/>
      <c:spPr>
        <a:noFill/>
        <a:ln w="25400">
          <a:noFill/>
        </a:ln>
      </c:spPr>
    </c:title>
    <c:autoTitleDeleted val="0"/>
    <c:plotArea>
      <c:layout>
        <c:manualLayout>
          <c:layoutTarget val="inner"/>
          <c:xMode val="edge"/>
          <c:yMode val="edge"/>
          <c:x val="0.10392609699769056"/>
          <c:y val="0.14864073995439941"/>
          <c:w val="0.86951501154734412"/>
          <c:h val="0.72573132344391678"/>
        </c:manualLayout>
      </c:layout>
      <c:lineChart>
        <c:grouping val="standard"/>
        <c:varyColors val="0"/>
        <c:ser>
          <c:idx val="0"/>
          <c:order val="0"/>
          <c:tx>
            <c:strRef>
              <c:f>'Nitrate &amp; T Nitrogen'!$A$14</c:f>
              <c:strCache>
                <c:ptCount val="1"/>
                <c:pt idx="0">
                  <c:v>Turkey Creek Inflow</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'Nitrate &amp; T Nitrogen'!$B$13:$M$13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'Nitrate &amp; T Nitrogen'!$B$14:$M$14</c:f>
              <c:numCache>
                <c:formatCode>0</c:formatCode>
                <c:ptCount val="12"/>
                <c:pt idx="0">
                  <c:v>603</c:v>
                </c:pt>
                <c:pt idx="1">
                  <c:v>671</c:v>
                </c:pt>
                <c:pt idx="2">
                  <c:v>279</c:v>
                </c:pt>
                <c:pt idx="3">
                  <c:v>225</c:v>
                </c:pt>
                <c:pt idx="4">
                  <c:v>174</c:v>
                </c:pt>
                <c:pt idx="5">
                  <c:v>486</c:v>
                </c:pt>
                <c:pt idx="6">
                  <c:v>330</c:v>
                </c:pt>
                <c:pt idx="7">
                  <c:v>418</c:v>
                </c:pt>
                <c:pt idx="8">
                  <c:v>535.5</c:v>
                </c:pt>
                <c:pt idx="9">
                  <c:v>371</c:v>
                </c:pt>
                <c:pt idx="10">
                  <c:v>581</c:v>
                </c:pt>
                <c:pt idx="11">
                  <c:v>534</c:v>
                </c:pt>
              </c:numCache>
            </c:numRef>
          </c:val>
          <c:smooth val="0"/>
          <c:extLst>
            <c:ext xmlns:c16="http://schemas.microsoft.com/office/drawing/2014/chart" uri="{C3380CC4-5D6E-409C-BE32-E72D297353CC}">
              <c16:uniqueId val="{00000000-553A-464C-925D-7B30DDD9BEBA}"/>
            </c:ext>
          </c:extLst>
        </c:ser>
        <c:ser>
          <c:idx val="1"/>
          <c:order val="1"/>
          <c:tx>
            <c:strRef>
              <c:f>'Nitrate &amp; T Nitrogen'!$A$15</c:f>
              <c:strCache>
                <c:ptCount val="1"/>
                <c:pt idx="0">
                  <c:v>Bear Creek Inflow</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cat>
            <c:strRef>
              <c:f>'Nitrate &amp; T Nitrogen'!$B$13:$M$13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'Nitrate &amp; T Nitrogen'!$B$15:$M$15</c:f>
              <c:numCache>
                <c:formatCode>0</c:formatCode>
                <c:ptCount val="12"/>
                <c:pt idx="0">
                  <c:v>1958</c:v>
                </c:pt>
                <c:pt idx="1">
                  <c:v>1160</c:v>
                </c:pt>
                <c:pt idx="2">
                  <c:v>766</c:v>
                </c:pt>
                <c:pt idx="3">
                  <c:v>962</c:v>
                </c:pt>
                <c:pt idx="4">
                  <c:v>537</c:v>
                </c:pt>
                <c:pt idx="5">
                  <c:v>350</c:v>
                </c:pt>
                <c:pt idx="6">
                  <c:v>136.5</c:v>
                </c:pt>
                <c:pt idx="7">
                  <c:v>346</c:v>
                </c:pt>
                <c:pt idx="8">
                  <c:v>1135</c:v>
                </c:pt>
                <c:pt idx="9">
                  <c:v>937</c:v>
                </c:pt>
                <c:pt idx="10">
                  <c:v>753</c:v>
                </c:pt>
                <c:pt idx="11">
                  <c:v>742</c:v>
                </c:pt>
              </c:numCache>
            </c:numRef>
          </c:val>
          <c:smooth val="0"/>
          <c:extLst>
            <c:ext xmlns:c16="http://schemas.microsoft.com/office/drawing/2014/chart" uri="{C3380CC4-5D6E-409C-BE32-E72D297353CC}">
              <c16:uniqueId val="{00000001-553A-464C-925D-7B30DDD9BEBA}"/>
            </c:ext>
          </c:extLst>
        </c:ser>
        <c:ser>
          <c:idx val="2"/>
          <c:order val="2"/>
          <c:tx>
            <c:strRef>
              <c:f>'Nitrate &amp; T Nitrogen'!$A$16</c:f>
              <c:strCache>
                <c:ptCount val="1"/>
                <c:pt idx="0">
                  <c:v>Reservoir Discharge</c:v>
                </c:pt>
              </c:strCache>
            </c:strRef>
          </c:tx>
          <c:spPr>
            <a:ln w="38100">
              <a:solidFill>
                <a:srgbClr val="FFFF00"/>
              </a:solidFill>
              <a:prstDash val="solid"/>
            </a:ln>
          </c:spPr>
          <c:marker>
            <c:symbol val="triangle"/>
            <c:size val="9"/>
            <c:spPr>
              <a:solidFill>
                <a:srgbClr val="FFFF00"/>
              </a:solidFill>
              <a:ln>
                <a:solidFill>
                  <a:srgbClr val="FFFF00"/>
                </a:solidFill>
                <a:prstDash val="solid"/>
              </a:ln>
            </c:spPr>
          </c:marker>
          <c:cat>
            <c:strRef>
              <c:f>'Nitrate &amp; T Nitrogen'!$B$13:$M$13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'Nitrate &amp; T Nitrogen'!$B$16:$M$16</c:f>
              <c:numCache>
                <c:formatCode>0</c:formatCode>
                <c:ptCount val="12"/>
                <c:pt idx="0">
                  <c:v>494</c:v>
                </c:pt>
                <c:pt idx="1">
                  <c:v>385</c:v>
                </c:pt>
                <c:pt idx="2">
                  <c:v>350</c:v>
                </c:pt>
                <c:pt idx="3">
                  <c:v>146</c:v>
                </c:pt>
                <c:pt idx="4">
                  <c:v>124</c:v>
                </c:pt>
                <c:pt idx="5">
                  <c:v>79</c:v>
                </c:pt>
                <c:pt idx="6">
                  <c:v>157.5</c:v>
                </c:pt>
                <c:pt idx="7">
                  <c:v>69.5</c:v>
                </c:pt>
                <c:pt idx="8">
                  <c:v>106</c:v>
                </c:pt>
                <c:pt idx="9">
                  <c:v>7</c:v>
                </c:pt>
                <c:pt idx="10">
                  <c:v>76</c:v>
                </c:pt>
                <c:pt idx="11">
                  <c:v>265</c:v>
                </c:pt>
              </c:numCache>
            </c:numRef>
          </c:val>
          <c:smooth val="0"/>
          <c:extLst>
            <c:ext xmlns:c16="http://schemas.microsoft.com/office/drawing/2014/chart" uri="{C3380CC4-5D6E-409C-BE32-E72D297353CC}">
              <c16:uniqueId val="{00000002-553A-464C-925D-7B30DDD9BEBA}"/>
            </c:ext>
          </c:extLst>
        </c:ser>
        <c:dLbls>
          <c:showLegendKey val="0"/>
          <c:showVal val="0"/>
          <c:showCatName val="0"/>
          <c:showSerName val="0"/>
          <c:showPercent val="0"/>
          <c:showBubbleSize val="0"/>
        </c:dLbls>
        <c:marker val="1"/>
        <c:smooth val="0"/>
        <c:axId val="134530176"/>
        <c:axId val="134532096"/>
      </c:lineChart>
      <c:catAx>
        <c:axId val="134530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34532096"/>
        <c:crosses val="autoZero"/>
        <c:auto val="1"/>
        <c:lblAlgn val="ctr"/>
        <c:lblOffset val="100"/>
        <c:tickLblSkip val="1"/>
        <c:tickMarkSkip val="1"/>
        <c:noMultiLvlLbl val="0"/>
      </c:catAx>
      <c:valAx>
        <c:axId val="134532096"/>
        <c:scaling>
          <c:orientation val="minMax"/>
        </c:scaling>
        <c:delete val="0"/>
        <c:axPos val="l"/>
        <c:majorGridlines>
          <c:spPr>
            <a:ln w="3175">
              <a:solidFill>
                <a:srgbClr val="000000"/>
              </a:solidFill>
              <a:prstDash val="solid"/>
            </a:ln>
          </c:spPr>
        </c:majorGridlines>
        <c:minorGridlines/>
        <c:title>
          <c:tx>
            <c:rich>
              <a:bodyPr/>
              <a:lstStyle/>
              <a:p>
                <a:pPr>
                  <a:defRPr sz="1050" b="1" i="0" u="none" strike="noStrike" baseline="0">
                    <a:solidFill>
                      <a:srgbClr val="000000"/>
                    </a:solidFill>
                    <a:latin typeface="Arial"/>
                    <a:ea typeface="Arial"/>
                    <a:cs typeface="Arial"/>
                  </a:defRPr>
                </a:pPr>
                <a:r>
                  <a:rPr lang="en-US"/>
                  <a:t>Nitrate ug/l</a:t>
                </a:r>
              </a:p>
            </c:rich>
          </c:tx>
          <c:layout>
            <c:manualLayout>
              <c:xMode val="edge"/>
              <c:yMode val="edge"/>
              <c:x val="1.3901476478970765E-2"/>
              <c:y val="0.330338684217833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34530176"/>
        <c:crosses val="autoZero"/>
        <c:crossBetween val="between"/>
      </c:valAx>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r"/>
      <c:layout>
        <c:manualLayout>
          <c:xMode val="edge"/>
          <c:yMode val="edge"/>
          <c:x val="0.3050838179952195"/>
          <c:y val="0.20332684088580374"/>
          <c:w val="0.46635360492983258"/>
          <c:h val="0.11491816746822242"/>
        </c:manualLayout>
      </c:layout>
      <c:overlay val="0"/>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2011 Bear Creek Reservoir Total Nitrogen Trend</a:t>
            </a:r>
          </a:p>
        </c:rich>
      </c:tx>
      <c:layout>
        <c:manualLayout>
          <c:xMode val="edge"/>
          <c:yMode val="edge"/>
          <c:x val="0.26142624938380227"/>
          <c:y val="2.5706589307915473E-2"/>
        </c:manualLayout>
      </c:layout>
      <c:overlay val="0"/>
    </c:title>
    <c:autoTitleDeleted val="0"/>
    <c:plotArea>
      <c:layout>
        <c:manualLayout>
          <c:layoutTarget val="inner"/>
          <c:xMode val="edge"/>
          <c:yMode val="edge"/>
          <c:x val="0.11265507436570428"/>
          <c:y val="0.13570866141732313"/>
          <c:w val="0.86785870516185482"/>
          <c:h val="0.68771342726895979"/>
        </c:manualLayout>
      </c:layout>
      <c:lineChart>
        <c:grouping val="standard"/>
        <c:varyColors val="0"/>
        <c:ser>
          <c:idx val="0"/>
          <c:order val="0"/>
          <c:tx>
            <c:strRef>
              <c:f>'Nitrate &amp; T Nitrogen'!$A$31</c:f>
              <c:strCache>
                <c:ptCount val="1"/>
                <c:pt idx="0">
                  <c:v>Reservoir Discharge (TN)</c:v>
                </c:pt>
              </c:strCache>
            </c:strRef>
          </c:tx>
          <c:cat>
            <c:strRef>
              <c:f>'Nitrate &amp; T Nitrogen'!$B$13:$M$13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'Nitrate &amp; T Nitrogen'!$B$22:$M$22</c:f>
              <c:numCache>
                <c:formatCode>0</c:formatCode>
                <c:ptCount val="12"/>
                <c:pt idx="0">
                  <c:v>1012</c:v>
                </c:pt>
                <c:pt idx="1">
                  <c:v>776</c:v>
                </c:pt>
                <c:pt idx="2">
                  <c:v>713</c:v>
                </c:pt>
                <c:pt idx="3">
                  <c:v>661</c:v>
                </c:pt>
                <c:pt idx="4">
                  <c:v>515</c:v>
                </c:pt>
                <c:pt idx="5">
                  <c:v>529</c:v>
                </c:pt>
                <c:pt idx="6">
                  <c:v>576</c:v>
                </c:pt>
                <c:pt idx="7">
                  <c:v>614</c:v>
                </c:pt>
                <c:pt idx="8">
                  <c:v>552</c:v>
                </c:pt>
                <c:pt idx="9">
                  <c:v>400</c:v>
                </c:pt>
                <c:pt idx="10">
                  <c:v>542</c:v>
                </c:pt>
                <c:pt idx="11">
                  <c:v>538</c:v>
                </c:pt>
              </c:numCache>
            </c:numRef>
          </c:val>
          <c:smooth val="0"/>
          <c:extLst>
            <c:ext xmlns:c16="http://schemas.microsoft.com/office/drawing/2014/chart" uri="{C3380CC4-5D6E-409C-BE32-E72D297353CC}">
              <c16:uniqueId val="{00000000-6B7A-4C50-9AEB-EE189E111799}"/>
            </c:ext>
          </c:extLst>
        </c:ser>
        <c:ser>
          <c:idx val="1"/>
          <c:order val="1"/>
          <c:tx>
            <c:strRef>
              <c:f>'Nitrate &amp; T Nitrogen'!$A$32</c:f>
              <c:strCache>
                <c:ptCount val="1"/>
                <c:pt idx="0">
                  <c:v>Reservoir - Top (TN)</c:v>
                </c:pt>
              </c:strCache>
            </c:strRef>
          </c:tx>
          <c:cat>
            <c:strRef>
              <c:f>'Nitrate &amp; T Nitrogen'!$B$13:$M$13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'Nitrate &amp; T Nitrogen'!$B$23:$M$23</c:f>
              <c:numCache>
                <c:formatCode>0</c:formatCode>
                <c:ptCount val="12"/>
                <c:pt idx="0">
                  <c:v>0</c:v>
                </c:pt>
                <c:pt idx="1">
                  <c:v>0</c:v>
                </c:pt>
                <c:pt idx="2">
                  <c:v>794</c:v>
                </c:pt>
                <c:pt idx="3">
                  <c:v>0</c:v>
                </c:pt>
                <c:pt idx="4">
                  <c:v>617</c:v>
                </c:pt>
                <c:pt idx="5">
                  <c:v>524</c:v>
                </c:pt>
                <c:pt idx="6">
                  <c:v>713.5</c:v>
                </c:pt>
                <c:pt idx="7">
                  <c:v>714.5</c:v>
                </c:pt>
                <c:pt idx="8">
                  <c:v>666.5</c:v>
                </c:pt>
                <c:pt idx="9">
                  <c:v>486</c:v>
                </c:pt>
                <c:pt idx="10">
                  <c:v>537</c:v>
                </c:pt>
                <c:pt idx="11">
                  <c:v>523</c:v>
                </c:pt>
              </c:numCache>
            </c:numRef>
          </c:val>
          <c:smooth val="0"/>
          <c:extLst>
            <c:ext xmlns:c16="http://schemas.microsoft.com/office/drawing/2014/chart" uri="{C3380CC4-5D6E-409C-BE32-E72D297353CC}">
              <c16:uniqueId val="{00000001-6B7A-4C50-9AEB-EE189E111799}"/>
            </c:ext>
          </c:extLst>
        </c:ser>
        <c:ser>
          <c:idx val="2"/>
          <c:order val="2"/>
          <c:tx>
            <c:strRef>
              <c:f>'Nitrate &amp; T Nitrogen'!$A$29</c:f>
              <c:strCache>
                <c:ptCount val="1"/>
                <c:pt idx="0">
                  <c:v>Turkey Creek Inflow (TN)</c:v>
                </c:pt>
              </c:strCache>
            </c:strRef>
          </c:tx>
          <c:val>
            <c:numRef>
              <c:f>'Nitrate &amp; T Nitrogen'!$B$20:$M$20</c:f>
              <c:numCache>
                <c:formatCode>0</c:formatCode>
                <c:ptCount val="12"/>
                <c:pt idx="0">
                  <c:v>747</c:v>
                </c:pt>
                <c:pt idx="1">
                  <c:v>935</c:v>
                </c:pt>
                <c:pt idx="2">
                  <c:v>568</c:v>
                </c:pt>
                <c:pt idx="3">
                  <c:v>553</c:v>
                </c:pt>
                <c:pt idx="4">
                  <c:v>418</c:v>
                </c:pt>
                <c:pt idx="5">
                  <c:v>664</c:v>
                </c:pt>
                <c:pt idx="6">
                  <c:v>602</c:v>
                </c:pt>
                <c:pt idx="7">
                  <c:v>628.5</c:v>
                </c:pt>
                <c:pt idx="8">
                  <c:v>632.5</c:v>
                </c:pt>
                <c:pt idx="9">
                  <c:v>643</c:v>
                </c:pt>
                <c:pt idx="10">
                  <c:v>729</c:v>
                </c:pt>
                <c:pt idx="11">
                  <c:v>630</c:v>
                </c:pt>
              </c:numCache>
            </c:numRef>
          </c:val>
          <c:smooth val="0"/>
          <c:extLst>
            <c:ext xmlns:c16="http://schemas.microsoft.com/office/drawing/2014/chart" uri="{C3380CC4-5D6E-409C-BE32-E72D297353CC}">
              <c16:uniqueId val="{00000002-6B7A-4C50-9AEB-EE189E111799}"/>
            </c:ext>
          </c:extLst>
        </c:ser>
        <c:ser>
          <c:idx val="3"/>
          <c:order val="3"/>
          <c:tx>
            <c:strRef>
              <c:f>'Nitrate &amp; T Nitrogen'!$A$30</c:f>
              <c:strCache>
                <c:ptCount val="1"/>
                <c:pt idx="0">
                  <c:v>Bear Creek Inflow (TN)</c:v>
                </c:pt>
              </c:strCache>
            </c:strRef>
          </c:tx>
          <c:val>
            <c:numRef>
              <c:f>'Nitrate &amp; T Nitrogen'!$B$21:$M$21</c:f>
              <c:numCache>
                <c:formatCode>0</c:formatCode>
                <c:ptCount val="12"/>
                <c:pt idx="0">
                  <c:v>2248</c:v>
                </c:pt>
                <c:pt idx="1">
                  <c:v>1373</c:v>
                </c:pt>
                <c:pt idx="2">
                  <c:v>1119</c:v>
                </c:pt>
                <c:pt idx="3">
                  <c:v>1689</c:v>
                </c:pt>
                <c:pt idx="4">
                  <c:v>932</c:v>
                </c:pt>
                <c:pt idx="5">
                  <c:v>669</c:v>
                </c:pt>
                <c:pt idx="6">
                  <c:v>481.5</c:v>
                </c:pt>
                <c:pt idx="7">
                  <c:v>624</c:v>
                </c:pt>
                <c:pt idx="8">
                  <c:v>1257</c:v>
                </c:pt>
                <c:pt idx="9">
                  <c:v>1166</c:v>
                </c:pt>
                <c:pt idx="10">
                  <c:v>1023</c:v>
                </c:pt>
                <c:pt idx="11">
                  <c:v>897</c:v>
                </c:pt>
              </c:numCache>
            </c:numRef>
          </c:val>
          <c:smooth val="0"/>
          <c:extLst>
            <c:ext xmlns:c16="http://schemas.microsoft.com/office/drawing/2014/chart" uri="{C3380CC4-5D6E-409C-BE32-E72D297353CC}">
              <c16:uniqueId val="{00000003-6B7A-4C50-9AEB-EE189E111799}"/>
            </c:ext>
          </c:extLst>
        </c:ser>
        <c:dLbls>
          <c:showLegendKey val="0"/>
          <c:showVal val="0"/>
          <c:showCatName val="0"/>
          <c:showSerName val="0"/>
          <c:showPercent val="0"/>
          <c:showBubbleSize val="0"/>
        </c:dLbls>
        <c:marker val="1"/>
        <c:smooth val="0"/>
        <c:axId val="134594944"/>
        <c:axId val="134596480"/>
      </c:lineChart>
      <c:catAx>
        <c:axId val="134594944"/>
        <c:scaling>
          <c:orientation val="minMax"/>
        </c:scaling>
        <c:delete val="0"/>
        <c:axPos val="b"/>
        <c:numFmt formatCode="General" sourceLinked="0"/>
        <c:majorTickMark val="out"/>
        <c:minorTickMark val="none"/>
        <c:tickLblPos val="nextTo"/>
        <c:crossAx val="134596480"/>
        <c:crosses val="autoZero"/>
        <c:auto val="1"/>
        <c:lblAlgn val="ctr"/>
        <c:lblOffset val="100"/>
        <c:noMultiLvlLbl val="0"/>
      </c:catAx>
      <c:valAx>
        <c:axId val="134596480"/>
        <c:scaling>
          <c:orientation val="minMax"/>
        </c:scaling>
        <c:delete val="0"/>
        <c:axPos val="l"/>
        <c:majorGridlines/>
        <c:numFmt formatCode="0" sourceLinked="1"/>
        <c:majorTickMark val="out"/>
        <c:minorTickMark val="none"/>
        <c:tickLblPos val="nextTo"/>
        <c:spPr>
          <a:noFill/>
        </c:spPr>
        <c:crossAx val="134594944"/>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lotArea>
    <c:legend>
      <c:legendPos val="r"/>
      <c:layout>
        <c:manualLayout>
          <c:xMode val="edge"/>
          <c:yMode val="edge"/>
          <c:x val="0.26239231517380174"/>
          <c:y val="0.14447472026523001"/>
          <c:w val="0.53743117986232525"/>
          <c:h val="0.13965660542432196"/>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000000"/>
          </a:solidFill>
        </a:ln>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sz="1200"/>
              <a:t>2011 Total Suspended Sediments</a:t>
            </a:r>
          </a:p>
        </c:rich>
      </c:tx>
      <c:layout>
        <c:manualLayout>
          <c:xMode val="edge"/>
          <c:yMode val="edge"/>
          <c:x val="0.37889278920250496"/>
          <c:y val="3.6128738858137784E-2"/>
        </c:manualLayout>
      </c:layout>
      <c:overlay val="0"/>
      <c:spPr>
        <a:noFill/>
        <a:ln w="25400">
          <a:noFill/>
        </a:ln>
      </c:spPr>
    </c:title>
    <c:autoTitleDeleted val="0"/>
    <c:plotArea>
      <c:layout>
        <c:manualLayout>
          <c:layoutTarget val="inner"/>
          <c:xMode val="edge"/>
          <c:yMode val="edge"/>
          <c:x val="0.11563731931668857"/>
          <c:y val="0.12843845014423619"/>
          <c:w val="0.85151116951379768"/>
          <c:h val="0.73772537096229363"/>
        </c:manualLayout>
      </c:layout>
      <c:lineChart>
        <c:grouping val="standard"/>
        <c:varyColors val="0"/>
        <c:ser>
          <c:idx val="0"/>
          <c:order val="0"/>
          <c:tx>
            <c:strRef>
              <c:f>TSS!$A$16</c:f>
              <c:strCache>
                <c:ptCount val="1"/>
                <c:pt idx="0">
                  <c:v>Turkey Creek Inflow</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strRef>
              <c:f>TSS!$B$15:$M$15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TSS!$B$16:$M$16</c:f>
              <c:numCache>
                <c:formatCode>0.0</c:formatCode>
                <c:ptCount val="12"/>
                <c:pt idx="0">
                  <c:v>4</c:v>
                </c:pt>
                <c:pt idx="1">
                  <c:v>15</c:v>
                </c:pt>
                <c:pt idx="2">
                  <c:v>4</c:v>
                </c:pt>
                <c:pt idx="3">
                  <c:v>6.4</c:v>
                </c:pt>
                <c:pt idx="4">
                  <c:v>6</c:v>
                </c:pt>
                <c:pt idx="5">
                  <c:v>27.6</c:v>
                </c:pt>
                <c:pt idx="6">
                  <c:v>19</c:v>
                </c:pt>
                <c:pt idx="7">
                  <c:v>88.5</c:v>
                </c:pt>
                <c:pt idx="8">
                  <c:v>25.1</c:v>
                </c:pt>
                <c:pt idx="9">
                  <c:v>12.6</c:v>
                </c:pt>
                <c:pt idx="10">
                  <c:v>4</c:v>
                </c:pt>
                <c:pt idx="11">
                  <c:v>4</c:v>
                </c:pt>
              </c:numCache>
            </c:numRef>
          </c:val>
          <c:smooth val="0"/>
          <c:extLst>
            <c:ext xmlns:c16="http://schemas.microsoft.com/office/drawing/2014/chart" uri="{C3380CC4-5D6E-409C-BE32-E72D297353CC}">
              <c16:uniqueId val="{00000000-1BE7-4D72-964C-E17F6F6160EC}"/>
            </c:ext>
          </c:extLst>
        </c:ser>
        <c:ser>
          <c:idx val="1"/>
          <c:order val="1"/>
          <c:tx>
            <c:strRef>
              <c:f>TSS!$A$17</c:f>
              <c:strCache>
                <c:ptCount val="1"/>
                <c:pt idx="0">
                  <c:v>Bear Creek Inflow</c:v>
                </c:pt>
              </c:strCache>
            </c:strRef>
          </c:tx>
          <c:spPr>
            <a:ln w="25400">
              <a:solidFill>
                <a:srgbClr val="FF00FF"/>
              </a:solidFill>
              <a:prstDash val="solid"/>
            </a:ln>
          </c:spPr>
          <c:marker>
            <c:symbol val="square"/>
            <c:size val="7"/>
            <c:spPr>
              <a:solidFill>
                <a:srgbClr val="FF00FF"/>
              </a:solidFill>
              <a:ln>
                <a:solidFill>
                  <a:srgbClr val="FF00FF"/>
                </a:solidFill>
                <a:prstDash val="solid"/>
              </a:ln>
            </c:spPr>
          </c:marker>
          <c:cat>
            <c:strRef>
              <c:f>TSS!$B$15:$M$15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TSS!$B$17:$M$17</c:f>
              <c:numCache>
                <c:formatCode>0.0</c:formatCode>
                <c:ptCount val="12"/>
                <c:pt idx="0">
                  <c:v>10.4</c:v>
                </c:pt>
                <c:pt idx="1">
                  <c:v>6.8</c:v>
                </c:pt>
                <c:pt idx="2">
                  <c:v>8.1999999999999993</c:v>
                </c:pt>
                <c:pt idx="3">
                  <c:v>6</c:v>
                </c:pt>
                <c:pt idx="4">
                  <c:v>23.4</c:v>
                </c:pt>
                <c:pt idx="5">
                  <c:v>10.6</c:v>
                </c:pt>
                <c:pt idx="6">
                  <c:v>23.4</c:v>
                </c:pt>
                <c:pt idx="7">
                  <c:v>8</c:v>
                </c:pt>
                <c:pt idx="8">
                  <c:v>15.2</c:v>
                </c:pt>
                <c:pt idx="9">
                  <c:v>6.6</c:v>
                </c:pt>
                <c:pt idx="10">
                  <c:v>7.8</c:v>
                </c:pt>
                <c:pt idx="11">
                  <c:v>4</c:v>
                </c:pt>
              </c:numCache>
            </c:numRef>
          </c:val>
          <c:smooth val="0"/>
          <c:extLst>
            <c:ext xmlns:c16="http://schemas.microsoft.com/office/drawing/2014/chart" uri="{C3380CC4-5D6E-409C-BE32-E72D297353CC}">
              <c16:uniqueId val="{00000001-1BE7-4D72-964C-E17F6F6160EC}"/>
            </c:ext>
          </c:extLst>
        </c:ser>
        <c:ser>
          <c:idx val="2"/>
          <c:order val="2"/>
          <c:tx>
            <c:strRef>
              <c:f>TSS!$A$19</c:f>
              <c:strCache>
                <c:ptCount val="1"/>
                <c:pt idx="0">
                  <c:v>Reservoir - Top</c:v>
                </c:pt>
              </c:strCache>
            </c:strRef>
          </c:tx>
          <c:spPr>
            <a:ln w="25400">
              <a:solidFill>
                <a:srgbClr val="FFFF00"/>
              </a:solidFill>
              <a:prstDash val="solid"/>
            </a:ln>
          </c:spPr>
          <c:marker>
            <c:symbol val="triangle"/>
            <c:size val="7"/>
            <c:spPr>
              <a:solidFill>
                <a:srgbClr val="FFFF00"/>
              </a:solidFill>
              <a:ln>
                <a:solidFill>
                  <a:srgbClr val="FFFF00"/>
                </a:solidFill>
                <a:prstDash val="solid"/>
              </a:ln>
            </c:spPr>
          </c:marker>
          <c:cat>
            <c:strRef>
              <c:f>TSS!$B$15:$M$15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TSS!$B$19:$M$19</c:f>
              <c:numCache>
                <c:formatCode>0.0</c:formatCode>
                <c:ptCount val="12"/>
                <c:pt idx="0">
                  <c:v>0</c:v>
                </c:pt>
                <c:pt idx="1">
                  <c:v>0</c:v>
                </c:pt>
                <c:pt idx="2">
                  <c:v>6.2</c:v>
                </c:pt>
                <c:pt idx="3">
                  <c:v>7.6</c:v>
                </c:pt>
                <c:pt idx="4">
                  <c:v>6</c:v>
                </c:pt>
                <c:pt idx="5">
                  <c:v>11.6</c:v>
                </c:pt>
                <c:pt idx="6">
                  <c:v>4</c:v>
                </c:pt>
                <c:pt idx="7">
                  <c:v>4.4000000000000004</c:v>
                </c:pt>
                <c:pt idx="8">
                  <c:v>8.8000000000000007</c:v>
                </c:pt>
                <c:pt idx="9">
                  <c:v>13</c:v>
                </c:pt>
                <c:pt idx="10">
                  <c:v>9.8000000000000007</c:v>
                </c:pt>
                <c:pt idx="11">
                  <c:v>4</c:v>
                </c:pt>
              </c:numCache>
            </c:numRef>
          </c:val>
          <c:smooth val="0"/>
          <c:extLst>
            <c:ext xmlns:c16="http://schemas.microsoft.com/office/drawing/2014/chart" uri="{C3380CC4-5D6E-409C-BE32-E72D297353CC}">
              <c16:uniqueId val="{00000002-1BE7-4D72-964C-E17F6F6160EC}"/>
            </c:ext>
          </c:extLst>
        </c:ser>
        <c:ser>
          <c:idx val="3"/>
          <c:order val="3"/>
          <c:tx>
            <c:strRef>
              <c:f>TSS!$A$18</c:f>
              <c:strCache>
                <c:ptCount val="1"/>
                <c:pt idx="0">
                  <c:v>Reservoir Discharge</c:v>
                </c:pt>
              </c:strCache>
            </c:strRef>
          </c:tx>
          <c:val>
            <c:numRef>
              <c:f>TSS!$B$18:$M$18</c:f>
              <c:numCache>
                <c:formatCode>0.0</c:formatCode>
                <c:ptCount val="12"/>
                <c:pt idx="0">
                  <c:v>4.4000000000000004</c:v>
                </c:pt>
                <c:pt idx="1">
                  <c:v>9.1999999999999993</c:v>
                </c:pt>
                <c:pt idx="2">
                  <c:v>13.8</c:v>
                </c:pt>
                <c:pt idx="3">
                  <c:v>7.2</c:v>
                </c:pt>
                <c:pt idx="4">
                  <c:v>8.6</c:v>
                </c:pt>
                <c:pt idx="5">
                  <c:v>26.2</c:v>
                </c:pt>
                <c:pt idx="6">
                  <c:v>7.8</c:v>
                </c:pt>
                <c:pt idx="7">
                  <c:v>8</c:v>
                </c:pt>
                <c:pt idx="8">
                  <c:v>10.399999999999999</c:v>
                </c:pt>
                <c:pt idx="9">
                  <c:v>16.2</c:v>
                </c:pt>
                <c:pt idx="10">
                  <c:v>22.2</c:v>
                </c:pt>
                <c:pt idx="11">
                  <c:v>4</c:v>
                </c:pt>
              </c:numCache>
            </c:numRef>
          </c:val>
          <c:smooth val="0"/>
          <c:extLst>
            <c:ext xmlns:c16="http://schemas.microsoft.com/office/drawing/2014/chart" uri="{C3380CC4-5D6E-409C-BE32-E72D297353CC}">
              <c16:uniqueId val="{00000003-1BE7-4D72-964C-E17F6F6160EC}"/>
            </c:ext>
          </c:extLst>
        </c:ser>
        <c:dLbls>
          <c:showLegendKey val="0"/>
          <c:showVal val="0"/>
          <c:showCatName val="0"/>
          <c:showSerName val="0"/>
          <c:showPercent val="0"/>
          <c:showBubbleSize val="0"/>
        </c:dLbls>
        <c:marker val="1"/>
        <c:smooth val="0"/>
        <c:axId val="134669824"/>
        <c:axId val="134671360"/>
      </c:lineChart>
      <c:catAx>
        <c:axId val="134669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134671360"/>
        <c:crosses val="autoZero"/>
        <c:auto val="1"/>
        <c:lblAlgn val="ctr"/>
        <c:lblOffset val="100"/>
        <c:tickLblSkip val="1"/>
        <c:tickMarkSkip val="1"/>
        <c:noMultiLvlLbl val="0"/>
      </c:catAx>
      <c:valAx>
        <c:axId val="134671360"/>
        <c:scaling>
          <c:orientation val="minMax"/>
        </c:scaling>
        <c:delete val="0"/>
        <c:axPos val="l"/>
        <c:majorGridlines>
          <c:spPr>
            <a:ln w="3175">
              <a:solidFill>
                <a:srgbClr val="000000"/>
              </a:solidFill>
              <a:prstDash val="solid"/>
            </a:ln>
          </c:spPr>
        </c:majorGridlines>
        <c:minorGridlines/>
        <c:title>
          <c:tx>
            <c:rich>
              <a:bodyPr/>
              <a:lstStyle/>
              <a:p>
                <a:pPr>
                  <a:defRPr sz="900" b="1" i="0" u="none" strike="noStrike" baseline="0">
                    <a:solidFill>
                      <a:srgbClr val="000000"/>
                    </a:solidFill>
                    <a:latin typeface="Arial"/>
                    <a:ea typeface="Arial"/>
                    <a:cs typeface="Arial"/>
                  </a:defRPr>
                </a:pPr>
                <a:r>
                  <a:rPr lang="en-US"/>
                  <a:t>TSS mg/l</a:t>
                </a:r>
              </a:p>
            </c:rich>
          </c:tx>
          <c:layout>
            <c:manualLayout>
              <c:xMode val="edge"/>
              <c:yMode val="edge"/>
              <c:x val="3.9421811404011159E-2"/>
              <c:y val="0.4621222725947203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34669824"/>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r"/>
      <c:layout>
        <c:manualLayout>
          <c:xMode val="edge"/>
          <c:yMode val="edge"/>
          <c:x val="0.76925665630157702"/>
          <c:y val="0.13128842805540444"/>
          <c:w val="0.19387286297035447"/>
          <c:h val="0.20882149632286359"/>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gradFill>
      <a:gsLst>
        <a:gs pos="0">
          <a:srgbClr val="92D050"/>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Arial"/>
                <a:ea typeface="Arial"/>
                <a:cs typeface="Arial"/>
              </a:defRPr>
            </a:pPr>
            <a:r>
              <a:rPr lang="en-US"/>
              <a:t>2011 Chlorophyll-a Bear Creek Reservoir </a:t>
            </a:r>
          </a:p>
        </c:rich>
      </c:tx>
      <c:layout>
        <c:manualLayout>
          <c:xMode val="edge"/>
          <c:yMode val="edge"/>
          <c:x val="0.26481257557438626"/>
          <c:y val="3.8022813688212996E-2"/>
        </c:manualLayout>
      </c:layout>
      <c:overlay val="0"/>
      <c:spPr>
        <a:noFill/>
        <a:ln w="25400">
          <a:noFill/>
        </a:ln>
      </c:spPr>
    </c:title>
    <c:autoTitleDeleted val="0"/>
    <c:plotArea>
      <c:layout>
        <c:manualLayout>
          <c:layoutTarget val="inner"/>
          <c:xMode val="edge"/>
          <c:yMode val="edge"/>
          <c:x val="0.11184951188043998"/>
          <c:y val="0.23954372623574138"/>
          <c:w val="0.83167310319021581"/>
          <c:h val="0.56273764258559111"/>
        </c:manualLayout>
      </c:layout>
      <c:areaChart>
        <c:grouping val="stacked"/>
        <c:varyColors val="0"/>
        <c:ser>
          <c:idx val="0"/>
          <c:order val="0"/>
          <c:tx>
            <c:strRef>
              <c:f>Chlsecchi!$A$3</c:f>
              <c:strCache>
                <c:ptCount val="1"/>
                <c:pt idx="0">
                  <c:v>Chlorophyll, ug/L</c:v>
                </c:pt>
              </c:strCache>
            </c:strRef>
          </c:tx>
          <c:spPr>
            <a:solidFill>
              <a:srgbClr val="9999FF"/>
            </a:solidFill>
            <a:ln w="12700">
              <a:solidFill>
                <a:srgbClr val="000000"/>
              </a:solidFill>
              <a:prstDash val="solid"/>
            </a:ln>
          </c:spPr>
          <c:cat>
            <c:strRef>
              <c:f>Chlsecchi!$B$13:$M$13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Chlsecchi!$B$14:$M$14</c:f>
              <c:numCache>
                <c:formatCode>General</c:formatCode>
                <c:ptCount val="12"/>
                <c:pt idx="0">
                  <c:v>7</c:v>
                </c:pt>
                <c:pt idx="1">
                  <c:v>2.75</c:v>
                </c:pt>
                <c:pt idx="2">
                  <c:v>12.3</c:v>
                </c:pt>
                <c:pt idx="3">
                  <c:v>10.6</c:v>
                </c:pt>
                <c:pt idx="4">
                  <c:v>8.1</c:v>
                </c:pt>
                <c:pt idx="5">
                  <c:v>8.6</c:v>
                </c:pt>
                <c:pt idx="6" formatCode="0.0">
                  <c:v>5.5</c:v>
                </c:pt>
                <c:pt idx="7" formatCode="0.0">
                  <c:v>11.1</c:v>
                </c:pt>
                <c:pt idx="8" formatCode="0.0">
                  <c:v>15.85</c:v>
                </c:pt>
                <c:pt idx="9">
                  <c:v>15.3</c:v>
                </c:pt>
                <c:pt idx="10">
                  <c:v>4.8</c:v>
                </c:pt>
                <c:pt idx="11">
                  <c:v>4.5999999999999996</c:v>
                </c:pt>
              </c:numCache>
            </c:numRef>
          </c:val>
          <c:extLst>
            <c:ext xmlns:c16="http://schemas.microsoft.com/office/drawing/2014/chart" uri="{C3380CC4-5D6E-409C-BE32-E72D297353CC}">
              <c16:uniqueId val="{00000000-FBBF-4C5A-AD65-A5888A618A00}"/>
            </c:ext>
          </c:extLst>
        </c:ser>
        <c:dLbls>
          <c:showLegendKey val="0"/>
          <c:showVal val="0"/>
          <c:showCatName val="0"/>
          <c:showSerName val="0"/>
          <c:showPercent val="0"/>
          <c:showBubbleSize val="0"/>
        </c:dLbls>
        <c:axId val="134929792"/>
        <c:axId val="135169152"/>
      </c:areaChart>
      <c:catAx>
        <c:axId val="134929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1" i="0" u="none" strike="noStrike" baseline="0">
                <a:solidFill>
                  <a:srgbClr val="000000"/>
                </a:solidFill>
                <a:latin typeface="Arial"/>
                <a:ea typeface="Arial"/>
                <a:cs typeface="Arial"/>
              </a:defRPr>
            </a:pPr>
            <a:endParaRPr lang="en-US"/>
          </a:p>
        </c:txPr>
        <c:crossAx val="135169152"/>
        <c:crosses val="autoZero"/>
        <c:auto val="1"/>
        <c:lblAlgn val="ctr"/>
        <c:lblOffset val="100"/>
        <c:tickLblSkip val="1"/>
        <c:tickMarkSkip val="1"/>
        <c:noMultiLvlLbl val="0"/>
      </c:catAx>
      <c:valAx>
        <c:axId val="135169152"/>
        <c:scaling>
          <c:orientation val="minMax"/>
        </c:scaling>
        <c:delete val="0"/>
        <c:axPos val="l"/>
        <c:majorGridlines>
          <c:spPr>
            <a:ln w="3175">
              <a:solidFill>
                <a:srgbClr val="000000"/>
              </a:solidFill>
              <a:prstDash val="solid"/>
            </a:ln>
          </c:spPr>
        </c:majorGridlines>
        <c:minorGridlines/>
        <c:title>
          <c:tx>
            <c:rich>
              <a:bodyPr/>
              <a:lstStyle/>
              <a:p>
                <a:pPr>
                  <a:defRPr sz="1125" b="1" i="0" u="none" strike="noStrike" baseline="0">
                    <a:solidFill>
                      <a:srgbClr val="000000"/>
                    </a:solidFill>
                    <a:latin typeface="Arial"/>
                    <a:ea typeface="Arial"/>
                    <a:cs typeface="Arial"/>
                  </a:defRPr>
                </a:pPr>
                <a:r>
                  <a:rPr lang="en-US"/>
                  <a:t>Chlorophyll-a (ug/l)</a:t>
                </a:r>
              </a:p>
            </c:rich>
          </c:tx>
          <c:layout>
            <c:manualLayout>
              <c:xMode val="edge"/>
              <c:yMode val="edge"/>
              <c:x val="3.1557379390454061E-2"/>
              <c:y val="0.263530233625739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25" b="1" i="0" u="none" strike="noStrike" baseline="0">
                <a:solidFill>
                  <a:srgbClr val="000000"/>
                </a:solidFill>
                <a:latin typeface="Arial"/>
                <a:ea typeface="Arial"/>
                <a:cs typeface="Arial"/>
              </a:defRPr>
            </a:pPr>
            <a:endParaRPr lang="en-US"/>
          </a:p>
        </c:txPr>
        <c:crossAx val="134929792"/>
        <c:crosses val="autoZero"/>
        <c:crossBetween val="midCat"/>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FFFFFF"/>
          </a:solidFill>
          <a:prstDash val="solid"/>
        </a:ln>
      </c:spPr>
    </c:plotArea>
    <c:plotVisOnly val="1"/>
    <c:dispBlanksAs val="zero"/>
    <c:showDLblsOverMax val="0"/>
  </c:chart>
  <c:spPr>
    <a:gradFill>
      <a:gsLst>
        <a:gs pos="0">
          <a:srgbClr val="92D050"/>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n-US"/>
              <a:t>2011 Secchi Depth Bear Creek Reservoir</a:t>
            </a:r>
          </a:p>
        </c:rich>
      </c:tx>
      <c:layout>
        <c:manualLayout>
          <c:xMode val="edge"/>
          <c:yMode val="edge"/>
          <c:x val="0.27333133137562948"/>
          <c:y val="5.0935390888639014E-2"/>
        </c:manualLayout>
      </c:layout>
      <c:overlay val="0"/>
      <c:spPr>
        <a:noFill/>
        <a:ln w="25400">
          <a:noFill/>
        </a:ln>
      </c:spPr>
    </c:title>
    <c:autoTitleDeleted val="0"/>
    <c:plotArea>
      <c:layout>
        <c:manualLayout>
          <c:layoutTarget val="inner"/>
          <c:xMode val="edge"/>
          <c:yMode val="edge"/>
          <c:x val="0.11353717842584651"/>
          <c:y val="0.25547415268743578"/>
          <c:w val="0.85262054183255886"/>
          <c:h val="0.62165889798895269"/>
        </c:manualLayout>
      </c:layout>
      <c:barChart>
        <c:barDir val="col"/>
        <c:grouping val="clustered"/>
        <c:varyColors val="0"/>
        <c:ser>
          <c:idx val="0"/>
          <c:order val="0"/>
          <c:tx>
            <c:strRef>
              <c:f>Chlsecchi!$A$15</c:f>
              <c:strCache>
                <c:ptCount val="1"/>
                <c:pt idx="0">
                  <c:v>Secchi (ft)</c:v>
                </c:pt>
              </c:strCache>
            </c:strRef>
          </c:tx>
          <c:spPr>
            <a:solidFill>
              <a:srgbClr val="9999FF"/>
            </a:solidFill>
            <a:ln w="12700">
              <a:solidFill>
                <a:srgbClr val="000000"/>
              </a:solidFill>
              <a:prstDash val="solid"/>
            </a:ln>
          </c:spPr>
          <c:invertIfNegative val="0"/>
          <c:cat>
            <c:strRef>
              <c:f>Chlsecchi!$B$13:$M$13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Chlsecchi!$B$15:$M$15</c:f>
              <c:numCache>
                <c:formatCode>0.0</c:formatCode>
                <c:ptCount val="12"/>
                <c:pt idx="0">
                  <c:v>8.6919999999999984</c:v>
                </c:pt>
                <c:pt idx="1">
                  <c:v>9.84</c:v>
                </c:pt>
                <c:pt idx="2">
                  <c:v>3.6736</c:v>
                </c:pt>
                <c:pt idx="3">
                  <c:v>3.6080000000000001</c:v>
                </c:pt>
                <c:pt idx="4">
                  <c:v>7.5439999999999987</c:v>
                </c:pt>
                <c:pt idx="5">
                  <c:v>7.5439999999999987</c:v>
                </c:pt>
                <c:pt idx="6">
                  <c:v>7.6751999999999985</c:v>
                </c:pt>
                <c:pt idx="7">
                  <c:v>8.363999999999999</c:v>
                </c:pt>
                <c:pt idx="8">
                  <c:v>5.0019999999999998</c:v>
                </c:pt>
                <c:pt idx="9">
                  <c:v>7.38</c:v>
                </c:pt>
                <c:pt idx="10">
                  <c:v>4.0015999999999998</c:v>
                </c:pt>
                <c:pt idx="11">
                  <c:v>15.416</c:v>
                </c:pt>
              </c:numCache>
            </c:numRef>
          </c:val>
          <c:extLst>
            <c:ext xmlns:c16="http://schemas.microsoft.com/office/drawing/2014/chart" uri="{C3380CC4-5D6E-409C-BE32-E72D297353CC}">
              <c16:uniqueId val="{00000000-8B8C-4235-9A2D-01A2BC7D016A}"/>
            </c:ext>
          </c:extLst>
        </c:ser>
        <c:dLbls>
          <c:showLegendKey val="0"/>
          <c:showVal val="0"/>
          <c:showCatName val="0"/>
          <c:showSerName val="0"/>
          <c:showPercent val="0"/>
          <c:showBubbleSize val="0"/>
        </c:dLbls>
        <c:gapWidth val="150"/>
        <c:axId val="135275264"/>
        <c:axId val="135276800"/>
      </c:barChart>
      <c:catAx>
        <c:axId val="135275264"/>
        <c:scaling>
          <c:orientation val="minMax"/>
        </c:scaling>
        <c:delete val="0"/>
        <c:axPos val="t"/>
        <c:numFmt formatCode="General" sourceLinked="1"/>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35276800"/>
        <c:crosses val="autoZero"/>
        <c:auto val="1"/>
        <c:lblAlgn val="ctr"/>
        <c:lblOffset val="100"/>
        <c:tickLblSkip val="1"/>
        <c:tickMarkSkip val="1"/>
        <c:noMultiLvlLbl val="0"/>
      </c:catAx>
      <c:valAx>
        <c:axId val="135276800"/>
        <c:scaling>
          <c:orientation val="maxMin"/>
        </c:scaling>
        <c:delete val="0"/>
        <c:axPos val="l"/>
        <c:majorGridlines>
          <c:spPr>
            <a:ln w="3175">
              <a:solidFill>
                <a:srgbClr val="000000"/>
              </a:solidFill>
              <a:prstDash val="solid"/>
            </a:ln>
          </c:spPr>
        </c:majorGridlines>
        <c:minorGridlines/>
        <c:title>
          <c:tx>
            <c:rich>
              <a:bodyPr/>
              <a:lstStyle/>
              <a:p>
                <a:pPr>
                  <a:defRPr sz="1000" b="1" i="0" u="none" strike="noStrike" baseline="0">
                    <a:solidFill>
                      <a:srgbClr val="000000"/>
                    </a:solidFill>
                    <a:latin typeface="Arial"/>
                    <a:ea typeface="Arial"/>
                    <a:cs typeface="Arial"/>
                  </a:defRPr>
                </a:pPr>
                <a:r>
                  <a:rPr lang="en-US"/>
                  <a:t>Secchi Depth (feet)</a:t>
                </a:r>
              </a:p>
            </c:rich>
          </c:tx>
          <c:layout>
            <c:manualLayout>
              <c:xMode val="edge"/>
              <c:yMode val="edge"/>
              <c:x val="2.7147856517935286E-2"/>
              <c:y val="0.3730602957906968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350" b="1" i="0" u="none" strike="noStrike" baseline="0">
                <a:solidFill>
                  <a:srgbClr val="000000"/>
                </a:solidFill>
                <a:latin typeface="Arial"/>
                <a:ea typeface="Arial"/>
                <a:cs typeface="Arial"/>
              </a:defRPr>
            </a:pPr>
            <a:endParaRPr lang="en-US"/>
          </a:p>
        </c:txPr>
        <c:crossAx val="135275264"/>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plotVisOnly val="1"/>
    <c:dispBlanksAs val="gap"/>
    <c:showDLblsOverMax val="0"/>
  </c:chart>
  <c:spPr>
    <a:gradFill>
      <a:gsLst>
        <a:gs pos="0">
          <a:srgbClr val="92D050"/>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US" sz="900"/>
              <a:t>Bear Creek Reservoir Total </a:t>
            </a:r>
            <a:r>
              <a:rPr lang="en-US" sz="1000"/>
              <a:t>Suspended</a:t>
            </a:r>
            <a:r>
              <a:rPr lang="en-US" sz="900"/>
              <a:t> Sediments [mg/l] Trend</a:t>
            </a:r>
          </a:p>
        </c:rich>
      </c:tx>
      <c:layout>
        <c:manualLayout>
          <c:xMode val="edge"/>
          <c:yMode val="edge"/>
          <c:x val="0.22063492063492063"/>
          <c:y val="4.065040650406504E-2"/>
        </c:manualLayout>
      </c:layout>
      <c:overlay val="0"/>
      <c:spPr>
        <a:noFill/>
        <a:ln w="25400">
          <a:noFill/>
        </a:ln>
      </c:spPr>
    </c:title>
    <c:autoTitleDeleted val="0"/>
    <c:plotArea>
      <c:layout>
        <c:manualLayout>
          <c:layoutTarget val="inner"/>
          <c:xMode val="edge"/>
          <c:yMode val="edge"/>
          <c:x val="6.2184924981063934E-2"/>
          <c:y val="0.14769733051661998"/>
          <c:w val="0.922689832827157"/>
          <c:h val="0.68157437637370677"/>
        </c:manualLayout>
      </c:layout>
      <c:barChart>
        <c:barDir val="col"/>
        <c:grouping val="clustered"/>
        <c:varyColors val="0"/>
        <c:ser>
          <c:idx val="0"/>
          <c:order val="0"/>
          <c:tx>
            <c:strRef>
              <c:f>'Annual Reservoir Trends'!$B$15</c:f>
              <c:strCache>
                <c:ptCount val="1"/>
                <c:pt idx="0">
                  <c:v>Top</c:v>
                </c:pt>
              </c:strCache>
            </c:strRef>
          </c:tx>
          <c:spPr>
            <a:solidFill>
              <a:srgbClr val="9999FF"/>
            </a:solidFill>
            <a:ln w="12700">
              <a:solidFill>
                <a:srgbClr val="000000"/>
              </a:solidFill>
              <a:prstDash val="solid"/>
            </a:ln>
          </c:spPr>
          <c:invertIfNegative val="0"/>
          <c:cat>
            <c:numRef>
              <c:f>'Annual Reservoir Trends'!$C$3:$W$3</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'Annual Reservoir Trends'!$C$15:$W$15</c:f>
              <c:numCache>
                <c:formatCode>General</c:formatCode>
                <c:ptCount val="21"/>
                <c:pt idx="0">
                  <c:v>6</c:v>
                </c:pt>
                <c:pt idx="1">
                  <c:v>7</c:v>
                </c:pt>
                <c:pt idx="2">
                  <c:v>4</c:v>
                </c:pt>
                <c:pt idx="3">
                  <c:v>9</c:v>
                </c:pt>
                <c:pt idx="4">
                  <c:v>6</c:v>
                </c:pt>
                <c:pt idx="5">
                  <c:v>4</c:v>
                </c:pt>
                <c:pt idx="6">
                  <c:v>12</c:v>
                </c:pt>
                <c:pt idx="7">
                  <c:v>6</c:v>
                </c:pt>
                <c:pt idx="8">
                  <c:v>7</c:v>
                </c:pt>
                <c:pt idx="9">
                  <c:v>6</c:v>
                </c:pt>
                <c:pt idx="10">
                  <c:v>7</c:v>
                </c:pt>
                <c:pt idx="11">
                  <c:v>5</c:v>
                </c:pt>
                <c:pt idx="12">
                  <c:v>7</c:v>
                </c:pt>
                <c:pt idx="13">
                  <c:v>3</c:v>
                </c:pt>
                <c:pt idx="14" formatCode="0.0">
                  <c:v>5.4026666666666667</c:v>
                </c:pt>
                <c:pt idx="15" formatCode="0.0">
                  <c:v>6.2935111111111111</c:v>
                </c:pt>
                <c:pt idx="16" formatCode="0.0">
                  <c:v>5.7373968253968224</c:v>
                </c:pt>
                <c:pt idx="17" formatCode="0.0">
                  <c:v>11.2</c:v>
                </c:pt>
                <c:pt idx="18" formatCode="0.0">
                  <c:v>6.9</c:v>
                </c:pt>
                <c:pt idx="19" formatCode="0.0">
                  <c:v>7.3</c:v>
                </c:pt>
                <c:pt idx="20" formatCode="0.0">
                  <c:v>6.2</c:v>
                </c:pt>
              </c:numCache>
            </c:numRef>
          </c:val>
          <c:extLst>
            <c:ext xmlns:c16="http://schemas.microsoft.com/office/drawing/2014/chart" uri="{C3380CC4-5D6E-409C-BE32-E72D297353CC}">
              <c16:uniqueId val="{00000000-2255-499F-98E1-CCCA2A4C53A6}"/>
            </c:ext>
          </c:extLst>
        </c:ser>
        <c:ser>
          <c:idx val="3"/>
          <c:order val="1"/>
          <c:tx>
            <c:strRef>
              <c:f>'Annual Reservoir Trends'!$B$17</c:f>
              <c:strCache>
                <c:ptCount val="1"/>
                <c:pt idx="0">
                  <c:v>Bottom</c:v>
                </c:pt>
              </c:strCache>
            </c:strRef>
          </c:tx>
          <c:spPr>
            <a:solidFill>
              <a:srgbClr val="CCFFFF"/>
            </a:solidFill>
            <a:ln w="12700">
              <a:solidFill>
                <a:srgbClr val="000000"/>
              </a:solidFill>
              <a:prstDash val="solid"/>
            </a:ln>
          </c:spPr>
          <c:invertIfNegative val="0"/>
          <c:trendline>
            <c:spPr>
              <a:ln w="25400">
                <a:solidFill>
                  <a:srgbClr val="000000"/>
                </a:solidFill>
                <a:prstDash val="solid"/>
              </a:ln>
            </c:spPr>
            <c:trendlineType val="linear"/>
            <c:dispRSqr val="0"/>
            <c:dispEq val="0"/>
          </c:trendline>
          <c:cat>
            <c:numRef>
              <c:f>'Annual Reservoir Trends'!$C$3:$W$3</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'Annual Reservoir Trends'!$C$17:$W$17</c:f>
              <c:numCache>
                <c:formatCode>General</c:formatCode>
                <c:ptCount val="21"/>
                <c:pt idx="0">
                  <c:v>19</c:v>
                </c:pt>
                <c:pt idx="1">
                  <c:v>8</c:v>
                </c:pt>
                <c:pt idx="2">
                  <c:v>5</c:v>
                </c:pt>
                <c:pt idx="3">
                  <c:v>9</c:v>
                </c:pt>
                <c:pt idx="4">
                  <c:v>13</c:v>
                </c:pt>
                <c:pt idx="5">
                  <c:v>7</c:v>
                </c:pt>
                <c:pt idx="6">
                  <c:v>22</c:v>
                </c:pt>
                <c:pt idx="7">
                  <c:v>12</c:v>
                </c:pt>
                <c:pt idx="8">
                  <c:v>12</c:v>
                </c:pt>
                <c:pt idx="9">
                  <c:v>8</c:v>
                </c:pt>
                <c:pt idx="10">
                  <c:v>10</c:v>
                </c:pt>
                <c:pt idx="11">
                  <c:v>5</c:v>
                </c:pt>
                <c:pt idx="12">
                  <c:v>8</c:v>
                </c:pt>
                <c:pt idx="13">
                  <c:v>9</c:v>
                </c:pt>
                <c:pt idx="14" formatCode="0.0">
                  <c:v>7.4459215686274529</c:v>
                </c:pt>
                <c:pt idx="15" formatCode="0.0">
                  <c:v>10.296394771241831</c:v>
                </c:pt>
                <c:pt idx="16" formatCode="0.0">
                  <c:v>6.033309794757165</c:v>
                </c:pt>
                <c:pt idx="17" formatCode="0.0">
                  <c:v>20.9</c:v>
                </c:pt>
                <c:pt idx="18" formatCode="0.0">
                  <c:v>10</c:v>
                </c:pt>
                <c:pt idx="19" formatCode="0.0">
                  <c:v>8.9</c:v>
                </c:pt>
                <c:pt idx="20" formatCode="0.0">
                  <c:v>10.5</c:v>
                </c:pt>
              </c:numCache>
            </c:numRef>
          </c:val>
          <c:extLst>
            <c:ext xmlns:c16="http://schemas.microsoft.com/office/drawing/2014/chart" uri="{C3380CC4-5D6E-409C-BE32-E72D297353CC}">
              <c16:uniqueId val="{00000002-2255-499F-98E1-CCCA2A4C53A6}"/>
            </c:ext>
          </c:extLst>
        </c:ser>
        <c:dLbls>
          <c:showLegendKey val="0"/>
          <c:showVal val="0"/>
          <c:showCatName val="0"/>
          <c:showSerName val="0"/>
          <c:showPercent val="0"/>
          <c:showBubbleSize val="0"/>
        </c:dLbls>
        <c:gapWidth val="150"/>
        <c:axId val="85691008"/>
        <c:axId val="86208896"/>
      </c:barChart>
      <c:catAx>
        <c:axId val="85691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86208896"/>
        <c:crosses val="autoZero"/>
        <c:auto val="1"/>
        <c:lblAlgn val="ctr"/>
        <c:lblOffset val="100"/>
        <c:tickLblSkip val="1"/>
        <c:tickMarkSkip val="1"/>
        <c:noMultiLvlLbl val="0"/>
      </c:catAx>
      <c:valAx>
        <c:axId val="862088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85691008"/>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legend>
      <c:legendPos val="r"/>
      <c:layout>
        <c:manualLayout>
          <c:xMode val="edge"/>
          <c:yMode val="edge"/>
          <c:x val="0.6162765970043218"/>
          <c:y val="0.14092226276593744"/>
          <c:w val="0.22857159521726456"/>
          <c:h val="0.23577321127541984"/>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Phytoplankton Average Total Density (#/mL): </a:t>
            </a:r>
          </a:p>
        </c:rich>
      </c:tx>
      <c:overlay val="0"/>
    </c:title>
    <c:autoTitleDeleted val="0"/>
    <c:plotArea>
      <c:layout/>
      <c:areaChart>
        <c:grouping val="standard"/>
        <c:varyColors val="0"/>
        <c:ser>
          <c:idx val="1"/>
          <c:order val="0"/>
          <c:tx>
            <c:strRef>
              <c:f>Phytoplankton!$E$8</c:f>
              <c:strCache>
                <c:ptCount val="1"/>
                <c:pt idx="0">
                  <c:v>Average Total Density (#/mL): </c:v>
                </c:pt>
              </c:strCache>
            </c:strRef>
          </c:tx>
          <c:cat>
            <c:numRef>
              <c:f>Phytoplankton!$F$1:$K$1</c:f>
              <c:numCache>
                <c:formatCode>d\-mmm\-yy</c:formatCode>
                <c:ptCount val="6"/>
                <c:pt idx="0">
                  <c:v>40749</c:v>
                </c:pt>
                <c:pt idx="1">
                  <c:v>40763</c:v>
                </c:pt>
                <c:pt idx="2">
                  <c:v>40767</c:v>
                </c:pt>
                <c:pt idx="3">
                  <c:v>40777</c:v>
                </c:pt>
                <c:pt idx="4">
                  <c:v>40798</c:v>
                </c:pt>
                <c:pt idx="5">
                  <c:v>40812</c:v>
                </c:pt>
              </c:numCache>
            </c:numRef>
          </c:cat>
          <c:val>
            <c:numRef>
              <c:f>Phytoplankton!$F$8:$K$8</c:f>
              <c:numCache>
                <c:formatCode>0</c:formatCode>
                <c:ptCount val="6"/>
                <c:pt idx="0">
                  <c:v>356.81556372549176</c:v>
                </c:pt>
                <c:pt idx="1">
                  <c:v>553.72688484992591</c:v>
                </c:pt>
                <c:pt idx="2">
                  <c:v>323.28603783639625</c:v>
                </c:pt>
                <c:pt idx="3">
                  <c:v>2382.9773842543195</c:v>
                </c:pt>
                <c:pt idx="4">
                  <c:v>1662.7960292022972</c:v>
                </c:pt>
                <c:pt idx="5">
                  <c:v>7259.643146796413</c:v>
                </c:pt>
              </c:numCache>
            </c:numRef>
          </c:val>
          <c:extLst>
            <c:ext xmlns:c16="http://schemas.microsoft.com/office/drawing/2014/chart" uri="{C3380CC4-5D6E-409C-BE32-E72D297353CC}">
              <c16:uniqueId val="{00000000-A794-470B-A057-162FDFCF0E81}"/>
            </c:ext>
          </c:extLst>
        </c:ser>
        <c:dLbls>
          <c:showLegendKey val="0"/>
          <c:showVal val="0"/>
          <c:showCatName val="0"/>
          <c:showSerName val="0"/>
          <c:showPercent val="0"/>
          <c:showBubbleSize val="0"/>
        </c:dLbls>
        <c:axId val="135304704"/>
        <c:axId val="135306240"/>
      </c:areaChart>
      <c:dateAx>
        <c:axId val="135304704"/>
        <c:scaling>
          <c:orientation val="minMax"/>
        </c:scaling>
        <c:delete val="0"/>
        <c:axPos val="b"/>
        <c:numFmt formatCode="d\-mmm\-yy" sourceLinked="1"/>
        <c:majorTickMark val="out"/>
        <c:minorTickMark val="none"/>
        <c:tickLblPos val="nextTo"/>
        <c:crossAx val="135306240"/>
        <c:crosses val="autoZero"/>
        <c:auto val="1"/>
        <c:lblOffset val="100"/>
        <c:baseTimeUnit val="days"/>
        <c:majorUnit val="30"/>
        <c:majorTimeUnit val="days"/>
        <c:minorUnit val="15"/>
        <c:minorTimeUnit val="days"/>
      </c:dateAx>
      <c:valAx>
        <c:axId val="135306240"/>
        <c:scaling>
          <c:orientation val="minMax"/>
        </c:scaling>
        <c:delete val="0"/>
        <c:axPos val="l"/>
        <c:majorGridlines/>
        <c:numFmt formatCode="0" sourceLinked="1"/>
        <c:majorTickMark val="out"/>
        <c:minorTickMark val="none"/>
        <c:tickLblPos val="nextTo"/>
        <c:crossAx val="135304704"/>
        <c:crosses val="autoZero"/>
        <c:crossBetween val="midCat"/>
      </c:valAx>
    </c:plotArea>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000000000000044" l="0.7000000000000004" r="0.7000000000000004" t="0.75000000000000044" header="0.30000000000000021" footer="0.3000000000000002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Reservoir Phosphorus</a:t>
            </a:r>
          </a:p>
        </c:rich>
      </c:tx>
      <c:layout>
        <c:manualLayout>
          <c:xMode val="edge"/>
          <c:yMode val="edge"/>
          <c:x val="0.36699860401432982"/>
          <c:y val="0.87175758391156188"/>
        </c:manualLayout>
      </c:layout>
      <c:overlay val="1"/>
    </c:title>
    <c:autoTitleDeleted val="0"/>
    <c:plotArea>
      <c:layout>
        <c:manualLayout>
          <c:layoutTarget val="inner"/>
          <c:xMode val="edge"/>
          <c:yMode val="edge"/>
          <c:x val="9.8571741032371027E-2"/>
          <c:y val="5.1400554097404488E-2"/>
          <c:w val="0.84895100612425234"/>
          <c:h val="0.70651574803149608"/>
        </c:manualLayout>
      </c:layout>
      <c:lineChart>
        <c:grouping val="standard"/>
        <c:varyColors val="0"/>
        <c:ser>
          <c:idx val="0"/>
          <c:order val="0"/>
          <c:tx>
            <c:strRef>
              <c:f>'Monthly Chemistry'!$B$16</c:f>
              <c:strCache>
                <c:ptCount val="1"/>
                <c:pt idx="0">
                  <c:v>Phosphorus, total</c:v>
                </c:pt>
              </c:strCache>
            </c:strRef>
          </c:tx>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Chemistry'!$C$16:$Q$16</c:f>
              <c:numCache>
                <c:formatCode>General</c:formatCode>
                <c:ptCount val="15"/>
                <c:pt idx="0">
                  <c:v>23</c:v>
                </c:pt>
                <c:pt idx="1">
                  <c:v>16</c:v>
                </c:pt>
                <c:pt idx="2">
                  <c:v>19</c:v>
                </c:pt>
                <c:pt idx="3">
                  <c:v>26</c:v>
                </c:pt>
                <c:pt idx="4">
                  <c:v>5</c:v>
                </c:pt>
                <c:pt idx="5">
                  <c:v>25</c:v>
                </c:pt>
                <c:pt idx="6">
                  <c:v>41</c:v>
                </c:pt>
                <c:pt idx="7">
                  <c:v>45</c:v>
                </c:pt>
                <c:pt idx="8" formatCode="0">
                  <c:v>42</c:v>
                </c:pt>
                <c:pt idx="9">
                  <c:v>48</c:v>
                </c:pt>
                <c:pt idx="10">
                  <c:v>80</c:v>
                </c:pt>
                <c:pt idx="11">
                  <c:v>67</c:v>
                </c:pt>
                <c:pt idx="12">
                  <c:v>35</c:v>
                </c:pt>
                <c:pt idx="13">
                  <c:v>22</c:v>
                </c:pt>
                <c:pt idx="14" formatCode="0">
                  <c:v>11</c:v>
                </c:pt>
              </c:numCache>
            </c:numRef>
          </c:val>
          <c:smooth val="0"/>
          <c:extLst>
            <c:ext xmlns:c16="http://schemas.microsoft.com/office/drawing/2014/chart" uri="{C3380CC4-5D6E-409C-BE32-E72D297353CC}">
              <c16:uniqueId val="{00000000-CB55-4B29-B70A-730FA0A0F8D6}"/>
            </c:ext>
          </c:extLst>
        </c:ser>
        <c:ser>
          <c:idx val="1"/>
          <c:order val="1"/>
          <c:tx>
            <c:strRef>
              <c:f>'Monthly Chemistry'!$B$17</c:f>
              <c:strCache>
                <c:ptCount val="1"/>
                <c:pt idx="0">
                  <c:v>Total Dissolved Phosphorus</c:v>
                </c:pt>
              </c:strCache>
            </c:strRef>
          </c:tx>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Chemistry'!$C$17:$Q$17</c:f>
              <c:numCache>
                <c:formatCode>General</c:formatCode>
                <c:ptCount val="15"/>
                <c:pt idx="0">
                  <c:v>8</c:v>
                </c:pt>
                <c:pt idx="1">
                  <c:v>7</c:v>
                </c:pt>
                <c:pt idx="2">
                  <c:v>4</c:v>
                </c:pt>
                <c:pt idx="3">
                  <c:v>12</c:v>
                </c:pt>
                <c:pt idx="4">
                  <c:v>7</c:v>
                </c:pt>
                <c:pt idx="5">
                  <c:v>6</c:v>
                </c:pt>
                <c:pt idx="6">
                  <c:v>25</c:v>
                </c:pt>
                <c:pt idx="7">
                  <c:v>27</c:v>
                </c:pt>
                <c:pt idx="8" formatCode="0">
                  <c:v>29</c:v>
                </c:pt>
                <c:pt idx="9">
                  <c:v>25</c:v>
                </c:pt>
                <c:pt idx="10">
                  <c:v>45</c:v>
                </c:pt>
                <c:pt idx="11">
                  <c:v>33</c:v>
                </c:pt>
                <c:pt idx="12">
                  <c:v>9</c:v>
                </c:pt>
                <c:pt idx="13">
                  <c:v>9</c:v>
                </c:pt>
                <c:pt idx="14" formatCode="0">
                  <c:v>5</c:v>
                </c:pt>
              </c:numCache>
            </c:numRef>
          </c:val>
          <c:smooth val="0"/>
          <c:extLst>
            <c:ext xmlns:c16="http://schemas.microsoft.com/office/drawing/2014/chart" uri="{C3380CC4-5D6E-409C-BE32-E72D297353CC}">
              <c16:uniqueId val="{00000001-CB55-4B29-B70A-730FA0A0F8D6}"/>
            </c:ext>
          </c:extLst>
        </c:ser>
        <c:dLbls>
          <c:showLegendKey val="0"/>
          <c:showVal val="0"/>
          <c:showCatName val="0"/>
          <c:showSerName val="0"/>
          <c:showPercent val="0"/>
          <c:showBubbleSize val="0"/>
        </c:dLbls>
        <c:marker val="1"/>
        <c:smooth val="0"/>
        <c:axId val="135729920"/>
        <c:axId val="135731456"/>
      </c:lineChart>
      <c:dateAx>
        <c:axId val="135729920"/>
        <c:scaling>
          <c:orientation val="minMax"/>
          <c:max val="40908"/>
        </c:scaling>
        <c:delete val="0"/>
        <c:axPos val="b"/>
        <c:numFmt formatCode="[$-409]mmm\-yy;@" sourceLinked="0"/>
        <c:majorTickMark val="out"/>
        <c:minorTickMark val="none"/>
        <c:tickLblPos val="nextTo"/>
        <c:crossAx val="135731456"/>
        <c:crosses val="autoZero"/>
        <c:auto val="1"/>
        <c:lblOffset val="100"/>
        <c:baseTimeUnit val="days"/>
        <c:majorUnit val="1"/>
        <c:majorTimeUnit val="months"/>
        <c:minorUnit val="15"/>
        <c:minorTimeUnit val="days"/>
      </c:dateAx>
      <c:valAx>
        <c:axId val="135731456"/>
        <c:scaling>
          <c:orientation val="minMax"/>
        </c:scaling>
        <c:delete val="0"/>
        <c:axPos val="l"/>
        <c:majorGridlines/>
        <c:minorGridlines/>
        <c:numFmt formatCode="General" sourceLinked="1"/>
        <c:majorTickMark val="out"/>
        <c:minorTickMark val="none"/>
        <c:tickLblPos val="nextTo"/>
        <c:crossAx val="135729920"/>
        <c:crossesAt val="40203"/>
        <c:crossBetween val="midCat"/>
      </c:valAx>
    </c:plotArea>
    <c:legend>
      <c:legendPos val="r"/>
      <c:layout>
        <c:manualLayout>
          <c:xMode val="edge"/>
          <c:yMode val="edge"/>
          <c:x val="0.14256312321446371"/>
          <c:y val="0.15534468447854274"/>
          <c:w val="0.27772996132799888"/>
          <c:h val="0.15686101872425021"/>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txPr>
        <a:bodyPr/>
        <a:lstStyle/>
        <a:p>
          <a:pPr>
            <a:defRPr sz="1100"/>
          </a:pPr>
          <a:endParaRPr lang="en-US"/>
        </a:p>
      </c:tx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Reservoir Nitrate/Nitrite  </a:t>
            </a:r>
          </a:p>
        </c:rich>
      </c:tx>
      <c:layout>
        <c:manualLayout>
          <c:xMode val="edge"/>
          <c:yMode val="edge"/>
          <c:x val="0.36757028526433666"/>
          <c:y val="0.86236910640508768"/>
        </c:manualLayout>
      </c:layout>
      <c:overlay val="0"/>
    </c:title>
    <c:autoTitleDeleted val="0"/>
    <c:plotArea>
      <c:layout>
        <c:manualLayout>
          <c:layoutTarget val="inner"/>
          <c:xMode val="edge"/>
          <c:yMode val="edge"/>
          <c:x val="0.15747462817148244"/>
          <c:y val="0.19480351414406533"/>
          <c:w val="0.78925131698963169"/>
          <c:h val="0.57160776902888799"/>
        </c:manualLayout>
      </c:layout>
      <c:lineChart>
        <c:grouping val="standard"/>
        <c:varyColors val="0"/>
        <c:ser>
          <c:idx val="0"/>
          <c:order val="0"/>
          <c:tx>
            <c:strRef>
              <c:f>'Monthly Chemistry'!$A$13:$A$18</c:f>
              <c:strCache>
                <c:ptCount val="1"/>
                <c:pt idx="0">
                  <c:v>Bear Creek Reservoir Top, Site 40a</c:v>
                </c:pt>
              </c:strCache>
            </c:strRef>
          </c:tx>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Chemistry'!$C$14:$Q$14</c:f>
              <c:numCache>
                <c:formatCode>General</c:formatCode>
                <c:ptCount val="15"/>
                <c:pt idx="0">
                  <c:v>454</c:v>
                </c:pt>
                <c:pt idx="1">
                  <c:v>213</c:v>
                </c:pt>
                <c:pt idx="2">
                  <c:v>362</c:v>
                </c:pt>
                <c:pt idx="3">
                  <c:v>151</c:v>
                </c:pt>
                <c:pt idx="4">
                  <c:v>124</c:v>
                </c:pt>
                <c:pt idx="5">
                  <c:v>78</c:v>
                </c:pt>
                <c:pt idx="6">
                  <c:v>133</c:v>
                </c:pt>
                <c:pt idx="7">
                  <c:v>163</c:v>
                </c:pt>
                <c:pt idx="8" formatCode="0">
                  <c:v>115</c:v>
                </c:pt>
                <c:pt idx="9">
                  <c:v>36</c:v>
                </c:pt>
                <c:pt idx="10">
                  <c:v>81</c:v>
                </c:pt>
                <c:pt idx="11">
                  <c:v>127</c:v>
                </c:pt>
                <c:pt idx="12">
                  <c:v>4</c:v>
                </c:pt>
                <c:pt idx="13">
                  <c:v>77</c:v>
                </c:pt>
                <c:pt idx="14" formatCode="0">
                  <c:v>258</c:v>
                </c:pt>
              </c:numCache>
            </c:numRef>
          </c:val>
          <c:smooth val="0"/>
          <c:extLst>
            <c:ext xmlns:c16="http://schemas.microsoft.com/office/drawing/2014/chart" uri="{C3380CC4-5D6E-409C-BE32-E72D297353CC}">
              <c16:uniqueId val="{00000000-5F22-4E9E-A11D-BC7431AFA4BA}"/>
            </c:ext>
          </c:extLst>
        </c:ser>
        <c:ser>
          <c:idx val="1"/>
          <c:order val="1"/>
          <c:tx>
            <c:strRef>
              <c:f>'Monthly Chemistry'!$A$19:$A$23</c:f>
              <c:strCache>
                <c:ptCount val="1"/>
                <c:pt idx="0">
                  <c:v>Bear Creek Reservoir Bottom, Site 40c</c:v>
                </c:pt>
              </c:strCache>
            </c:strRef>
          </c:tx>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Chemistry'!$C$19:$Q$19</c:f>
              <c:numCache>
                <c:formatCode>General</c:formatCode>
                <c:ptCount val="15"/>
                <c:pt idx="0">
                  <c:v>303</c:v>
                </c:pt>
                <c:pt idx="1">
                  <c:v>431</c:v>
                </c:pt>
                <c:pt idx="2">
                  <c:v>362</c:v>
                </c:pt>
                <c:pt idx="3">
                  <c:v>157</c:v>
                </c:pt>
                <c:pt idx="4">
                  <c:v>121</c:v>
                </c:pt>
                <c:pt idx="5">
                  <c:v>81</c:v>
                </c:pt>
                <c:pt idx="6">
                  <c:v>121</c:v>
                </c:pt>
                <c:pt idx="7">
                  <c:v>151</c:v>
                </c:pt>
                <c:pt idx="8" formatCode="0">
                  <c:v>114</c:v>
                </c:pt>
                <c:pt idx="9">
                  <c:v>39</c:v>
                </c:pt>
                <c:pt idx="10">
                  <c:v>122</c:v>
                </c:pt>
                <c:pt idx="11">
                  <c:v>127</c:v>
                </c:pt>
                <c:pt idx="12">
                  <c:v>26</c:v>
                </c:pt>
                <c:pt idx="13">
                  <c:v>77</c:v>
                </c:pt>
                <c:pt idx="14" formatCode="0.0">
                  <c:v>564</c:v>
                </c:pt>
              </c:numCache>
            </c:numRef>
          </c:val>
          <c:smooth val="0"/>
          <c:extLst>
            <c:ext xmlns:c16="http://schemas.microsoft.com/office/drawing/2014/chart" uri="{C3380CC4-5D6E-409C-BE32-E72D297353CC}">
              <c16:uniqueId val="{00000001-5F22-4E9E-A11D-BC7431AFA4BA}"/>
            </c:ext>
          </c:extLst>
        </c:ser>
        <c:dLbls>
          <c:showLegendKey val="0"/>
          <c:showVal val="0"/>
          <c:showCatName val="0"/>
          <c:showSerName val="0"/>
          <c:showPercent val="0"/>
          <c:showBubbleSize val="0"/>
        </c:dLbls>
        <c:hiLowLines/>
        <c:marker val="1"/>
        <c:smooth val="0"/>
        <c:axId val="135756800"/>
        <c:axId val="135770880"/>
      </c:lineChart>
      <c:dateAx>
        <c:axId val="135756800"/>
        <c:scaling>
          <c:orientation val="minMax"/>
          <c:max val="40908"/>
        </c:scaling>
        <c:delete val="0"/>
        <c:axPos val="b"/>
        <c:numFmt formatCode="[$-409]d\-mmm;@" sourceLinked="0"/>
        <c:majorTickMark val="in"/>
        <c:minorTickMark val="out"/>
        <c:tickLblPos val="low"/>
        <c:crossAx val="135770880"/>
        <c:crosses val="autoZero"/>
        <c:auto val="0"/>
        <c:lblOffset val="100"/>
        <c:baseTimeUnit val="days"/>
        <c:majorUnit val="1"/>
        <c:majorTimeUnit val="months"/>
        <c:minorUnit val="15"/>
        <c:minorTimeUnit val="months"/>
      </c:dateAx>
      <c:valAx>
        <c:axId val="135770880"/>
        <c:scaling>
          <c:orientation val="minMax"/>
        </c:scaling>
        <c:delete val="0"/>
        <c:axPos val="l"/>
        <c:majorGridlines/>
        <c:minorGridlines/>
        <c:title>
          <c:tx>
            <c:rich>
              <a:bodyPr/>
              <a:lstStyle/>
              <a:p>
                <a:pPr>
                  <a:defRPr/>
                </a:pPr>
                <a:r>
                  <a:rPr lang="en-US"/>
                  <a:t>ug/l</a:t>
                </a:r>
              </a:p>
            </c:rich>
          </c:tx>
          <c:overlay val="0"/>
        </c:title>
        <c:numFmt formatCode="General" sourceLinked="1"/>
        <c:majorTickMark val="out"/>
        <c:minorTickMark val="none"/>
        <c:tickLblPos val="nextTo"/>
        <c:crossAx val="135756800"/>
        <c:crossesAt val="40203"/>
        <c:crossBetween val="midCat"/>
      </c:valAx>
    </c:plotArea>
    <c:legend>
      <c:legendPos val="r"/>
      <c:layout>
        <c:manualLayout>
          <c:xMode val="edge"/>
          <c:yMode val="edge"/>
          <c:x val="0.35565312502355367"/>
          <c:y val="4.7444320341800413E-2"/>
          <c:w val="0.41374120423477057"/>
          <c:h val="0.13571462658076841"/>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txPr>
        <a:bodyPr/>
        <a:lstStyle/>
        <a:p>
          <a:pPr>
            <a:defRPr sz="1050"/>
          </a:pPr>
          <a:endParaRPr lang="en-US"/>
        </a:p>
      </c:tx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465" l="0.70000000000000062" r="0.70000000000000062" t="0.75000000000001465" header="0.30000000000000032" footer="0.30000000000000032"/>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7.2469791943984521E-2"/>
          <c:y val="0.18707900550190279"/>
          <c:w val="0.88561418763856581"/>
          <c:h val="0.69728613399573536"/>
        </c:manualLayout>
      </c:layout>
      <c:areaChart>
        <c:grouping val="standard"/>
        <c:varyColors val="0"/>
        <c:ser>
          <c:idx val="0"/>
          <c:order val="0"/>
          <c:tx>
            <c:strRef>
              <c:f>'Monthly Chemistry'!$B$13</c:f>
              <c:strCache>
                <c:ptCount val="1"/>
                <c:pt idx="0">
                  <c:v>Chlorophyll a</c:v>
                </c:pt>
              </c:strCache>
            </c:strRef>
          </c:tx>
          <c:spPr>
            <a:gradFill>
              <a:gsLst>
                <a:gs pos="0">
                  <a:srgbClr val="5E9EFF"/>
                </a:gs>
                <a:gs pos="39999">
                  <a:srgbClr val="85C2FF"/>
                </a:gs>
                <a:gs pos="70000">
                  <a:srgbClr val="C4D6EB"/>
                </a:gs>
                <a:gs pos="100000">
                  <a:srgbClr val="FFEBFA"/>
                </a:gs>
              </a:gsLst>
              <a:lin ang="5400000" scaled="0"/>
            </a:gradFill>
          </c:spPr>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Chemistry'!$C$13:$Q$13</c:f>
              <c:numCache>
                <c:formatCode>General</c:formatCode>
                <c:ptCount val="15"/>
                <c:pt idx="0">
                  <c:v>7</c:v>
                </c:pt>
                <c:pt idx="1">
                  <c:v>2.75</c:v>
                </c:pt>
                <c:pt idx="2">
                  <c:v>12.3</c:v>
                </c:pt>
                <c:pt idx="3">
                  <c:v>10.6</c:v>
                </c:pt>
                <c:pt idx="4">
                  <c:v>8.1</c:v>
                </c:pt>
                <c:pt idx="5">
                  <c:v>8.6</c:v>
                </c:pt>
                <c:pt idx="6">
                  <c:v>5.2</c:v>
                </c:pt>
                <c:pt idx="7">
                  <c:v>5.8</c:v>
                </c:pt>
                <c:pt idx="8" formatCode="0.0">
                  <c:v>5.8</c:v>
                </c:pt>
                <c:pt idx="9">
                  <c:v>16.399999999999999</c:v>
                </c:pt>
                <c:pt idx="10">
                  <c:v>14.3</c:v>
                </c:pt>
                <c:pt idx="11">
                  <c:v>17.399999999999999</c:v>
                </c:pt>
                <c:pt idx="12">
                  <c:v>15.3</c:v>
                </c:pt>
                <c:pt idx="13">
                  <c:v>4.8</c:v>
                </c:pt>
                <c:pt idx="14" formatCode="0.0">
                  <c:v>4.5999999999999996</c:v>
                </c:pt>
              </c:numCache>
            </c:numRef>
          </c:val>
          <c:extLst>
            <c:ext xmlns:c16="http://schemas.microsoft.com/office/drawing/2014/chart" uri="{C3380CC4-5D6E-409C-BE32-E72D297353CC}">
              <c16:uniqueId val="{00000000-F20A-4D1A-9307-CBF04C6401BF}"/>
            </c:ext>
          </c:extLst>
        </c:ser>
        <c:dLbls>
          <c:showLegendKey val="0"/>
          <c:showVal val="0"/>
          <c:showCatName val="0"/>
          <c:showSerName val="0"/>
          <c:showPercent val="0"/>
          <c:showBubbleSize val="0"/>
        </c:dLbls>
        <c:axId val="135777664"/>
        <c:axId val="135812224"/>
      </c:areaChart>
      <c:dateAx>
        <c:axId val="135777664"/>
        <c:scaling>
          <c:orientation val="minMax"/>
          <c:max val="40908"/>
        </c:scaling>
        <c:delete val="0"/>
        <c:axPos val="b"/>
        <c:numFmt formatCode="[$-409]d\-mmm;@" sourceLinked="0"/>
        <c:majorTickMark val="out"/>
        <c:minorTickMark val="none"/>
        <c:tickLblPos val="nextTo"/>
        <c:crossAx val="135812224"/>
        <c:crosses val="autoZero"/>
        <c:auto val="1"/>
        <c:lblOffset val="100"/>
        <c:baseTimeUnit val="days"/>
        <c:majorUnit val="30"/>
        <c:majorTimeUnit val="days"/>
        <c:minorUnit val="15"/>
        <c:minorTimeUnit val="days"/>
      </c:dateAx>
      <c:valAx>
        <c:axId val="135812224"/>
        <c:scaling>
          <c:orientation val="minMax"/>
        </c:scaling>
        <c:delete val="0"/>
        <c:axPos val="l"/>
        <c:majorGridlines/>
        <c:numFmt formatCode="General" sourceLinked="1"/>
        <c:majorTickMark val="out"/>
        <c:minorTickMark val="none"/>
        <c:tickLblPos val="nextTo"/>
        <c:crossAx val="135777664"/>
        <c:crossesAt val="40179"/>
        <c:crossBetween val="midCat"/>
      </c:valAx>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TSS</a:t>
            </a:r>
          </a:p>
        </c:rich>
      </c:tx>
      <c:layout>
        <c:manualLayout>
          <c:xMode val="edge"/>
          <c:yMode val="edge"/>
          <c:x val="0.53816413320804068"/>
          <c:y val="0.90942832772810323"/>
        </c:manualLayout>
      </c:layout>
      <c:overlay val="1"/>
    </c:title>
    <c:autoTitleDeleted val="0"/>
    <c:plotArea>
      <c:layout>
        <c:manualLayout>
          <c:layoutTarget val="inner"/>
          <c:xMode val="edge"/>
          <c:yMode val="edge"/>
          <c:x val="0.10272511728622626"/>
          <c:y val="0.27385727100568907"/>
          <c:w val="0.85748594154147273"/>
          <c:h val="0.57998770723279869"/>
        </c:manualLayout>
      </c:layout>
      <c:lineChart>
        <c:grouping val="standard"/>
        <c:varyColors val="0"/>
        <c:ser>
          <c:idx val="0"/>
          <c:order val="0"/>
          <c:tx>
            <c:strRef>
              <c:f>'Monthly Chemistry'!$A$3:$A$7</c:f>
              <c:strCache>
                <c:ptCount val="1"/>
                <c:pt idx="0">
                  <c:v>Bear Creek Inflow, Site 15a</c:v>
                </c:pt>
              </c:strCache>
            </c:strRef>
          </c:tx>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Chemistry'!$C$7:$Q$7</c:f>
              <c:numCache>
                <c:formatCode>General</c:formatCode>
                <c:ptCount val="15"/>
                <c:pt idx="0">
                  <c:v>10.4</c:v>
                </c:pt>
                <c:pt idx="1">
                  <c:v>6.8</c:v>
                </c:pt>
                <c:pt idx="2">
                  <c:v>8.1999999999999993</c:v>
                </c:pt>
                <c:pt idx="3">
                  <c:v>6</c:v>
                </c:pt>
                <c:pt idx="4">
                  <c:v>23.4</c:v>
                </c:pt>
                <c:pt idx="5">
                  <c:v>10.6</c:v>
                </c:pt>
                <c:pt idx="6">
                  <c:v>10.8</c:v>
                </c:pt>
                <c:pt idx="7">
                  <c:v>36</c:v>
                </c:pt>
                <c:pt idx="8" formatCode="0.0">
                  <c:v>7.2</c:v>
                </c:pt>
                <c:pt idx="9">
                  <c:v>8.8000000000000007</c:v>
                </c:pt>
                <c:pt idx="10">
                  <c:v>26.4</c:v>
                </c:pt>
                <c:pt idx="11">
                  <c:v>4</c:v>
                </c:pt>
                <c:pt idx="12">
                  <c:v>6.6</c:v>
                </c:pt>
                <c:pt idx="13">
                  <c:v>7.8</c:v>
                </c:pt>
                <c:pt idx="14" formatCode="0">
                  <c:v>4</c:v>
                </c:pt>
              </c:numCache>
            </c:numRef>
          </c:val>
          <c:smooth val="0"/>
          <c:extLst>
            <c:ext xmlns:c16="http://schemas.microsoft.com/office/drawing/2014/chart" uri="{C3380CC4-5D6E-409C-BE32-E72D297353CC}">
              <c16:uniqueId val="{00000000-3B1C-45C7-A4BC-B867DE826B05}"/>
            </c:ext>
          </c:extLst>
        </c:ser>
        <c:ser>
          <c:idx val="1"/>
          <c:order val="1"/>
          <c:tx>
            <c:strRef>
              <c:f>'Monthly Chemistry'!$A$8:$A$12</c:f>
              <c:strCache>
                <c:ptCount val="1"/>
                <c:pt idx="0">
                  <c:v>Turkey Creek Inflow, Site 16a</c:v>
                </c:pt>
              </c:strCache>
            </c:strRef>
          </c:tx>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Chemistry'!$C$12:$Q$12</c:f>
              <c:numCache>
                <c:formatCode>General</c:formatCode>
                <c:ptCount val="15"/>
                <c:pt idx="0">
                  <c:v>4</c:v>
                </c:pt>
                <c:pt idx="1">
                  <c:v>15</c:v>
                </c:pt>
                <c:pt idx="2">
                  <c:v>4</c:v>
                </c:pt>
                <c:pt idx="3">
                  <c:v>6.4</c:v>
                </c:pt>
                <c:pt idx="4">
                  <c:v>6</c:v>
                </c:pt>
                <c:pt idx="5">
                  <c:v>27.6</c:v>
                </c:pt>
                <c:pt idx="6">
                  <c:v>16.399999999999999</c:v>
                </c:pt>
                <c:pt idx="7">
                  <c:v>21.6</c:v>
                </c:pt>
                <c:pt idx="8" formatCode="0.0">
                  <c:v>155.4</c:v>
                </c:pt>
                <c:pt idx="9">
                  <c:v>21.6</c:v>
                </c:pt>
                <c:pt idx="10">
                  <c:v>20.2</c:v>
                </c:pt>
                <c:pt idx="11">
                  <c:v>30</c:v>
                </c:pt>
                <c:pt idx="12">
                  <c:v>12.6</c:v>
                </c:pt>
                <c:pt idx="13">
                  <c:v>4</c:v>
                </c:pt>
                <c:pt idx="14" formatCode="0.0">
                  <c:v>4</c:v>
                </c:pt>
              </c:numCache>
            </c:numRef>
          </c:val>
          <c:smooth val="0"/>
          <c:extLst>
            <c:ext xmlns:c16="http://schemas.microsoft.com/office/drawing/2014/chart" uri="{C3380CC4-5D6E-409C-BE32-E72D297353CC}">
              <c16:uniqueId val="{00000001-3B1C-45C7-A4BC-B867DE826B05}"/>
            </c:ext>
          </c:extLst>
        </c:ser>
        <c:ser>
          <c:idx val="2"/>
          <c:order val="2"/>
          <c:tx>
            <c:strRef>
              <c:f>'Monthly Chemistry'!$A$13:$A$18</c:f>
              <c:strCache>
                <c:ptCount val="1"/>
                <c:pt idx="0">
                  <c:v>Bear Creek Reservoir Top, Site 40a</c:v>
                </c:pt>
              </c:strCache>
            </c:strRef>
          </c:tx>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Chemistry'!$C$18:$Q$18</c:f>
              <c:numCache>
                <c:formatCode>0.0</c:formatCode>
                <c:ptCount val="15"/>
                <c:pt idx="0">
                  <c:v>0</c:v>
                </c:pt>
                <c:pt idx="1">
                  <c:v>0</c:v>
                </c:pt>
                <c:pt idx="2">
                  <c:v>6.2</c:v>
                </c:pt>
                <c:pt idx="3">
                  <c:v>7.6</c:v>
                </c:pt>
                <c:pt idx="4">
                  <c:v>6</c:v>
                </c:pt>
                <c:pt idx="5">
                  <c:v>11.6</c:v>
                </c:pt>
                <c:pt idx="6">
                  <c:v>4</c:v>
                </c:pt>
                <c:pt idx="7">
                  <c:v>4</c:v>
                </c:pt>
                <c:pt idx="8">
                  <c:v>4.4000000000000004</c:v>
                </c:pt>
                <c:pt idx="9">
                  <c:v>4.4000000000000004</c:v>
                </c:pt>
                <c:pt idx="10">
                  <c:v>11.2</c:v>
                </c:pt>
                <c:pt idx="11" formatCode="General">
                  <c:v>6.4</c:v>
                </c:pt>
                <c:pt idx="12">
                  <c:v>13</c:v>
                </c:pt>
                <c:pt idx="13">
                  <c:v>9.8000000000000007</c:v>
                </c:pt>
                <c:pt idx="14">
                  <c:v>4</c:v>
                </c:pt>
              </c:numCache>
            </c:numRef>
          </c:val>
          <c:smooth val="0"/>
          <c:extLst>
            <c:ext xmlns:c16="http://schemas.microsoft.com/office/drawing/2014/chart" uri="{C3380CC4-5D6E-409C-BE32-E72D297353CC}">
              <c16:uniqueId val="{00000002-3B1C-45C7-A4BC-B867DE826B05}"/>
            </c:ext>
          </c:extLst>
        </c:ser>
        <c:ser>
          <c:idx val="3"/>
          <c:order val="3"/>
          <c:tx>
            <c:strRef>
              <c:f>'Monthly Chemistry'!$A$24:$A$28</c:f>
              <c:strCache>
                <c:ptCount val="1"/>
                <c:pt idx="0">
                  <c:v>Lower Bear Creek Outflow, Site 45</c:v>
                </c:pt>
              </c:strCache>
            </c:strRef>
          </c:tx>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Chemistry'!$C$28:$Q$28</c:f>
              <c:numCache>
                <c:formatCode>General</c:formatCode>
                <c:ptCount val="15"/>
                <c:pt idx="0">
                  <c:v>4.4000000000000004</c:v>
                </c:pt>
                <c:pt idx="1">
                  <c:v>9.1999999999999993</c:v>
                </c:pt>
                <c:pt idx="2">
                  <c:v>13.8</c:v>
                </c:pt>
                <c:pt idx="3">
                  <c:v>7.2</c:v>
                </c:pt>
                <c:pt idx="4">
                  <c:v>8.6</c:v>
                </c:pt>
                <c:pt idx="5">
                  <c:v>26.2</c:v>
                </c:pt>
                <c:pt idx="6">
                  <c:v>5</c:v>
                </c:pt>
                <c:pt idx="7" formatCode="0.0">
                  <c:v>10.6</c:v>
                </c:pt>
                <c:pt idx="8" formatCode="0.0">
                  <c:v>4.4000000000000004</c:v>
                </c:pt>
                <c:pt idx="9">
                  <c:v>11.6</c:v>
                </c:pt>
                <c:pt idx="10">
                  <c:v>14.2</c:v>
                </c:pt>
                <c:pt idx="11">
                  <c:v>6.6</c:v>
                </c:pt>
                <c:pt idx="12">
                  <c:v>16.2</c:v>
                </c:pt>
                <c:pt idx="13">
                  <c:v>22.2</c:v>
                </c:pt>
                <c:pt idx="14" formatCode="0.0">
                  <c:v>4</c:v>
                </c:pt>
              </c:numCache>
            </c:numRef>
          </c:val>
          <c:smooth val="0"/>
          <c:extLst>
            <c:ext xmlns:c16="http://schemas.microsoft.com/office/drawing/2014/chart" uri="{C3380CC4-5D6E-409C-BE32-E72D297353CC}">
              <c16:uniqueId val="{00000003-3B1C-45C7-A4BC-B867DE826B05}"/>
            </c:ext>
          </c:extLst>
        </c:ser>
        <c:dLbls>
          <c:showLegendKey val="0"/>
          <c:showVal val="0"/>
          <c:showCatName val="0"/>
          <c:showSerName val="0"/>
          <c:showPercent val="0"/>
          <c:showBubbleSize val="0"/>
        </c:dLbls>
        <c:marker val="1"/>
        <c:smooth val="0"/>
        <c:axId val="135847936"/>
        <c:axId val="135849472"/>
      </c:lineChart>
      <c:dateAx>
        <c:axId val="135847936"/>
        <c:scaling>
          <c:orientation val="minMax"/>
          <c:max val="40908"/>
        </c:scaling>
        <c:delete val="0"/>
        <c:axPos val="b"/>
        <c:numFmt formatCode="[$-409]mmm\-yy;@" sourceLinked="0"/>
        <c:majorTickMark val="out"/>
        <c:minorTickMark val="none"/>
        <c:tickLblPos val="nextTo"/>
        <c:crossAx val="135849472"/>
        <c:crosses val="autoZero"/>
        <c:auto val="1"/>
        <c:lblOffset val="100"/>
        <c:baseTimeUnit val="days"/>
      </c:dateAx>
      <c:valAx>
        <c:axId val="135849472"/>
        <c:scaling>
          <c:orientation val="minMax"/>
        </c:scaling>
        <c:delete val="0"/>
        <c:axPos val="l"/>
        <c:majorGridlines/>
        <c:title>
          <c:tx>
            <c:rich>
              <a:bodyPr rot="-5400000" vert="horz"/>
              <a:lstStyle/>
              <a:p>
                <a:pPr>
                  <a:defRPr/>
                </a:pPr>
                <a:r>
                  <a:rPr lang="en-US"/>
                  <a:t>Total Suspended Solids mg/l</a:t>
                </a:r>
              </a:p>
            </c:rich>
          </c:tx>
          <c:overlay val="0"/>
        </c:title>
        <c:numFmt formatCode="General" sourceLinked="1"/>
        <c:majorTickMark val="out"/>
        <c:minorTickMark val="none"/>
        <c:tickLblPos val="nextTo"/>
        <c:crossAx val="135847936"/>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lotArea>
    <c:legend>
      <c:legendPos val="r"/>
      <c:layout>
        <c:manualLayout>
          <c:xMode val="edge"/>
          <c:yMode val="edge"/>
          <c:x val="0.27577042373580135"/>
          <c:y val="3.3297652311104022E-2"/>
          <c:w val="0.55973141669206328"/>
          <c:h val="0.2116146141475749"/>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txPr>
        <a:bodyPr/>
        <a:lstStyle/>
        <a:p>
          <a:pPr>
            <a:defRPr sz="1050"/>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Bear Creek Reservoir 2011</a:t>
            </a:r>
          </a:p>
        </c:rich>
      </c:tx>
      <c:layout>
        <c:manualLayout>
          <c:xMode val="edge"/>
          <c:yMode val="edge"/>
          <c:x val="0.32243051349350582"/>
          <c:y val="4.6413502109704664E-2"/>
        </c:manualLayout>
      </c:layout>
      <c:overlay val="1"/>
    </c:title>
    <c:autoTitleDeleted val="0"/>
    <c:plotArea>
      <c:layout>
        <c:manualLayout>
          <c:layoutTarget val="inner"/>
          <c:xMode val="edge"/>
          <c:yMode val="edge"/>
          <c:x val="8.3890765843411708E-2"/>
          <c:y val="0.2088079615048119"/>
          <c:w val="0.84541017479197456"/>
          <c:h val="0.63899241761450243"/>
        </c:manualLayout>
      </c:layout>
      <c:lineChart>
        <c:grouping val="standard"/>
        <c:varyColors val="0"/>
        <c:ser>
          <c:idx val="0"/>
          <c:order val="0"/>
          <c:tx>
            <c:strRef>
              <c:f>'Monthly Chemistry'!$B$13</c:f>
              <c:strCache>
                <c:ptCount val="1"/>
                <c:pt idx="0">
                  <c:v>Chlorophyll a</c:v>
                </c:pt>
              </c:strCache>
            </c:strRef>
          </c:tx>
          <c:marker>
            <c:symbol val="none"/>
          </c:marker>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Chemistry'!$C$13:$Q$13</c:f>
              <c:numCache>
                <c:formatCode>General</c:formatCode>
                <c:ptCount val="15"/>
                <c:pt idx="0">
                  <c:v>7</c:v>
                </c:pt>
                <c:pt idx="1">
                  <c:v>2.75</c:v>
                </c:pt>
                <c:pt idx="2">
                  <c:v>12.3</c:v>
                </c:pt>
                <c:pt idx="3">
                  <c:v>10.6</c:v>
                </c:pt>
                <c:pt idx="4">
                  <c:v>8.1</c:v>
                </c:pt>
                <c:pt idx="5">
                  <c:v>8.6</c:v>
                </c:pt>
                <c:pt idx="6">
                  <c:v>5.2</c:v>
                </c:pt>
                <c:pt idx="7">
                  <c:v>5.8</c:v>
                </c:pt>
                <c:pt idx="8" formatCode="0.0">
                  <c:v>5.8</c:v>
                </c:pt>
                <c:pt idx="9">
                  <c:v>16.399999999999999</c:v>
                </c:pt>
                <c:pt idx="10">
                  <c:v>14.3</c:v>
                </c:pt>
                <c:pt idx="11">
                  <c:v>17.399999999999999</c:v>
                </c:pt>
                <c:pt idx="12">
                  <c:v>15.3</c:v>
                </c:pt>
                <c:pt idx="13">
                  <c:v>4.8</c:v>
                </c:pt>
                <c:pt idx="14" formatCode="0.0">
                  <c:v>4.5999999999999996</c:v>
                </c:pt>
              </c:numCache>
            </c:numRef>
          </c:val>
          <c:smooth val="0"/>
          <c:extLst>
            <c:ext xmlns:c16="http://schemas.microsoft.com/office/drawing/2014/chart" uri="{C3380CC4-5D6E-409C-BE32-E72D297353CC}">
              <c16:uniqueId val="{00000000-8F0F-494C-B432-6986E97970CB}"/>
            </c:ext>
          </c:extLst>
        </c:ser>
        <c:ser>
          <c:idx val="1"/>
          <c:order val="1"/>
          <c:tx>
            <c:strRef>
              <c:f>'Monthly Chemistry'!$B$16</c:f>
              <c:strCache>
                <c:ptCount val="1"/>
                <c:pt idx="0">
                  <c:v>Phosphorus, total</c:v>
                </c:pt>
              </c:strCache>
            </c:strRef>
          </c:tx>
          <c:spPr>
            <a:ln w="34925"/>
          </c:spPr>
          <c:marker>
            <c:symbol val="none"/>
          </c:marker>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Chemistry'!$C$16:$Q$16</c:f>
              <c:numCache>
                <c:formatCode>General</c:formatCode>
                <c:ptCount val="15"/>
                <c:pt idx="0">
                  <c:v>23</c:v>
                </c:pt>
                <c:pt idx="1">
                  <c:v>16</c:v>
                </c:pt>
                <c:pt idx="2">
                  <c:v>19</c:v>
                </c:pt>
                <c:pt idx="3">
                  <c:v>26</c:v>
                </c:pt>
                <c:pt idx="4">
                  <c:v>5</c:v>
                </c:pt>
                <c:pt idx="5">
                  <c:v>25</c:v>
                </c:pt>
                <c:pt idx="6">
                  <c:v>41</c:v>
                </c:pt>
                <c:pt idx="7">
                  <c:v>45</c:v>
                </c:pt>
                <c:pt idx="8" formatCode="0">
                  <c:v>42</c:v>
                </c:pt>
                <c:pt idx="9">
                  <c:v>48</c:v>
                </c:pt>
                <c:pt idx="10">
                  <c:v>80</c:v>
                </c:pt>
                <c:pt idx="11">
                  <c:v>67</c:v>
                </c:pt>
                <c:pt idx="12">
                  <c:v>35</c:v>
                </c:pt>
                <c:pt idx="13">
                  <c:v>22</c:v>
                </c:pt>
                <c:pt idx="14" formatCode="0">
                  <c:v>11</c:v>
                </c:pt>
              </c:numCache>
            </c:numRef>
          </c:val>
          <c:smooth val="0"/>
          <c:extLst>
            <c:ext xmlns:c16="http://schemas.microsoft.com/office/drawing/2014/chart" uri="{C3380CC4-5D6E-409C-BE32-E72D297353CC}">
              <c16:uniqueId val="{00000001-8F0F-494C-B432-6986E97970CB}"/>
            </c:ext>
          </c:extLst>
        </c:ser>
        <c:ser>
          <c:idx val="2"/>
          <c:order val="2"/>
          <c:tx>
            <c:strRef>
              <c:f>'Monthly Chemistry'!$B$17</c:f>
              <c:strCache>
                <c:ptCount val="1"/>
                <c:pt idx="0">
                  <c:v>Total Dissolved Phosphorus</c:v>
                </c:pt>
              </c:strCache>
            </c:strRef>
          </c:tx>
          <c:marker>
            <c:symbol val="none"/>
          </c:marker>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Chemistry'!$C$17:$Q$17</c:f>
              <c:numCache>
                <c:formatCode>General</c:formatCode>
                <c:ptCount val="15"/>
                <c:pt idx="0">
                  <c:v>8</c:v>
                </c:pt>
                <c:pt idx="1">
                  <c:v>7</c:v>
                </c:pt>
                <c:pt idx="2">
                  <c:v>4</c:v>
                </c:pt>
                <c:pt idx="3">
                  <c:v>12</c:v>
                </c:pt>
                <c:pt idx="4">
                  <c:v>7</c:v>
                </c:pt>
                <c:pt idx="5">
                  <c:v>6</c:v>
                </c:pt>
                <c:pt idx="6">
                  <c:v>25</c:v>
                </c:pt>
                <c:pt idx="7">
                  <c:v>27</c:v>
                </c:pt>
                <c:pt idx="8" formatCode="0">
                  <c:v>29</c:v>
                </c:pt>
                <c:pt idx="9">
                  <c:v>25</c:v>
                </c:pt>
                <c:pt idx="10">
                  <c:v>45</c:v>
                </c:pt>
                <c:pt idx="11">
                  <c:v>33</c:v>
                </c:pt>
                <c:pt idx="12">
                  <c:v>9</c:v>
                </c:pt>
                <c:pt idx="13">
                  <c:v>9</c:v>
                </c:pt>
                <c:pt idx="14" formatCode="0">
                  <c:v>5</c:v>
                </c:pt>
              </c:numCache>
            </c:numRef>
          </c:val>
          <c:smooth val="0"/>
          <c:extLst>
            <c:ext xmlns:c16="http://schemas.microsoft.com/office/drawing/2014/chart" uri="{C3380CC4-5D6E-409C-BE32-E72D297353CC}">
              <c16:uniqueId val="{00000002-8F0F-494C-B432-6986E97970CB}"/>
            </c:ext>
          </c:extLst>
        </c:ser>
        <c:dLbls>
          <c:showLegendKey val="0"/>
          <c:showVal val="0"/>
          <c:showCatName val="0"/>
          <c:showSerName val="0"/>
          <c:showPercent val="0"/>
          <c:showBubbleSize val="0"/>
        </c:dLbls>
        <c:smooth val="0"/>
        <c:axId val="135871488"/>
        <c:axId val="135881472"/>
      </c:lineChart>
      <c:dateAx>
        <c:axId val="135871488"/>
        <c:scaling>
          <c:orientation val="minMax"/>
          <c:max val="40908"/>
        </c:scaling>
        <c:delete val="0"/>
        <c:axPos val="b"/>
        <c:numFmt formatCode="[$-409]d\-mmm;@" sourceLinked="0"/>
        <c:majorTickMark val="out"/>
        <c:minorTickMark val="none"/>
        <c:tickLblPos val="nextTo"/>
        <c:crossAx val="135881472"/>
        <c:crosses val="autoZero"/>
        <c:auto val="1"/>
        <c:lblOffset val="100"/>
        <c:baseTimeUnit val="days"/>
        <c:majorUnit val="30"/>
        <c:majorTimeUnit val="days"/>
        <c:minorUnit val="15"/>
        <c:minorTimeUnit val="days"/>
      </c:dateAx>
      <c:valAx>
        <c:axId val="135881472"/>
        <c:scaling>
          <c:orientation val="minMax"/>
        </c:scaling>
        <c:delete val="0"/>
        <c:axPos val="l"/>
        <c:majorGridlines/>
        <c:minorGridlines/>
        <c:numFmt formatCode="General" sourceLinked="1"/>
        <c:majorTickMark val="out"/>
        <c:minorTickMark val="none"/>
        <c:tickLblPos val="nextTo"/>
        <c:crossAx val="135871488"/>
        <c:crossesAt val="40544"/>
        <c:crossBetween val="between"/>
      </c:valAx>
    </c:plotArea>
    <c:legend>
      <c:legendPos val="r"/>
      <c:layout>
        <c:manualLayout>
          <c:xMode val="edge"/>
          <c:yMode val="edge"/>
          <c:x val="0.15520289615534377"/>
          <c:y val="0.24849838557062789"/>
          <c:w val="0.2637809465500856"/>
          <c:h val="0.18786039403302804"/>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txPr>
        <a:bodyPr/>
        <a:lstStyle/>
        <a:p>
          <a:pPr>
            <a:defRPr sz="1050"/>
          </a:pPr>
          <a:endParaRPr lang="en-US"/>
        </a:p>
      </c:txPr>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Nitrogen 2011</a:t>
            </a:r>
          </a:p>
        </c:rich>
      </c:tx>
      <c:overlay val="0"/>
    </c:title>
    <c:autoTitleDeleted val="0"/>
    <c:plotArea>
      <c:layout/>
      <c:lineChart>
        <c:grouping val="standard"/>
        <c:varyColors val="0"/>
        <c:ser>
          <c:idx val="0"/>
          <c:order val="0"/>
          <c:tx>
            <c:strRef>
              <c:f>'Monthly Chemistry'!$A$3:$A$7</c:f>
              <c:strCache>
                <c:ptCount val="1"/>
                <c:pt idx="0">
                  <c:v>Bear Creek Inflow, Site 15a</c:v>
                </c:pt>
              </c:strCache>
            </c:strRef>
          </c:tx>
          <c:marker>
            <c:symbol val="none"/>
          </c:marker>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Chemistry'!$C$3:$Q$3</c:f>
              <c:numCache>
                <c:formatCode>General</c:formatCode>
                <c:ptCount val="15"/>
                <c:pt idx="0" formatCode="#,##0">
                  <c:v>2248</c:v>
                </c:pt>
                <c:pt idx="1">
                  <c:v>1373</c:v>
                </c:pt>
                <c:pt idx="2">
                  <c:v>1119</c:v>
                </c:pt>
                <c:pt idx="3">
                  <c:v>1689</c:v>
                </c:pt>
                <c:pt idx="4">
                  <c:v>932</c:v>
                </c:pt>
                <c:pt idx="5">
                  <c:v>669</c:v>
                </c:pt>
                <c:pt idx="6">
                  <c:v>465</c:v>
                </c:pt>
                <c:pt idx="7">
                  <c:v>498</c:v>
                </c:pt>
                <c:pt idx="8" formatCode="0">
                  <c:v>538</c:v>
                </c:pt>
                <c:pt idx="9">
                  <c:v>710</c:v>
                </c:pt>
                <c:pt idx="10">
                  <c:v>1296</c:v>
                </c:pt>
                <c:pt idx="11">
                  <c:v>1218</c:v>
                </c:pt>
                <c:pt idx="12">
                  <c:v>1166</c:v>
                </c:pt>
                <c:pt idx="13">
                  <c:v>1023</c:v>
                </c:pt>
                <c:pt idx="14" formatCode="0">
                  <c:v>897</c:v>
                </c:pt>
              </c:numCache>
            </c:numRef>
          </c:val>
          <c:smooth val="0"/>
          <c:extLst>
            <c:ext xmlns:c16="http://schemas.microsoft.com/office/drawing/2014/chart" uri="{C3380CC4-5D6E-409C-BE32-E72D297353CC}">
              <c16:uniqueId val="{00000000-CA94-41DB-A322-DF87665819BD}"/>
            </c:ext>
          </c:extLst>
        </c:ser>
        <c:ser>
          <c:idx val="1"/>
          <c:order val="1"/>
          <c:tx>
            <c:strRef>
              <c:f>'Monthly Chemistry'!$A$8:$A$12</c:f>
              <c:strCache>
                <c:ptCount val="1"/>
                <c:pt idx="0">
                  <c:v>Turkey Creek Inflow, Site 16a</c:v>
                </c:pt>
              </c:strCache>
            </c:strRef>
          </c:tx>
          <c:marker>
            <c:symbol val="none"/>
          </c:marker>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Chemistry'!$C$8:$Q$8</c:f>
              <c:numCache>
                <c:formatCode>General</c:formatCode>
                <c:ptCount val="15"/>
                <c:pt idx="0">
                  <c:v>747</c:v>
                </c:pt>
                <c:pt idx="1">
                  <c:v>935</c:v>
                </c:pt>
                <c:pt idx="2">
                  <c:v>568</c:v>
                </c:pt>
                <c:pt idx="3">
                  <c:v>553</c:v>
                </c:pt>
                <c:pt idx="4">
                  <c:v>418</c:v>
                </c:pt>
                <c:pt idx="5">
                  <c:v>664</c:v>
                </c:pt>
                <c:pt idx="6">
                  <c:v>575</c:v>
                </c:pt>
                <c:pt idx="7">
                  <c:v>629</c:v>
                </c:pt>
                <c:pt idx="8" formatCode="0">
                  <c:v>520</c:v>
                </c:pt>
                <c:pt idx="9">
                  <c:v>737</c:v>
                </c:pt>
                <c:pt idx="10">
                  <c:v>670</c:v>
                </c:pt>
                <c:pt idx="11">
                  <c:v>595</c:v>
                </c:pt>
                <c:pt idx="12">
                  <c:v>643</c:v>
                </c:pt>
                <c:pt idx="13">
                  <c:v>729</c:v>
                </c:pt>
                <c:pt idx="14" formatCode="0">
                  <c:v>630</c:v>
                </c:pt>
              </c:numCache>
            </c:numRef>
          </c:val>
          <c:smooth val="0"/>
          <c:extLst>
            <c:ext xmlns:c16="http://schemas.microsoft.com/office/drawing/2014/chart" uri="{C3380CC4-5D6E-409C-BE32-E72D297353CC}">
              <c16:uniqueId val="{00000001-CA94-41DB-A322-DF87665819BD}"/>
            </c:ext>
          </c:extLst>
        </c:ser>
        <c:ser>
          <c:idx val="2"/>
          <c:order val="2"/>
          <c:tx>
            <c:strRef>
              <c:f>'Monthly Chemistry'!$A$13:$A$18</c:f>
              <c:strCache>
                <c:ptCount val="1"/>
                <c:pt idx="0">
                  <c:v>Bear Creek Reservoir Top, Site 40a</c:v>
                </c:pt>
              </c:strCache>
            </c:strRef>
          </c:tx>
          <c:marker>
            <c:symbol val="none"/>
          </c:marker>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Chemistry'!$C$15:$Q$15</c:f>
              <c:numCache>
                <c:formatCode>General</c:formatCode>
                <c:ptCount val="15"/>
                <c:pt idx="2">
                  <c:v>794</c:v>
                </c:pt>
                <c:pt idx="4">
                  <c:v>617</c:v>
                </c:pt>
                <c:pt idx="5">
                  <c:v>524</c:v>
                </c:pt>
                <c:pt idx="6">
                  <c:v>661</c:v>
                </c:pt>
                <c:pt idx="7">
                  <c:v>766</c:v>
                </c:pt>
                <c:pt idx="8" formatCode="0">
                  <c:v>799</c:v>
                </c:pt>
                <c:pt idx="9">
                  <c:v>630</c:v>
                </c:pt>
                <c:pt idx="10">
                  <c:v>583</c:v>
                </c:pt>
                <c:pt idx="11">
                  <c:v>750</c:v>
                </c:pt>
                <c:pt idx="12">
                  <c:v>486</c:v>
                </c:pt>
                <c:pt idx="13">
                  <c:v>537</c:v>
                </c:pt>
                <c:pt idx="14" formatCode="0.0">
                  <c:v>523</c:v>
                </c:pt>
              </c:numCache>
            </c:numRef>
          </c:val>
          <c:smooth val="0"/>
          <c:extLst>
            <c:ext xmlns:c16="http://schemas.microsoft.com/office/drawing/2014/chart" uri="{C3380CC4-5D6E-409C-BE32-E72D297353CC}">
              <c16:uniqueId val="{00000002-CA94-41DB-A322-DF87665819BD}"/>
            </c:ext>
          </c:extLst>
        </c:ser>
        <c:ser>
          <c:idx val="3"/>
          <c:order val="3"/>
          <c:tx>
            <c:strRef>
              <c:f>'Monthly Chemistry'!$A$19:$A$23</c:f>
              <c:strCache>
                <c:ptCount val="1"/>
                <c:pt idx="0">
                  <c:v>Bear Creek Reservoir Bottom, Site 40c</c:v>
                </c:pt>
              </c:strCache>
            </c:strRef>
          </c:tx>
          <c:marker>
            <c:symbol val="none"/>
          </c:marker>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Chemistry'!$C$20:$Q$20</c:f>
              <c:numCache>
                <c:formatCode>General</c:formatCode>
                <c:ptCount val="15"/>
                <c:pt idx="2">
                  <c:v>849</c:v>
                </c:pt>
                <c:pt idx="4">
                  <c:v>769</c:v>
                </c:pt>
                <c:pt idx="5">
                  <c:v>610</c:v>
                </c:pt>
                <c:pt idx="6">
                  <c:v>734</c:v>
                </c:pt>
                <c:pt idx="7">
                  <c:v>650</c:v>
                </c:pt>
                <c:pt idx="8" formatCode="0">
                  <c:v>596</c:v>
                </c:pt>
                <c:pt idx="9">
                  <c:v>496</c:v>
                </c:pt>
                <c:pt idx="10">
                  <c:v>596</c:v>
                </c:pt>
                <c:pt idx="11">
                  <c:v>557</c:v>
                </c:pt>
                <c:pt idx="12">
                  <c:v>1005</c:v>
                </c:pt>
                <c:pt idx="13">
                  <c:v>439</c:v>
                </c:pt>
                <c:pt idx="14" formatCode="0.0">
                  <c:v>160</c:v>
                </c:pt>
              </c:numCache>
            </c:numRef>
          </c:val>
          <c:smooth val="0"/>
          <c:extLst>
            <c:ext xmlns:c16="http://schemas.microsoft.com/office/drawing/2014/chart" uri="{C3380CC4-5D6E-409C-BE32-E72D297353CC}">
              <c16:uniqueId val="{00000003-CA94-41DB-A322-DF87665819BD}"/>
            </c:ext>
          </c:extLst>
        </c:ser>
        <c:ser>
          <c:idx val="4"/>
          <c:order val="4"/>
          <c:tx>
            <c:strRef>
              <c:f>'Monthly Chemistry'!$A$24:$A$28</c:f>
              <c:strCache>
                <c:ptCount val="1"/>
                <c:pt idx="0">
                  <c:v>Lower Bear Creek Outflow, Site 45</c:v>
                </c:pt>
              </c:strCache>
            </c:strRef>
          </c:tx>
          <c:marker>
            <c:symbol val="none"/>
          </c:marker>
          <c:cat>
            <c:numRef>
              <c:f>'Monthly Chemistry'!$C$2:$Q$2</c:f>
              <c:numCache>
                <c:formatCode>[$-409]d\-mmm;@</c:formatCode>
                <c:ptCount val="15"/>
                <c:pt idx="0">
                  <c:v>40567</c:v>
                </c:pt>
                <c:pt idx="1">
                  <c:v>40595</c:v>
                </c:pt>
                <c:pt idx="2">
                  <c:v>40627</c:v>
                </c:pt>
                <c:pt idx="3">
                  <c:v>40658</c:v>
                </c:pt>
                <c:pt idx="4">
                  <c:v>40686</c:v>
                </c:pt>
                <c:pt idx="5">
                  <c:v>40721</c:v>
                </c:pt>
                <c:pt idx="6">
                  <c:v>40743</c:v>
                </c:pt>
                <c:pt idx="7">
                  <c:v>40749</c:v>
                </c:pt>
                <c:pt idx="8">
                  <c:v>40763</c:v>
                </c:pt>
                <c:pt idx="9">
                  <c:v>40777</c:v>
                </c:pt>
                <c:pt idx="10">
                  <c:v>40798</c:v>
                </c:pt>
                <c:pt idx="11">
                  <c:v>40812</c:v>
                </c:pt>
                <c:pt idx="12">
                  <c:v>40840</c:v>
                </c:pt>
                <c:pt idx="13">
                  <c:v>40875</c:v>
                </c:pt>
                <c:pt idx="14">
                  <c:v>40893</c:v>
                </c:pt>
              </c:numCache>
            </c:numRef>
          </c:cat>
          <c:val>
            <c:numRef>
              <c:f>'Monthly Chemistry'!$C$24:$Q$24</c:f>
              <c:numCache>
                <c:formatCode>General</c:formatCode>
                <c:ptCount val="15"/>
                <c:pt idx="0">
                  <c:v>1012</c:v>
                </c:pt>
                <c:pt idx="1">
                  <c:v>776</c:v>
                </c:pt>
                <c:pt idx="2">
                  <c:v>713</c:v>
                </c:pt>
                <c:pt idx="3">
                  <c:v>661</c:v>
                </c:pt>
                <c:pt idx="4">
                  <c:v>515</c:v>
                </c:pt>
                <c:pt idx="5">
                  <c:v>529</c:v>
                </c:pt>
                <c:pt idx="6">
                  <c:v>595</c:v>
                </c:pt>
                <c:pt idx="7">
                  <c:v>557</c:v>
                </c:pt>
                <c:pt idx="8" formatCode="0">
                  <c:v>529</c:v>
                </c:pt>
                <c:pt idx="9">
                  <c:v>699</c:v>
                </c:pt>
                <c:pt idx="10">
                  <c:v>503</c:v>
                </c:pt>
                <c:pt idx="11">
                  <c:v>601</c:v>
                </c:pt>
                <c:pt idx="12">
                  <c:v>400</c:v>
                </c:pt>
                <c:pt idx="13">
                  <c:v>542</c:v>
                </c:pt>
                <c:pt idx="14" formatCode="0">
                  <c:v>538</c:v>
                </c:pt>
              </c:numCache>
            </c:numRef>
          </c:val>
          <c:smooth val="0"/>
          <c:extLst>
            <c:ext xmlns:c16="http://schemas.microsoft.com/office/drawing/2014/chart" uri="{C3380CC4-5D6E-409C-BE32-E72D297353CC}">
              <c16:uniqueId val="{00000004-CA94-41DB-A322-DF87665819BD}"/>
            </c:ext>
          </c:extLst>
        </c:ser>
        <c:dLbls>
          <c:showLegendKey val="0"/>
          <c:showVal val="0"/>
          <c:showCatName val="0"/>
          <c:showSerName val="0"/>
          <c:showPercent val="0"/>
          <c:showBubbleSize val="0"/>
        </c:dLbls>
        <c:smooth val="0"/>
        <c:axId val="135911680"/>
        <c:axId val="135929856"/>
      </c:lineChart>
      <c:dateAx>
        <c:axId val="135911680"/>
        <c:scaling>
          <c:orientation val="minMax"/>
        </c:scaling>
        <c:delete val="0"/>
        <c:axPos val="b"/>
        <c:numFmt formatCode="[$-409]d\-mmm;@" sourceLinked="1"/>
        <c:majorTickMark val="none"/>
        <c:minorTickMark val="none"/>
        <c:tickLblPos val="nextTo"/>
        <c:crossAx val="135929856"/>
        <c:crosses val="autoZero"/>
        <c:auto val="1"/>
        <c:lblOffset val="100"/>
        <c:baseTimeUnit val="days"/>
      </c:dateAx>
      <c:valAx>
        <c:axId val="135929856"/>
        <c:scaling>
          <c:orientation val="minMax"/>
        </c:scaling>
        <c:delete val="0"/>
        <c:axPos val="l"/>
        <c:majorGridlines/>
        <c:minorGridlines/>
        <c:title>
          <c:tx>
            <c:rich>
              <a:bodyPr/>
              <a:lstStyle/>
              <a:p>
                <a:pPr>
                  <a:defRPr/>
                </a:pPr>
                <a:r>
                  <a:rPr lang="en-US"/>
                  <a:t>TN ug/l</a:t>
                </a:r>
              </a:p>
            </c:rich>
          </c:tx>
          <c:overlay val="0"/>
        </c:title>
        <c:numFmt formatCode="#,##0" sourceLinked="1"/>
        <c:majorTickMark val="none"/>
        <c:minorTickMark val="none"/>
        <c:tickLblPos val="nextTo"/>
        <c:crossAx val="135911680"/>
        <c:crosses val="autoZero"/>
        <c:crossBetween val="between"/>
      </c:valAx>
    </c:plotArea>
    <c:legend>
      <c:legendPos val="r"/>
      <c:overlay val="0"/>
    </c:legend>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000000000000056" l="0.70000000000000051" r="0.70000000000000051" t="0.75000000000000056" header="0.30000000000000027" footer="0.30000000000000027"/>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BCR 2011 Temperature C (0.5-2m)</a:t>
            </a:r>
          </a:p>
        </c:rich>
      </c:tx>
      <c:overlay val="0"/>
    </c:title>
    <c:autoTitleDeleted val="0"/>
    <c:plotArea>
      <c:layout/>
      <c:lineChart>
        <c:grouping val="standard"/>
        <c:varyColors val="0"/>
        <c:ser>
          <c:idx val="0"/>
          <c:order val="0"/>
          <c:tx>
            <c:strRef>
              <c:f>'Temp DO Comp'!$A$4</c:f>
              <c:strCache>
                <c:ptCount val="1"/>
                <c:pt idx="0">
                  <c:v>site 40</c:v>
                </c:pt>
              </c:strCache>
            </c:strRef>
          </c:tx>
          <c:marker>
            <c:symbol val="none"/>
          </c:marker>
          <c:cat>
            <c:strRef>
              <c:f>'Temp DO Comp'!$B$2:$P$2</c:f>
              <c:strCache>
                <c:ptCount val="15"/>
                <c:pt idx="0">
                  <c:v>Jan</c:v>
                </c:pt>
                <c:pt idx="1">
                  <c:v>Feb</c:v>
                </c:pt>
                <c:pt idx="2">
                  <c:v>Mar</c:v>
                </c:pt>
                <c:pt idx="3">
                  <c:v>Apr</c:v>
                </c:pt>
                <c:pt idx="4">
                  <c:v>May</c:v>
                </c:pt>
                <c:pt idx="5">
                  <c:v>Jun</c:v>
                </c:pt>
                <c:pt idx="6">
                  <c:v>Jul</c:v>
                </c:pt>
                <c:pt idx="7">
                  <c:v>Jul</c:v>
                </c:pt>
                <c:pt idx="8">
                  <c:v>Aug</c:v>
                </c:pt>
                <c:pt idx="9">
                  <c:v>Aug</c:v>
                </c:pt>
                <c:pt idx="10">
                  <c:v>Sep</c:v>
                </c:pt>
                <c:pt idx="11">
                  <c:v>Sep</c:v>
                </c:pt>
                <c:pt idx="12">
                  <c:v>Oct</c:v>
                </c:pt>
                <c:pt idx="13">
                  <c:v>Nov</c:v>
                </c:pt>
                <c:pt idx="14">
                  <c:v>Dec</c:v>
                </c:pt>
              </c:strCache>
            </c:strRef>
          </c:cat>
          <c:val>
            <c:numRef>
              <c:f>'Temp DO Comp'!$B$4:$P$4</c:f>
              <c:numCache>
                <c:formatCode>0.0</c:formatCode>
                <c:ptCount val="15"/>
                <c:pt idx="0">
                  <c:v>4.4000000000000004</c:v>
                </c:pt>
                <c:pt idx="1">
                  <c:v>5.4</c:v>
                </c:pt>
                <c:pt idx="2">
                  <c:v>7.8</c:v>
                </c:pt>
                <c:pt idx="3">
                  <c:v>10.9</c:v>
                </c:pt>
                <c:pt idx="4">
                  <c:v>13.6</c:v>
                </c:pt>
                <c:pt idx="5">
                  <c:v>20.399999999999999</c:v>
                </c:pt>
                <c:pt idx="6">
                  <c:v>22.9</c:v>
                </c:pt>
                <c:pt idx="7">
                  <c:v>23.2</c:v>
                </c:pt>
                <c:pt idx="8">
                  <c:v>22.8</c:v>
                </c:pt>
                <c:pt idx="9">
                  <c:v>22.3</c:v>
                </c:pt>
                <c:pt idx="10">
                  <c:v>19.8</c:v>
                </c:pt>
                <c:pt idx="11">
                  <c:v>17.8</c:v>
                </c:pt>
                <c:pt idx="12">
                  <c:v>12.7</c:v>
                </c:pt>
                <c:pt idx="13">
                  <c:v>5.4</c:v>
                </c:pt>
                <c:pt idx="14">
                  <c:v>3.7</c:v>
                </c:pt>
              </c:numCache>
            </c:numRef>
          </c:val>
          <c:smooth val="0"/>
          <c:extLst>
            <c:ext xmlns:c16="http://schemas.microsoft.com/office/drawing/2014/chart" uri="{C3380CC4-5D6E-409C-BE32-E72D297353CC}">
              <c16:uniqueId val="{00000000-6817-4B55-960A-37350FFB2420}"/>
            </c:ext>
          </c:extLst>
        </c:ser>
        <c:ser>
          <c:idx val="1"/>
          <c:order val="1"/>
          <c:tx>
            <c:strRef>
              <c:f>'Temp DO Comp'!$A$5</c:f>
              <c:strCache>
                <c:ptCount val="1"/>
                <c:pt idx="0">
                  <c:v>Site 41</c:v>
                </c:pt>
              </c:strCache>
            </c:strRef>
          </c:tx>
          <c:marker>
            <c:symbol val="none"/>
          </c:marker>
          <c:cat>
            <c:strRef>
              <c:f>'Temp DO Comp'!$B$2:$P$2</c:f>
              <c:strCache>
                <c:ptCount val="15"/>
                <c:pt idx="0">
                  <c:v>Jan</c:v>
                </c:pt>
                <c:pt idx="1">
                  <c:v>Feb</c:v>
                </c:pt>
                <c:pt idx="2">
                  <c:v>Mar</c:v>
                </c:pt>
                <c:pt idx="3">
                  <c:v>Apr</c:v>
                </c:pt>
                <c:pt idx="4">
                  <c:v>May</c:v>
                </c:pt>
                <c:pt idx="5">
                  <c:v>Jun</c:v>
                </c:pt>
                <c:pt idx="6">
                  <c:v>Jul</c:v>
                </c:pt>
                <c:pt idx="7">
                  <c:v>Jul</c:v>
                </c:pt>
                <c:pt idx="8">
                  <c:v>Aug</c:v>
                </c:pt>
                <c:pt idx="9">
                  <c:v>Aug</c:v>
                </c:pt>
                <c:pt idx="10">
                  <c:v>Sep</c:v>
                </c:pt>
                <c:pt idx="11">
                  <c:v>Sep</c:v>
                </c:pt>
                <c:pt idx="12">
                  <c:v>Oct</c:v>
                </c:pt>
                <c:pt idx="13">
                  <c:v>Nov</c:v>
                </c:pt>
                <c:pt idx="14">
                  <c:v>Dec</c:v>
                </c:pt>
              </c:strCache>
            </c:strRef>
          </c:cat>
          <c:val>
            <c:numRef>
              <c:f>'Temp DO Comp'!$B$5:$P$5</c:f>
              <c:numCache>
                <c:formatCode>0.0</c:formatCode>
                <c:ptCount val="15"/>
                <c:pt idx="0">
                  <c:v>4.7</c:v>
                </c:pt>
                <c:pt idx="2">
                  <c:v>7.7</c:v>
                </c:pt>
                <c:pt idx="3">
                  <c:v>10.8</c:v>
                </c:pt>
                <c:pt idx="4">
                  <c:v>13.7</c:v>
                </c:pt>
                <c:pt idx="5">
                  <c:v>20.6</c:v>
                </c:pt>
                <c:pt idx="6">
                  <c:v>22.7</c:v>
                </c:pt>
                <c:pt idx="7">
                  <c:v>23.1</c:v>
                </c:pt>
                <c:pt idx="8">
                  <c:v>22.8</c:v>
                </c:pt>
                <c:pt idx="9">
                  <c:v>22.5</c:v>
                </c:pt>
                <c:pt idx="10">
                  <c:v>19.8</c:v>
                </c:pt>
                <c:pt idx="11">
                  <c:v>17.8</c:v>
                </c:pt>
                <c:pt idx="12">
                  <c:v>12.8</c:v>
                </c:pt>
                <c:pt idx="14">
                  <c:v>4</c:v>
                </c:pt>
              </c:numCache>
            </c:numRef>
          </c:val>
          <c:smooth val="0"/>
          <c:extLst>
            <c:ext xmlns:c16="http://schemas.microsoft.com/office/drawing/2014/chart" uri="{C3380CC4-5D6E-409C-BE32-E72D297353CC}">
              <c16:uniqueId val="{00000001-6817-4B55-960A-37350FFB2420}"/>
            </c:ext>
          </c:extLst>
        </c:ser>
        <c:ser>
          <c:idx val="2"/>
          <c:order val="2"/>
          <c:tx>
            <c:strRef>
              <c:f>'Temp DO Comp'!$A$6</c:f>
              <c:strCache>
                <c:ptCount val="1"/>
                <c:pt idx="0">
                  <c:v>Site 42</c:v>
                </c:pt>
              </c:strCache>
            </c:strRef>
          </c:tx>
          <c:marker>
            <c:symbol val="none"/>
          </c:marker>
          <c:cat>
            <c:strRef>
              <c:f>'Temp DO Comp'!$B$2:$P$2</c:f>
              <c:strCache>
                <c:ptCount val="15"/>
                <c:pt idx="0">
                  <c:v>Jan</c:v>
                </c:pt>
                <c:pt idx="1">
                  <c:v>Feb</c:v>
                </c:pt>
                <c:pt idx="2">
                  <c:v>Mar</c:v>
                </c:pt>
                <c:pt idx="3">
                  <c:v>Apr</c:v>
                </c:pt>
                <c:pt idx="4">
                  <c:v>May</c:v>
                </c:pt>
                <c:pt idx="5">
                  <c:v>Jun</c:v>
                </c:pt>
                <c:pt idx="6">
                  <c:v>Jul</c:v>
                </c:pt>
                <c:pt idx="7">
                  <c:v>Jul</c:v>
                </c:pt>
                <c:pt idx="8">
                  <c:v>Aug</c:v>
                </c:pt>
                <c:pt idx="9">
                  <c:v>Aug</c:v>
                </c:pt>
                <c:pt idx="10">
                  <c:v>Sep</c:v>
                </c:pt>
                <c:pt idx="11">
                  <c:v>Sep</c:v>
                </c:pt>
                <c:pt idx="12">
                  <c:v>Oct</c:v>
                </c:pt>
                <c:pt idx="13">
                  <c:v>Nov</c:v>
                </c:pt>
                <c:pt idx="14">
                  <c:v>Dec</c:v>
                </c:pt>
              </c:strCache>
            </c:strRef>
          </c:cat>
          <c:val>
            <c:numRef>
              <c:f>'Temp DO Comp'!$B$6:$P$6</c:f>
              <c:numCache>
                <c:formatCode>0.0</c:formatCode>
                <c:ptCount val="15"/>
                <c:pt idx="0">
                  <c:v>4.5999999999999996</c:v>
                </c:pt>
                <c:pt idx="2">
                  <c:v>7.8</c:v>
                </c:pt>
                <c:pt idx="3">
                  <c:v>10.9</c:v>
                </c:pt>
                <c:pt idx="4">
                  <c:v>13.7</c:v>
                </c:pt>
                <c:pt idx="5">
                  <c:v>20.2</c:v>
                </c:pt>
                <c:pt idx="6">
                  <c:v>22.8</c:v>
                </c:pt>
                <c:pt idx="7">
                  <c:v>23.1</c:v>
                </c:pt>
                <c:pt idx="8">
                  <c:v>22.5</c:v>
                </c:pt>
                <c:pt idx="9">
                  <c:v>22.8</c:v>
                </c:pt>
                <c:pt idx="10">
                  <c:v>19.899999999999999</c:v>
                </c:pt>
                <c:pt idx="11">
                  <c:v>18</c:v>
                </c:pt>
                <c:pt idx="12">
                  <c:v>12.7</c:v>
                </c:pt>
                <c:pt idx="14">
                  <c:v>4.2</c:v>
                </c:pt>
              </c:numCache>
            </c:numRef>
          </c:val>
          <c:smooth val="0"/>
          <c:extLst>
            <c:ext xmlns:c16="http://schemas.microsoft.com/office/drawing/2014/chart" uri="{C3380CC4-5D6E-409C-BE32-E72D297353CC}">
              <c16:uniqueId val="{00000002-6817-4B55-960A-37350FFB2420}"/>
            </c:ext>
          </c:extLst>
        </c:ser>
        <c:ser>
          <c:idx val="3"/>
          <c:order val="3"/>
          <c:tx>
            <c:strRef>
              <c:f>'Temp DO Comp'!$A$7</c:f>
              <c:strCache>
                <c:ptCount val="1"/>
                <c:pt idx="0">
                  <c:v>Site 43</c:v>
                </c:pt>
              </c:strCache>
            </c:strRef>
          </c:tx>
          <c:marker>
            <c:symbol val="none"/>
          </c:marker>
          <c:cat>
            <c:strRef>
              <c:f>'Temp DO Comp'!$B$2:$P$2</c:f>
              <c:strCache>
                <c:ptCount val="15"/>
                <c:pt idx="0">
                  <c:v>Jan</c:v>
                </c:pt>
                <c:pt idx="1">
                  <c:v>Feb</c:v>
                </c:pt>
                <c:pt idx="2">
                  <c:v>Mar</c:v>
                </c:pt>
                <c:pt idx="3">
                  <c:v>Apr</c:v>
                </c:pt>
                <c:pt idx="4">
                  <c:v>May</c:v>
                </c:pt>
                <c:pt idx="5">
                  <c:v>Jun</c:v>
                </c:pt>
                <c:pt idx="6">
                  <c:v>Jul</c:v>
                </c:pt>
                <c:pt idx="7">
                  <c:v>Jul</c:v>
                </c:pt>
                <c:pt idx="8">
                  <c:v>Aug</c:v>
                </c:pt>
                <c:pt idx="9">
                  <c:v>Aug</c:v>
                </c:pt>
                <c:pt idx="10">
                  <c:v>Sep</c:v>
                </c:pt>
                <c:pt idx="11">
                  <c:v>Sep</c:v>
                </c:pt>
                <c:pt idx="12">
                  <c:v>Oct</c:v>
                </c:pt>
                <c:pt idx="13">
                  <c:v>Nov</c:v>
                </c:pt>
                <c:pt idx="14">
                  <c:v>Dec</c:v>
                </c:pt>
              </c:strCache>
            </c:strRef>
          </c:cat>
          <c:val>
            <c:numRef>
              <c:f>'Temp DO Comp'!$B$7:$P$7</c:f>
              <c:numCache>
                <c:formatCode>0.0</c:formatCode>
                <c:ptCount val="15"/>
                <c:pt idx="0">
                  <c:v>4.0999999999999996</c:v>
                </c:pt>
                <c:pt idx="1">
                  <c:v>5</c:v>
                </c:pt>
                <c:pt idx="2">
                  <c:v>8.3000000000000007</c:v>
                </c:pt>
                <c:pt idx="3">
                  <c:v>11.1</c:v>
                </c:pt>
                <c:pt idx="4">
                  <c:v>13.8</c:v>
                </c:pt>
                <c:pt idx="5">
                  <c:v>21.1</c:v>
                </c:pt>
                <c:pt idx="6">
                  <c:v>24.3</c:v>
                </c:pt>
                <c:pt idx="7">
                  <c:v>23.8</c:v>
                </c:pt>
                <c:pt idx="8">
                  <c:v>23</c:v>
                </c:pt>
                <c:pt idx="9">
                  <c:v>22.8</c:v>
                </c:pt>
                <c:pt idx="10">
                  <c:v>20</c:v>
                </c:pt>
                <c:pt idx="11">
                  <c:v>18.5</c:v>
                </c:pt>
                <c:pt idx="12">
                  <c:v>13</c:v>
                </c:pt>
                <c:pt idx="14">
                  <c:v>3.6</c:v>
                </c:pt>
              </c:numCache>
            </c:numRef>
          </c:val>
          <c:smooth val="0"/>
          <c:extLst>
            <c:ext xmlns:c16="http://schemas.microsoft.com/office/drawing/2014/chart" uri="{C3380CC4-5D6E-409C-BE32-E72D297353CC}">
              <c16:uniqueId val="{00000003-6817-4B55-960A-37350FFB2420}"/>
            </c:ext>
          </c:extLst>
        </c:ser>
        <c:ser>
          <c:idx val="4"/>
          <c:order val="4"/>
          <c:tx>
            <c:strRef>
              <c:f>'Temp DO Comp'!$A$8</c:f>
              <c:strCache>
                <c:ptCount val="1"/>
                <c:pt idx="0">
                  <c:v>Site 44</c:v>
                </c:pt>
              </c:strCache>
            </c:strRef>
          </c:tx>
          <c:marker>
            <c:symbol val="none"/>
          </c:marker>
          <c:cat>
            <c:strRef>
              <c:f>'Temp DO Comp'!$B$2:$P$2</c:f>
              <c:strCache>
                <c:ptCount val="15"/>
                <c:pt idx="0">
                  <c:v>Jan</c:v>
                </c:pt>
                <c:pt idx="1">
                  <c:v>Feb</c:v>
                </c:pt>
                <c:pt idx="2">
                  <c:v>Mar</c:v>
                </c:pt>
                <c:pt idx="3">
                  <c:v>Apr</c:v>
                </c:pt>
                <c:pt idx="4">
                  <c:v>May</c:v>
                </c:pt>
                <c:pt idx="5">
                  <c:v>Jun</c:v>
                </c:pt>
                <c:pt idx="6">
                  <c:v>Jul</c:v>
                </c:pt>
                <c:pt idx="7">
                  <c:v>Jul</c:v>
                </c:pt>
                <c:pt idx="8">
                  <c:v>Aug</c:v>
                </c:pt>
                <c:pt idx="9">
                  <c:v>Aug</c:v>
                </c:pt>
                <c:pt idx="10">
                  <c:v>Sep</c:v>
                </c:pt>
                <c:pt idx="11">
                  <c:v>Sep</c:v>
                </c:pt>
                <c:pt idx="12">
                  <c:v>Oct</c:v>
                </c:pt>
                <c:pt idx="13">
                  <c:v>Nov</c:v>
                </c:pt>
                <c:pt idx="14">
                  <c:v>Dec</c:v>
                </c:pt>
              </c:strCache>
            </c:strRef>
          </c:cat>
          <c:val>
            <c:numRef>
              <c:f>'Temp DO Comp'!$B$8:$P$8</c:f>
              <c:numCache>
                <c:formatCode>0.0</c:formatCode>
                <c:ptCount val="15"/>
                <c:pt idx="0">
                  <c:v>4.4000000000000004</c:v>
                </c:pt>
                <c:pt idx="1">
                  <c:v>4.5</c:v>
                </c:pt>
                <c:pt idx="2">
                  <c:v>7.9</c:v>
                </c:pt>
                <c:pt idx="3">
                  <c:v>11</c:v>
                </c:pt>
                <c:pt idx="4">
                  <c:v>13.7</c:v>
                </c:pt>
                <c:pt idx="5">
                  <c:v>21.1</c:v>
                </c:pt>
                <c:pt idx="6">
                  <c:v>23.2</c:v>
                </c:pt>
                <c:pt idx="7">
                  <c:v>23.6</c:v>
                </c:pt>
                <c:pt idx="8">
                  <c:v>22.9</c:v>
                </c:pt>
                <c:pt idx="9">
                  <c:v>22.8</c:v>
                </c:pt>
                <c:pt idx="10">
                  <c:v>19.899999999999999</c:v>
                </c:pt>
                <c:pt idx="11">
                  <c:v>18.100000000000001</c:v>
                </c:pt>
                <c:pt idx="12">
                  <c:v>12.7</c:v>
                </c:pt>
                <c:pt idx="14">
                  <c:v>3.5</c:v>
                </c:pt>
              </c:numCache>
            </c:numRef>
          </c:val>
          <c:smooth val="0"/>
          <c:extLst>
            <c:ext xmlns:c16="http://schemas.microsoft.com/office/drawing/2014/chart" uri="{C3380CC4-5D6E-409C-BE32-E72D297353CC}">
              <c16:uniqueId val="{00000004-6817-4B55-960A-37350FFB2420}"/>
            </c:ext>
          </c:extLst>
        </c:ser>
        <c:ser>
          <c:idx val="5"/>
          <c:order val="5"/>
          <c:tx>
            <c:strRef>
              <c:f>'Temp DO Comp'!$A$9</c:f>
              <c:strCache>
                <c:ptCount val="1"/>
                <c:pt idx="0">
                  <c:v>S(Jan-Mar)</c:v>
                </c:pt>
              </c:strCache>
            </c:strRef>
          </c:tx>
          <c:spPr>
            <a:ln w="44450" cmpd="sng">
              <a:prstDash val="sysDash"/>
            </a:ln>
          </c:spPr>
          <c:marker>
            <c:symbol val="none"/>
          </c:marker>
          <c:val>
            <c:numRef>
              <c:f>'Temp DO Comp'!$B$9:$D$9</c:f>
              <c:numCache>
                <c:formatCode>0</c:formatCode>
                <c:ptCount val="3"/>
                <c:pt idx="0" formatCode="General">
                  <c:v>9</c:v>
                </c:pt>
                <c:pt idx="1">
                  <c:v>9</c:v>
                </c:pt>
                <c:pt idx="2">
                  <c:v>9</c:v>
                </c:pt>
              </c:numCache>
            </c:numRef>
          </c:val>
          <c:smooth val="0"/>
          <c:extLst>
            <c:ext xmlns:c16="http://schemas.microsoft.com/office/drawing/2014/chart" uri="{C3380CC4-5D6E-409C-BE32-E72D297353CC}">
              <c16:uniqueId val="{00000005-6817-4B55-960A-37350FFB2420}"/>
            </c:ext>
          </c:extLst>
        </c:ser>
        <c:ser>
          <c:idx val="6"/>
          <c:order val="6"/>
          <c:tx>
            <c:strRef>
              <c:f>'Temp DO Comp'!$A$10</c:f>
              <c:strCache>
                <c:ptCount val="1"/>
                <c:pt idx="0">
                  <c:v>S(Apr-Dec)</c:v>
                </c:pt>
              </c:strCache>
            </c:strRef>
          </c:tx>
          <c:spPr>
            <a:ln w="44450">
              <a:prstDash val="sysDash"/>
            </a:ln>
          </c:spPr>
          <c:marker>
            <c:symbol val="none"/>
          </c:marker>
          <c:val>
            <c:numRef>
              <c:f>'Temp DO Comp'!$B$10:$P$10</c:f>
              <c:numCache>
                <c:formatCode>0.00</c:formatCode>
                <c:ptCount val="15"/>
                <c:pt idx="3" formatCode="General">
                  <c:v>23.3</c:v>
                </c:pt>
                <c:pt idx="4" formatCode="General">
                  <c:v>23.3</c:v>
                </c:pt>
                <c:pt idx="5" formatCode="General">
                  <c:v>23.3</c:v>
                </c:pt>
                <c:pt idx="6" formatCode="General">
                  <c:v>23.3</c:v>
                </c:pt>
                <c:pt idx="7" formatCode="General">
                  <c:v>23.3</c:v>
                </c:pt>
                <c:pt idx="8" formatCode="General">
                  <c:v>23.3</c:v>
                </c:pt>
                <c:pt idx="9" formatCode="General">
                  <c:v>23.3</c:v>
                </c:pt>
                <c:pt idx="10" formatCode="General">
                  <c:v>23.3</c:v>
                </c:pt>
                <c:pt idx="11" formatCode="General">
                  <c:v>23.3</c:v>
                </c:pt>
                <c:pt idx="12" formatCode="General">
                  <c:v>23.3</c:v>
                </c:pt>
                <c:pt idx="13" formatCode="General">
                  <c:v>23.3</c:v>
                </c:pt>
                <c:pt idx="14" formatCode="General">
                  <c:v>23.3</c:v>
                </c:pt>
              </c:numCache>
            </c:numRef>
          </c:val>
          <c:smooth val="0"/>
          <c:extLst>
            <c:ext xmlns:c16="http://schemas.microsoft.com/office/drawing/2014/chart" uri="{C3380CC4-5D6E-409C-BE32-E72D297353CC}">
              <c16:uniqueId val="{00000006-6817-4B55-960A-37350FFB2420}"/>
            </c:ext>
          </c:extLst>
        </c:ser>
        <c:dLbls>
          <c:showLegendKey val="0"/>
          <c:showVal val="0"/>
          <c:showCatName val="0"/>
          <c:showSerName val="0"/>
          <c:showPercent val="0"/>
          <c:showBubbleSize val="0"/>
        </c:dLbls>
        <c:smooth val="0"/>
        <c:axId val="136070656"/>
        <c:axId val="136072192"/>
      </c:lineChart>
      <c:catAx>
        <c:axId val="136070656"/>
        <c:scaling>
          <c:orientation val="minMax"/>
        </c:scaling>
        <c:delete val="0"/>
        <c:axPos val="b"/>
        <c:numFmt formatCode="General" sourceLinked="0"/>
        <c:majorTickMark val="none"/>
        <c:minorTickMark val="none"/>
        <c:tickLblPos val="nextTo"/>
        <c:crossAx val="136072192"/>
        <c:crosses val="autoZero"/>
        <c:auto val="1"/>
        <c:lblAlgn val="ctr"/>
        <c:lblOffset val="100"/>
        <c:noMultiLvlLbl val="0"/>
      </c:catAx>
      <c:valAx>
        <c:axId val="136072192"/>
        <c:scaling>
          <c:orientation val="minMax"/>
        </c:scaling>
        <c:delete val="0"/>
        <c:axPos val="l"/>
        <c:majorGridlines/>
        <c:title>
          <c:tx>
            <c:rich>
              <a:bodyPr/>
              <a:lstStyle/>
              <a:p>
                <a:pPr>
                  <a:defRPr/>
                </a:pPr>
                <a:r>
                  <a:rPr lang="en-US"/>
                  <a:t>Temperature C</a:t>
                </a:r>
              </a:p>
            </c:rich>
          </c:tx>
          <c:overlay val="0"/>
        </c:title>
        <c:numFmt formatCode="0.0" sourceLinked="1"/>
        <c:majorTickMark val="none"/>
        <c:minorTickMark val="none"/>
        <c:tickLblPos val="nextTo"/>
        <c:crossAx val="136070656"/>
        <c:crosses val="autoZero"/>
        <c:crossBetween val="between"/>
      </c:valAx>
      <c:dTable>
        <c:showHorzBorder val="1"/>
        <c:showVertBorder val="1"/>
        <c:showOutline val="1"/>
        <c:showKeys val="1"/>
      </c:dTable>
      <c:spPr>
        <a:gradFill>
          <a:gsLst>
            <a:gs pos="0">
              <a:schemeClr val="tx2">
                <a:lumMod val="20000"/>
                <a:lumOff val="80000"/>
              </a:schemeClr>
            </a:gs>
            <a:gs pos="53000">
              <a:srgbClr val="D4DEFF"/>
            </a:gs>
            <a:gs pos="83000">
              <a:srgbClr val="D4DEFF"/>
            </a:gs>
            <a:gs pos="100000">
              <a:srgbClr val="96AB94"/>
            </a:gs>
          </a:gsLst>
          <a:lin ang="5400000" scaled="0"/>
        </a:gradFill>
      </c:spPr>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2011 DO Compliance Bear Creek Reservoir</a:t>
            </a:r>
          </a:p>
        </c:rich>
      </c:tx>
      <c:layout>
        <c:manualLayout>
          <c:xMode val="edge"/>
          <c:yMode val="edge"/>
          <c:x val="0.36022359991385655"/>
          <c:y val="4.697380307136393E-2"/>
        </c:manualLayout>
      </c:layout>
      <c:overlay val="0"/>
    </c:title>
    <c:autoTitleDeleted val="0"/>
    <c:plotArea>
      <c:layout>
        <c:manualLayout>
          <c:layoutTarget val="inner"/>
          <c:xMode val="edge"/>
          <c:yMode val="edge"/>
          <c:x val="0.22722803878601491"/>
          <c:y val="0.15204176713683187"/>
          <c:w val="0.77277196121398684"/>
          <c:h val="0.66173171443000756"/>
        </c:manualLayout>
      </c:layout>
      <c:lineChart>
        <c:grouping val="standard"/>
        <c:varyColors val="0"/>
        <c:ser>
          <c:idx val="2"/>
          <c:order val="0"/>
          <c:tx>
            <c:strRef>
              <c:f>'Temp DO Comp'!$R$5</c:f>
              <c:strCache>
                <c:ptCount val="1"/>
                <c:pt idx="0">
                  <c:v>Profile Average (mg/l)</c:v>
                </c:pt>
              </c:strCache>
            </c:strRef>
          </c:tx>
          <c:cat>
            <c:strRef>
              <c:f>'Temp DO Comp'!$S$2:$AH$2</c:f>
              <c:strCache>
                <c:ptCount val="15"/>
                <c:pt idx="0">
                  <c:v>Jan</c:v>
                </c:pt>
                <c:pt idx="1">
                  <c:v>Feb</c:v>
                </c:pt>
                <c:pt idx="2">
                  <c:v>Mar</c:v>
                </c:pt>
                <c:pt idx="3">
                  <c:v>Apr</c:v>
                </c:pt>
                <c:pt idx="4">
                  <c:v>May</c:v>
                </c:pt>
                <c:pt idx="5">
                  <c:v>Jun</c:v>
                </c:pt>
                <c:pt idx="6">
                  <c:v>Jul</c:v>
                </c:pt>
                <c:pt idx="7">
                  <c:v>Jul</c:v>
                </c:pt>
                <c:pt idx="8">
                  <c:v>Aug</c:v>
                </c:pt>
                <c:pt idx="9">
                  <c:v>Aug</c:v>
                </c:pt>
                <c:pt idx="10">
                  <c:v>Sep</c:v>
                </c:pt>
                <c:pt idx="11">
                  <c:v>Sep</c:v>
                </c:pt>
                <c:pt idx="12">
                  <c:v>Oct</c:v>
                </c:pt>
                <c:pt idx="13">
                  <c:v>Nov</c:v>
                </c:pt>
                <c:pt idx="14">
                  <c:v>Dec</c:v>
                </c:pt>
              </c:strCache>
            </c:strRef>
          </c:cat>
          <c:val>
            <c:numRef>
              <c:f>'Temp DO Comp'!$S$5:$AH$5</c:f>
              <c:numCache>
                <c:formatCode>0.0</c:formatCode>
                <c:ptCount val="15"/>
                <c:pt idx="0">
                  <c:v>9.14</c:v>
                </c:pt>
                <c:pt idx="1">
                  <c:v>7.44</c:v>
                </c:pt>
                <c:pt idx="2">
                  <c:v>8.84</c:v>
                </c:pt>
                <c:pt idx="3">
                  <c:v>10.029999999999999</c:v>
                </c:pt>
                <c:pt idx="4" formatCode="General">
                  <c:v>6.99</c:v>
                </c:pt>
                <c:pt idx="5">
                  <c:v>7.24</c:v>
                </c:pt>
                <c:pt idx="6" formatCode="General">
                  <c:v>4.6399999999999997</c:v>
                </c:pt>
                <c:pt idx="7">
                  <c:v>4.99</c:v>
                </c:pt>
                <c:pt idx="8">
                  <c:v>6.02</c:v>
                </c:pt>
                <c:pt idx="9">
                  <c:v>7.03</c:v>
                </c:pt>
                <c:pt idx="10">
                  <c:v>6.98</c:v>
                </c:pt>
                <c:pt idx="11">
                  <c:v>6.76</c:v>
                </c:pt>
                <c:pt idx="12">
                  <c:v>9.32</c:v>
                </c:pt>
                <c:pt idx="13">
                  <c:v>9.19</c:v>
                </c:pt>
                <c:pt idx="14">
                  <c:v>9.16</c:v>
                </c:pt>
              </c:numCache>
            </c:numRef>
          </c:val>
          <c:smooth val="0"/>
          <c:extLst>
            <c:ext xmlns:c16="http://schemas.microsoft.com/office/drawing/2014/chart" uri="{C3380CC4-5D6E-409C-BE32-E72D297353CC}">
              <c16:uniqueId val="{00000000-FE7A-4D47-8604-D88AF84AE57E}"/>
            </c:ext>
          </c:extLst>
        </c:ser>
        <c:ser>
          <c:idx val="3"/>
          <c:order val="1"/>
          <c:tx>
            <c:strRef>
              <c:f>'Temp DO Comp'!$R$4</c:f>
              <c:strCache>
                <c:ptCount val="1"/>
                <c:pt idx="0">
                  <c:v>Average1/2-2m (mg/l)</c:v>
                </c:pt>
              </c:strCache>
            </c:strRef>
          </c:tx>
          <c:cat>
            <c:strRef>
              <c:f>'Temp DO Comp'!$S$2:$AF$2</c:f>
              <c:strCache>
                <c:ptCount val="13"/>
                <c:pt idx="0">
                  <c:v>Jan</c:v>
                </c:pt>
                <c:pt idx="1">
                  <c:v>Feb</c:v>
                </c:pt>
                <c:pt idx="2">
                  <c:v>Mar</c:v>
                </c:pt>
                <c:pt idx="3">
                  <c:v>Apr</c:v>
                </c:pt>
                <c:pt idx="4">
                  <c:v>May</c:v>
                </c:pt>
                <c:pt idx="5">
                  <c:v>Jun</c:v>
                </c:pt>
                <c:pt idx="6">
                  <c:v>Jul</c:v>
                </c:pt>
                <c:pt idx="7">
                  <c:v>Jul</c:v>
                </c:pt>
                <c:pt idx="8">
                  <c:v>Aug</c:v>
                </c:pt>
                <c:pt idx="9">
                  <c:v>Aug</c:v>
                </c:pt>
                <c:pt idx="10">
                  <c:v>Sep</c:v>
                </c:pt>
                <c:pt idx="11">
                  <c:v>Sep</c:v>
                </c:pt>
                <c:pt idx="12">
                  <c:v>Oct</c:v>
                </c:pt>
              </c:strCache>
            </c:strRef>
          </c:cat>
          <c:val>
            <c:numRef>
              <c:f>'Temp DO Comp'!$S$4:$AH$4</c:f>
              <c:numCache>
                <c:formatCode>0.0</c:formatCode>
                <c:ptCount val="15"/>
                <c:pt idx="0">
                  <c:v>11.86</c:v>
                </c:pt>
                <c:pt idx="1">
                  <c:v>8.93</c:v>
                </c:pt>
                <c:pt idx="2">
                  <c:v>9.6</c:v>
                </c:pt>
                <c:pt idx="3">
                  <c:v>10.199999999999999</c:v>
                </c:pt>
                <c:pt idx="4" formatCode="General">
                  <c:v>8.77</c:v>
                </c:pt>
                <c:pt idx="5">
                  <c:v>8.0500000000000007</c:v>
                </c:pt>
                <c:pt idx="6" formatCode="General">
                  <c:v>5.85</c:v>
                </c:pt>
                <c:pt idx="7">
                  <c:v>6.04</c:v>
                </c:pt>
                <c:pt idx="8">
                  <c:v>6.49</c:v>
                </c:pt>
                <c:pt idx="9">
                  <c:v>7.46</c:v>
                </c:pt>
                <c:pt idx="10">
                  <c:v>7.24</c:v>
                </c:pt>
                <c:pt idx="11">
                  <c:v>6.9</c:v>
                </c:pt>
                <c:pt idx="12">
                  <c:v>11.2</c:v>
                </c:pt>
                <c:pt idx="13">
                  <c:v>9.39</c:v>
                </c:pt>
                <c:pt idx="14">
                  <c:v>11.38</c:v>
                </c:pt>
              </c:numCache>
            </c:numRef>
          </c:val>
          <c:smooth val="0"/>
          <c:extLst>
            <c:ext xmlns:c16="http://schemas.microsoft.com/office/drawing/2014/chart" uri="{C3380CC4-5D6E-409C-BE32-E72D297353CC}">
              <c16:uniqueId val="{00000001-FE7A-4D47-8604-D88AF84AE57E}"/>
            </c:ext>
          </c:extLst>
        </c:ser>
        <c:dLbls>
          <c:showLegendKey val="0"/>
          <c:showVal val="0"/>
          <c:showCatName val="0"/>
          <c:showSerName val="0"/>
          <c:showPercent val="0"/>
          <c:showBubbleSize val="0"/>
        </c:dLbls>
        <c:marker val="1"/>
        <c:smooth val="0"/>
        <c:axId val="136115328"/>
        <c:axId val="136116864"/>
      </c:lineChart>
      <c:catAx>
        <c:axId val="136115328"/>
        <c:scaling>
          <c:orientation val="minMax"/>
        </c:scaling>
        <c:delete val="0"/>
        <c:axPos val="b"/>
        <c:numFmt formatCode="General" sourceLinked="0"/>
        <c:majorTickMark val="none"/>
        <c:minorTickMark val="none"/>
        <c:tickLblPos val="nextTo"/>
        <c:crossAx val="136116864"/>
        <c:crosses val="autoZero"/>
        <c:auto val="1"/>
        <c:lblAlgn val="ctr"/>
        <c:lblOffset val="100"/>
        <c:noMultiLvlLbl val="0"/>
      </c:catAx>
      <c:valAx>
        <c:axId val="136116864"/>
        <c:scaling>
          <c:orientation val="minMax"/>
        </c:scaling>
        <c:delete val="0"/>
        <c:axPos val="l"/>
        <c:majorGridlines/>
        <c:title>
          <c:tx>
            <c:rich>
              <a:bodyPr/>
              <a:lstStyle/>
              <a:p>
                <a:pPr>
                  <a:defRPr sz="1050"/>
                </a:pPr>
                <a:r>
                  <a:rPr lang="en-US" sz="1050"/>
                  <a:t>Dissolved Oxygen (mg/l)</a:t>
                </a:r>
              </a:p>
            </c:rich>
          </c:tx>
          <c:layout>
            <c:manualLayout>
              <c:xMode val="edge"/>
              <c:yMode val="edge"/>
              <c:x val="0.13859647208227047"/>
              <c:y val="0.21675576506113994"/>
            </c:manualLayout>
          </c:layout>
          <c:overlay val="0"/>
        </c:title>
        <c:numFmt formatCode="0.0" sourceLinked="1"/>
        <c:majorTickMark val="none"/>
        <c:minorTickMark val="none"/>
        <c:tickLblPos val="nextTo"/>
        <c:spPr>
          <a:noFill/>
        </c:spPr>
        <c:crossAx val="136115328"/>
        <c:crosses val="autoZero"/>
        <c:crossBetween val="between"/>
      </c:valAx>
      <c:dTable>
        <c:showHorzBorder val="1"/>
        <c:showVertBorder val="1"/>
        <c:showOutline val="1"/>
        <c:showKeys val="1"/>
      </c:dTable>
      <c:spPr>
        <a:gradFill>
          <a:gsLst>
            <a:gs pos="0">
              <a:srgbClr val="5E9EFF">
                <a:alpha val="47000"/>
              </a:srgbClr>
            </a:gs>
            <a:gs pos="39999">
              <a:srgbClr val="85C2FF"/>
            </a:gs>
            <a:gs pos="70000">
              <a:srgbClr val="C4D6EB"/>
            </a:gs>
            <a:gs pos="100000">
              <a:srgbClr val="FFEBFA"/>
            </a:gs>
          </a:gsLst>
          <a:lin ang="16200000" scaled="1"/>
        </a:gradFill>
      </c:spPr>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Flow Estimates 2011</a:t>
            </a:r>
          </a:p>
        </c:rich>
      </c:tx>
      <c:layout>
        <c:manualLayout>
          <c:xMode val="edge"/>
          <c:yMode val="edge"/>
          <c:x val="0.36279304388630879"/>
          <c:y val="2.2336303356817241E-2"/>
        </c:manualLayout>
      </c:layout>
      <c:overlay val="1"/>
    </c:title>
    <c:autoTitleDeleted val="0"/>
    <c:plotArea>
      <c:layout>
        <c:manualLayout>
          <c:layoutTarget val="inner"/>
          <c:xMode val="edge"/>
          <c:yMode val="edge"/>
          <c:x val="0.11275048819583385"/>
          <c:y val="0.12157583920430999"/>
          <c:w val="0.85220524725245994"/>
          <c:h val="0.69697023069486275"/>
        </c:manualLayout>
      </c:layout>
      <c:lineChart>
        <c:grouping val="standard"/>
        <c:varyColors val="0"/>
        <c:ser>
          <c:idx val="0"/>
          <c:order val="0"/>
          <c:tx>
            <c:strRef>
              <c:f>'Kerr Swede'!$O$9</c:f>
              <c:strCache>
                <c:ptCount val="1"/>
                <c:pt idx="0">
                  <c:v>Site 52 - Confluence</c:v>
                </c:pt>
              </c:strCache>
            </c:strRef>
          </c:tx>
          <c:marker>
            <c:symbol val="none"/>
          </c:marker>
          <c:cat>
            <c:numRef>
              <c:f>'Kerr Swede'!$P$8:$AA$8</c:f>
              <c:numCache>
                <c:formatCode>[$-409]d\-mmm;@</c:formatCode>
                <c:ptCount val="12"/>
                <c:pt idx="0">
                  <c:v>40568</c:v>
                </c:pt>
                <c:pt idx="1">
                  <c:v>40596</c:v>
                </c:pt>
                <c:pt idx="2">
                  <c:v>40630</c:v>
                </c:pt>
                <c:pt idx="3">
                  <c:v>40660</c:v>
                </c:pt>
                <c:pt idx="4">
                  <c:v>40686</c:v>
                </c:pt>
                <c:pt idx="5">
                  <c:v>40710</c:v>
                </c:pt>
                <c:pt idx="6">
                  <c:v>40749</c:v>
                </c:pt>
                <c:pt idx="7">
                  <c:v>40778</c:v>
                </c:pt>
                <c:pt idx="8">
                  <c:v>40812</c:v>
                </c:pt>
                <c:pt idx="9">
                  <c:v>40841</c:v>
                </c:pt>
                <c:pt idx="10">
                  <c:v>40875</c:v>
                </c:pt>
                <c:pt idx="11">
                  <c:v>40905</c:v>
                </c:pt>
              </c:numCache>
            </c:numRef>
          </c:cat>
          <c:val>
            <c:numRef>
              <c:f>'Kerr Swede'!$P$9:$AA$9</c:f>
              <c:numCache>
                <c:formatCode>0.00</c:formatCode>
                <c:ptCount val="12"/>
                <c:pt idx="0">
                  <c:v>0.28000000000000003</c:v>
                </c:pt>
                <c:pt idx="1">
                  <c:v>0.53</c:v>
                </c:pt>
                <c:pt idx="2">
                  <c:v>0.56999999999999995</c:v>
                </c:pt>
                <c:pt idx="3">
                  <c:v>0.44</c:v>
                </c:pt>
                <c:pt idx="4">
                  <c:v>1.17</c:v>
                </c:pt>
                <c:pt idx="5">
                  <c:v>0.62</c:v>
                </c:pt>
                <c:pt idx="6">
                  <c:v>0.36</c:v>
                </c:pt>
                <c:pt idx="7">
                  <c:v>0.53</c:v>
                </c:pt>
                <c:pt idx="8">
                  <c:v>0.23</c:v>
                </c:pt>
                <c:pt idx="9">
                  <c:v>0.68</c:v>
                </c:pt>
                <c:pt idx="10">
                  <c:v>0.83</c:v>
                </c:pt>
                <c:pt idx="11">
                  <c:v>0.35</c:v>
                </c:pt>
              </c:numCache>
            </c:numRef>
          </c:val>
          <c:smooth val="0"/>
          <c:extLst>
            <c:ext xmlns:c16="http://schemas.microsoft.com/office/drawing/2014/chart" uri="{C3380CC4-5D6E-409C-BE32-E72D297353CC}">
              <c16:uniqueId val="{00000000-5A35-4295-B795-7FAEF440CB61}"/>
            </c:ext>
          </c:extLst>
        </c:ser>
        <c:ser>
          <c:idx val="1"/>
          <c:order val="1"/>
          <c:tx>
            <c:strRef>
              <c:f>'Kerr Swede'!$O$10</c:f>
              <c:strCache>
                <c:ptCount val="1"/>
                <c:pt idx="0">
                  <c:v>Site 53 - Riefenberg</c:v>
                </c:pt>
              </c:strCache>
            </c:strRef>
          </c:tx>
          <c:marker>
            <c:symbol val="none"/>
          </c:marker>
          <c:cat>
            <c:numRef>
              <c:f>'Kerr Swede'!$P$8:$Z$8</c:f>
              <c:numCache>
                <c:formatCode>[$-409]d\-mmm;@</c:formatCode>
                <c:ptCount val="11"/>
                <c:pt idx="0">
                  <c:v>40568</c:v>
                </c:pt>
                <c:pt idx="1">
                  <c:v>40596</c:v>
                </c:pt>
                <c:pt idx="2">
                  <c:v>40630</c:v>
                </c:pt>
                <c:pt idx="3">
                  <c:v>40660</c:v>
                </c:pt>
                <c:pt idx="4">
                  <c:v>40686</c:v>
                </c:pt>
                <c:pt idx="5">
                  <c:v>40710</c:v>
                </c:pt>
                <c:pt idx="6">
                  <c:v>40749</c:v>
                </c:pt>
                <c:pt idx="7">
                  <c:v>40778</c:v>
                </c:pt>
                <c:pt idx="8">
                  <c:v>40812</c:v>
                </c:pt>
                <c:pt idx="9">
                  <c:v>40841</c:v>
                </c:pt>
                <c:pt idx="10">
                  <c:v>40875</c:v>
                </c:pt>
              </c:numCache>
            </c:numRef>
          </c:cat>
          <c:val>
            <c:numRef>
              <c:f>'Kerr Swede'!$P$10:$AA$10</c:f>
              <c:numCache>
                <c:formatCode>0.00</c:formatCode>
                <c:ptCount val="12"/>
                <c:pt idx="0">
                  <c:v>0.2</c:v>
                </c:pt>
                <c:pt idx="1">
                  <c:v>0.51</c:v>
                </c:pt>
                <c:pt idx="2">
                  <c:v>0.43</c:v>
                </c:pt>
                <c:pt idx="3">
                  <c:v>0.38</c:v>
                </c:pt>
                <c:pt idx="4">
                  <c:v>0.9</c:v>
                </c:pt>
                <c:pt idx="5">
                  <c:v>0.44</c:v>
                </c:pt>
                <c:pt idx="6">
                  <c:v>0.28999999999999998</c:v>
                </c:pt>
                <c:pt idx="7">
                  <c:v>0.42</c:v>
                </c:pt>
                <c:pt idx="8">
                  <c:v>0.2</c:v>
                </c:pt>
                <c:pt idx="9">
                  <c:v>0.41</c:v>
                </c:pt>
                <c:pt idx="10">
                  <c:v>0.63</c:v>
                </c:pt>
                <c:pt idx="11">
                  <c:v>0.21</c:v>
                </c:pt>
              </c:numCache>
            </c:numRef>
          </c:val>
          <c:smooth val="0"/>
          <c:extLst>
            <c:ext xmlns:c16="http://schemas.microsoft.com/office/drawing/2014/chart" uri="{C3380CC4-5D6E-409C-BE32-E72D297353CC}">
              <c16:uniqueId val="{00000001-5A35-4295-B795-7FAEF440CB61}"/>
            </c:ext>
          </c:extLst>
        </c:ser>
        <c:ser>
          <c:idx val="2"/>
          <c:order val="2"/>
          <c:tx>
            <c:strRef>
              <c:f>'Kerr Swede'!$O$11</c:f>
              <c:strCache>
                <c:ptCount val="1"/>
                <c:pt idx="0">
                  <c:v>Site 54 - Kerr</c:v>
                </c:pt>
              </c:strCache>
            </c:strRef>
          </c:tx>
          <c:marker>
            <c:symbol val="none"/>
          </c:marker>
          <c:cat>
            <c:numRef>
              <c:f>'Kerr Swede'!$P$8:$Z$8</c:f>
              <c:numCache>
                <c:formatCode>[$-409]d\-mmm;@</c:formatCode>
                <c:ptCount val="11"/>
                <c:pt idx="0">
                  <c:v>40568</c:v>
                </c:pt>
                <c:pt idx="1">
                  <c:v>40596</c:v>
                </c:pt>
                <c:pt idx="2">
                  <c:v>40630</c:v>
                </c:pt>
                <c:pt idx="3">
                  <c:v>40660</c:v>
                </c:pt>
                <c:pt idx="4">
                  <c:v>40686</c:v>
                </c:pt>
                <c:pt idx="5">
                  <c:v>40710</c:v>
                </c:pt>
                <c:pt idx="6">
                  <c:v>40749</c:v>
                </c:pt>
                <c:pt idx="7">
                  <c:v>40778</c:v>
                </c:pt>
                <c:pt idx="8">
                  <c:v>40812</c:v>
                </c:pt>
                <c:pt idx="9">
                  <c:v>40841</c:v>
                </c:pt>
                <c:pt idx="10">
                  <c:v>40875</c:v>
                </c:pt>
              </c:numCache>
            </c:numRef>
          </c:cat>
          <c:val>
            <c:numRef>
              <c:f>'Kerr Swede'!$P$11:$AA$11</c:f>
              <c:numCache>
                <c:formatCode>0.00</c:formatCode>
                <c:ptCount val="12"/>
                <c:pt idx="0">
                  <c:v>0.19</c:v>
                </c:pt>
                <c:pt idx="1">
                  <c:v>0.39</c:v>
                </c:pt>
                <c:pt idx="2">
                  <c:v>0.37</c:v>
                </c:pt>
                <c:pt idx="3">
                  <c:v>0.27</c:v>
                </c:pt>
                <c:pt idx="4">
                  <c:v>0.3</c:v>
                </c:pt>
                <c:pt idx="5">
                  <c:v>0.21</c:v>
                </c:pt>
                <c:pt idx="6">
                  <c:v>0.16</c:v>
                </c:pt>
                <c:pt idx="7">
                  <c:v>0.19</c:v>
                </c:pt>
                <c:pt idx="8">
                  <c:v>0.12</c:v>
                </c:pt>
                <c:pt idx="9">
                  <c:v>0.15</c:v>
                </c:pt>
                <c:pt idx="10">
                  <c:v>0.25</c:v>
                </c:pt>
                <c:pt idx="11">
                  <c:v>0.2</c:v>
                </c:pt>
              </c:numCache>
            </c:numRef>
          </c:val>
          <c:smooth val="0"/>
          <c:extLst>
            <c:ext xmlns:c16="http://schemas.microsoft.com/office/drawing/2014/chart" uri="{C3380CC4-5D6E-409C-BE32-E72D297353CC}">
              <c16:uniqueId val="{00000002-5A35-4295-B795-7FAEF440CB61}"/>
            </c:ext>
          </c:extLst>
        </c:ser>
        <c:ser>
          <c:idx val="3"/>
          <c:order val="3"/>
          <c:tx>
            <c:strRef>
              <c:f>'Kerr Swede'!$O$12</c:f>
              <c:strCache>
                <c:ptCount val="1"/>
                <c:pt idx="0">
                  <c:v>Site 55 - Swede</c:v>
                </c:pt>
              </c:strCache>
            </c:strRef>
          </c:tx>
          <c:marker>
            <c:symbol val="none"/>
          </c:marker>
          <c:cat>
            <c:numRef>
              <c:f>'Kerr Swede'!$P$8:$Z$8</c:f>
              <c:numCache>
                <c:formatCode>[$-409]d\-mmm;@</c:formatCode>
                <c:ptCount val="11"/>
                <c:pt idx="0">
                  <c:v>40568</c:v>
                </c:pt>
                <c:pt idx="1">
                  <c:v>40596</c:v>
                </c:pt>
                <c:pt idx="2">
                  <c:v>40630</c:v>
                </c:pt>
                <c:pt idx="3">
                  <c:v>40660</c:v>
                </c:pt>
                <c:pt idx="4">
                  <c:v>40686</c:v>
                </c:pt>
                <c:pt idx="5">
                  <c:v>40710</c:v>
                </c:pt>
                <c:pt idx="6">
                  <c:v>40749</c:v>
                </c:pt>
                <c:pt idx="7">
                  <c:v>40778</c:v>
                </c:pt>
                <c:pt idx="8">
                  <c:v>40812</c:v>
                </c:pt>
                <c:pt idx="9">
                  <c:v>40841</c:v>
                </c:pt>
                <c:pt idx="10">
                  <c:v>40875</c:v>
                </c:pt>
              </c:numCache>
            </c:numRef>
          </c:cat>
          <c:val>
            <c:numRef>
              <c:f>'Kerr Swede'!$P$12:$AA$12</c:f>
              <c:numCache>
                <c:formatCode>0.00</c:formatCode>
                <c:ptCount val="12"/>
                <c:pt idx="0">
                  <c:v>0.1</c:v>
                </c:pt>
                <c:pt idx="1">
                  <c:v>0.22</c:v>
                </c:pt>
                <c:pt idx="2">
                  <c:v>0.28000000000000003</c:v>
                </c:pt>
                <c:pt idx="3">
                  <c:v>0.19</c:v>
                </c:pt>
                <c:pt idx="4">
                  <c:v>0.38</c:v>
                </c:pt>
                <c:pt idx="5">
                  <c:v>0.05</c:v>
                </c:pt>
                <c:pt idx="6">
                  <c:v>0.12</c:v>
                </c:pt>
                <c:pt idx="7">
                  <c:v>0.05</c:v>
                </c:pt>
                <c:pt idx="8">
                  <c:v>0.09</c:v>
                </c:pt>
                <c:pt idx="9">
                  <c:v>0.14000000000000001</c:v>
                </c:pt>
                <c:pt idx="10">
                  <c:v>0.16</c:v>
                </c:pt>
                <c:pt idx="11">
                  <c:v>0.24</c:v>
                </c:pt>
              </c:numCache>
            </c:numRef>
          </c:val>
          <c:smooth val="0"/>
          <c:extLst>
            <c:ext xmlns:c16="http://schemas.microsoft.com/office/drawing/2014/chart" uri="{C3380CC4-5D6E-409C-BE32-E72D297353CC}">
              <c16:uniqueId val="{00000003-5A35-4295-B795-7FAEF440CB61}"/>
            </c:ext>
          </c:extLst>
        </c:ser>
        <c:dLbls>
          <c:showLegendKey val="0"/>
          <c:showVal val="0"/>
          <c:showCatName val="0"/>
          <c:showSerName val="0"/>
          <c:showPercent val="0"/>
          <c:showBubbleSize val="0"/>
        </c:dLbls>
        <c:smooth val="0"/>
        <c:axId val="136182400"/>
        <c:axId val="136651136"/>
      </c:lineChart>
      <c:dateAx>
        <c:axId val="136182400"/>
        <c:scaling>
          <c:orientation val="minMax"/>
        </c:scaling>
        <c:delete val="0"/>
        <c:axPos val="b"/>
        <c:minorGridlines/>
        <c:numFmt formatCode="[$-409]mmmmm;@" sourceLinked="0"/>
        <c:majorTickMark val="out"/>
        <c:minorTickMark val="none"/>
        <c:tickLblPos val="nextTo"/>
        <c:crossAx val="136651136"/>
        <c:crosses val="autoZero"/>
        <c:auto val="1"/>
        <c:lblOffset val="100"/>
        <c:baseTimeUnit val="days"/>
        <c:majorUnit val="1"/>
        <c:majorTimeUnit val="months"/>
        <c:minorUnit val="15"/>
        <c:minorTimeUnit val="days"/>
      </c:dateAx>
      <c:valAx>
        <c:axId val="136651136"/>
        <c:scaling>
          <c:orientation val="minMax"/>
        </c:scaling>
        <c:delete val="0"/>
        <c:axPos val="l"/>
        <c:majorGridlines/>
        <c:minorGridlines/>
        <c:title>
          <c:tx>
            <c:rich>
              <a:bodyPr rot="0" vert="wordArtVert"/>
              <a:lstStyle/>
              <a:p>
                <a:pPr>
                  <a:defRPr/>
                </a:pPr>
                <a:r>
                  <a:rPr lang="en-US"/>
                  <a:t>Flow CFS</a:t>
                </a:r>
              </a:p>
            </c:rich>
          </c:tx>
          <c:overlay val="0"/>
        </c:title>
        <c:numFmt formatCode="0.00" sourceLinked="1"/>
        <c:majorTickMark val="out"/>
        <c:minorTickMark val="none"/>
        <c:tickLblPos val="nextTo"/>
        <c:crossAx val="136182400"/>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legend>
      <c:legendPos val="r"/>
      <c:layout>
        <c:manualLayout>
          <c:xMode val="edge"/>
          <c:yMode val="edge"/>
          <c:x val="0.66153883869851005"/>
          <c:y val="0.12109856333747755"/>
          <c:w val="0.29505976095617531"/>
          <c:h val="0.2774737098260093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a:solidFill>
            <a:schemeClr val="accent1"/>
          </a:solidFill>
        </a:ln>
      </c:spPr>
    </c:legend>
    <c:plotVisOnly val="1"/>
    <c:dispBlanksAs val="gap"/>
    <c:showDLblsOverMax val="0"/>
  </c:chart>
  <c:printSettings>
    <c:headerFooter/>
    <c:pageMargins b="0.75000000000001077" l="0.70000000000000062" r="0.70000000000000062" t="0.750000000000010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a:t>Secchi Depth [meter] Trend</a:t>
            </a:r>
          </a:p>
        </c:rich>
      </c:tx>
      <c:layout>
        <c:manualLayout>
          <c:xMode val="edge"/>
          <c:yMode val="edge"/>
          <c:x val="0.35785126859142607"/>
          <c:y val="1.7827779631082875E-2"/>
        </c:manualLayout>
      </c:layout>
      <c:overlay val="0"/>
      <c:spPr>
        <a:noFill/>
        <a:ln w="25400">
          <a:noFill/>
        </a:ln>
      </c:spPr>
    </c:title>
    <c:autoTitleDeleted val="0"/>
    <c:plotArea>
      <c:layout>
        <c:manualLayout>
          <c:layoutTarget val="inner"/>
          <c:xMode val="edge"/>
          <c:yMode val="edge"/>
          <c:x val="7.968135240420389E-2"/>
          <c:y val="0.26157560376571282"/>
          <c:w val="0.89243114692708359"/>
          <c:h val="0.69369769401449455"/>
        </c:manualLayout>
      </c:layout>
      <c:barChart>
        <c:barDir val="col"/>
        <c:grouping val="clustered"/>
        <c:varyColors val="0"/>
        <c:ser>
          <c:idx val="0"/>
          <c:order val="0"/>
          <c:tx>
            <c:strRef>
              <c:f>'Annual Reservoir Trends'!$A$19</c:f>
              <c:strCache>
                <c:ptCount val="1"/>
                <c:pt idx="0">
                  <c:v>Secchi Depth (m)</c:v>
                </c:pt>
              </c:strCache>
            </c:strRef>
          </c:tx>
          <c:spPr>
            <a:solidFill>
              <a:srgbClr val="9999FF"/>
            </a:solidFill>
            <a:ln w="12700">
              <a:solidFill>
                <a:srgbClr val="000000"/>
              </a:solidFill>
              <a:prstDash val="solid"/>
            </a:ln>
          </c:spPr>
          <c:invertIfNegative val="0"/>
          <c:trendline>
            <c:spPr>
              <a:ln w="25400">
                <a:solidFill>
                  <a:srgbClr val="000000"/>
                </a:solidFill>
                <a:prstDash val="solid"/>
              </a:ln>
            </c:spPr>
            <c:trendlineType val="poly"/>
            <c:order val="3"/>
            <c:dispRSqr val="0"/>
            <c:dispEq val="0"/>
          </c:trendline>
          <c:cat>
            <c:numRef>
              <c:f>'Annual Reservoir Trends'!$C$3:$W$3</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'Annual Reservoir Trends'!$C$19:$W$19</c:f>
              <c:numCache>
                <c:formatCode>General</c:formatCode>
                <c:ptCount val="21"/>
                <c:pt idx="0">
                  <c:v>2.17</c:v>
                </c:pt>
                <c:pt idx="1">
                  <c:v>2.1</c:v>
                </c:pt>
                <c:pt idx="2">
                  <c:v>2.84</c:v>
                </c:pt>
                <c:pt idx="3">
                  <c:v>1.79</c:v>
                </c:pt>
                <c:pt idx="4">
                  <c:v>2.14</c:v>
                </c:pt>
                <c:pt idx="5">
                  <c:v>2.5099999999999998</c:v>
                </c:pt>
                <c:pt idx="6">
                  <c:v>1.7</c:v>
                </c:pt>
                <c:pt idx="7">
                  <c:v>1.8</c:v>
                </c:pt>
                <c:pt idx="8">
                  <c:v>1.8</c:v>
                </c:pt>
                <c:pt idx="9">
                  <c:v>2.4</c:v>
                </c:pt>
                <c:pt idx="10">
                  <c:v>2.2999999999999998</c:v>
                </c:pt>
                <c:pt idx="11">
                  <c:v>3</c:v>
                </c:pt>
                <c:pt idx="12">
                  <c:v>1.7</c:v>
                </c:pt>
                <c:pt idx="13">
                  <c:v>2.6</c:v>
                </c:pt>
                <c:pt idx="14" formatCode="0.0">
                  <c:v>2.0656249999999998</c:v>
                </c:pt>
                <c:pt idx="15" formatCode="0.0">
                  <c:v>2.4</c:v>
                </c:pt>
                <c:pt idx="16" formatCode="0.0">
                  <c:v>1.7</c:v>
                </c:pt>
                <c:pt idx="17" formatCode="0.0">
                  <c:v>2.4</c:v>
                </c:pt>
                <c:pt idx="18" formatCode="0.0">
                  <c:v>2.7</c:v>
                </c:pt>
                <c:pt idx="19" formatCode="0.0">
                  <c:v>1.7</c:v>
                </c:pt>
                <c:pt idx="20" formatCode="0.0">
                  <c:v>2.2000000000000002</c:v>
                </c:pt>
              </c:numCache>
            </c:numRef>
          </c:val>
          <c:extLst>
            <c:ext xmlns:c16="http://schemas.microsoft.com/office/drawing/2014/chart" uri="{C3380CC4-5D6E-409C-BE32-E72D297353CC}">
              <c16:uniqueId val="{00000001-603F-48F2-BA1C-CF0150A9F77E}"/>
            </c:ext>
          </c:extLst>
        </c:ser>
        <c:dLbls>
          <c:showLegendKey val="0"/>
          <c:showVal val="0"/>
          <c:showCatName val="0"/>
          <c:showSerName val="0"/>
          <c:showPercent val="0"/>
          <c:showBubbleSize val="0"/>
        </c:dLbls>
        <c:gapWidth val="150"/>
        <c:axId val="86224896"/>
        <c:axId val="86226432"/>
      </c:barChart>
      <c:catAx>
        <c:axId val="86224896"/>
        <c:scaling>
          <c:orientation val="minMax"/>
        </c:scaling>
        <c:delete val="0"/>
        <c:axPos val="t"/>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86226432"/>
        <c:crosses val="autoZero"/>
        <c:auto val="1"/>
        <c:lblAlgn val="ctr"/>
        <c:lblOffset val="100"/>
        <c:tickLblSkip val="1"/>
        <c:tickMarkSkip val="1"/>
        <c:noMultiLvlLbl val="0"/>
      </c:catAx>
      <c:valAx>
        <c:axId val="86226432"/>
        <c:scaling>
          <c:orientation val="maxMin"/>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86224896"/>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2011 E. coli Trend Along Swede/Kerr Gulches</a:t>
            </a:r>
          </a:p>
        </c:rich>
      </c:tx>
      <c:overlay val="1"/>
    </c:title>
    <c:autoTitleDeleted val="0"/>
    <c:plotArea>
      <c:layout>
        <c:manualLayout>
          <c:layoutTarget val="inner"/>
          <c:xMode val="edge"/>
          <c:yMode val="edge"/>
          <c:x val="8.3338272075948017E-2"/>
          <c:y val="0.13292419329936744"/>
          <c:w val="0.89716229881182197"/>
          <c:h val="0.7554577736606457"/>
        </c:manualLayout>
      </c:layout>
      <c:barChart>
        <c:barDir val="col"/>
        <c:grouping val="clustered"/>
        <c:varyColors val="0"/>
        <c:ser>
          <c:idx val="8"/>
          <c:order val="0"/>
          <c:tx>
            <c:strRef>
              <c:f>'Kerr Swede'!$AD$45:$AK$45</c:f>
              <c:strCache>
                <c:ptCount val="1"/>
                <c:pt idx="0">
                  <c:v>1/25/2011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Swede'!$AJ$46:$AJ$49</c:f>
              <c:numCache>
                <c:formatCode>General</c:formatCode>
                <c:ptCount val="4"/>
                <c:pt idx="0">
                  <c:v>6</c:v>
                </c:pt>
                <c:pt idx="1">
                  <c:v>4</c:v>
                </c:pt>
                <c:pt idx="2">
                  <c:v>15</c:v>
                </c:pt>
                <c:pt idx="3">
                  <c:v>12</c:v>
                </c:pt>
              </c:numCache>
            </c:numRef>
          </c:val>
          <c:extLst>
            <c:ext xmlns:c16="http://schemas.microsoft.com/office/drawing/2014/chart" uri="{C3380CC4-5D6E-409C-BE32-E72D297353CC}">
              <c16:uniqueId val="{00000000-816C-43CB-822C-D517D15AD651}"/>
            </c:ext>
          </c:extLst>
        </c:ser>
        <c:ser>
          <c:idx val="9"/>
          <c:order val="1"/>
          <c:tx>
            <c:strRef>
              <c:f>'Kerr Swede'!$AD$50:$AK$50</c:f>
              <c:strCache>
                <c:ptCount val="1"/>
                <c:pt idx="0">
                  <c:v>2/22/2011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Swede'!$AJ$51:$AJ$54</c:f>
              <c:numCache>
                <c:formatCode>General</c:formatCode>
                <c:ptCount val="4"/>
                <c:pt idx="0">
                  <c:v>43</c:v>
                </c:pt>
                <c:pt idx="1">
                  <c:v>25</c:v>
                </c:pt>
                <c:pt idx="2">
                  <c:v>19</c:v>
                </c:pt>
                <c:pt idx="3">
                  <c:v>20</c:v>
                </c:pt>
              </c:numCache>
            </c:numRef>
          </c:val>
          <c:extLst>
            <c:ext xmlns:c16="http://schemas.microsoft.com/office/drawing/2014/chart" uri="{C3380CC4-5D6E-409C-BE32-E72D297353CC}">
              <c16:uniqueId val="{00000001-816C-43CB-822C-D517D15AD651}"/>
            </c:ext>
          </c:extLst>
        </c:ser>
        <c:ser>
          <c:idx val="10"/>
          <c:order val="2"/>
          <c:tx>
            <c:strRef>
              <c:f>'Kerr Swede'!$AD$55:$AK$55</c:f>
              <c:strCache>
                <c:ptCount val="1"/>
                <c:pt idx="0">
                  <c:v>3/28/2011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Swede'!$AJ$56:$AJ$59</c:f>
              <c:numCache>
                <c:formatCode>General</c:formatCode>
                <c:ptCount val="4"/>
                <c:pt idx="0">
                  <c:v>1</c:v>
                </c:pt>
                <c:pt idx="1">
                  <c:v>1</c:v>
                </c:pt>
                <c:pt idx="2">
                  <c:v>7</c:v>
                </c:pt>
                <c:pt idx="3">
                  <c:v>1</c:v>
                </c:pt>
              </c:numCache>
            </c:numRef>
          </c:val>
          <c:extLst>
            <c:ext xmlns:c16="http://schemas.microsoft.com/office/drawing/2014/chart" uri="{C3380CC4-5D6E-409C-BE32-E72D297353CC}">
              <c16:uniqueId val="{00000002-816C-43CB-822C-D517D15AD651}"/>
            </c:ext>
          </c:extLst>
        </c:ser>
        <c:ser>
          <c:idx val="0"/>
          <c:order val="3"/>
          <c:tx>
            <c:strRef>
              <c:f>'Kerr Swede'!$AD$60:$AJ$60</c:f>
              <c:strCache>
                <c:ptCount val="1"/>
                <c:pt idx="0">
                  <c:v>4/27/2011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Swede'!$AJ$61:$AJ$64</c:f>
              <c:numCache>
                <c:formatCode>General</c:formatCode>
                <c:ptCount val="4"/>
                <c:pt idx="0">
                  <c:v>1</c:v>
                </c:pt>
                <c:pt idx="1">
                  <c:v>1</c:v>
                </c:pt>
                <c:pt idx="2">
                  <c:v>5</c:v>
                </c:pt>
                <c:pt idx="3">
                  <c:v>1</c:v>
                </c:pt>
              </c:numCache>
            </c:numRef>
          </c:val>
          <c:extLst>
            <c:ext xmlns:c16="http://schemas.microsoft.com/office/drawing/2014/chart" uri="{C3380CC4-5D6E-409C-BE32-E72D297353CC}">
              <c16:uniqueId val="{00000003-816C-43CB-822C-D517D15AD651}"/>
            </c:ext>
          </c:extLst>
        </c:ser>
        <c:ser>
          <c:idx val="1"/>
          <c:order val="4"/>
          <c:tx>
            <c:strRef>
              <c:f>'Kerr Swede'!$AD$65:$AJ$65</c:f>
              <c:strCache>
                <c:ptCount val="1"/>
                <c:pt idx="0">
                  <c:v>5/23/2011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Swede'!$AJ$66:$AJ$69</c:f>
              <c:numCache>
                <c:formatCode>General</c:formatCode>
                <c:ptCount val="4"/>
                <c:pt idx="0">
                  <c:v>19</c:v>
                </c:pt>
                <c:pt idx="1">
                  <c:v>12</c:v>
                </c:pt>
                <c:pt idx="2">
                  <c:v>26</c:v>
                </c:pt>
                <c:pt idx="3">
                  <c:v>1</c:v>
                </c:pt>
              </c:numCache>
            </c:numRef>
          </c:val>
          <c:extLst>
            <c:ext xmlns:c16="http://schemas.microsoft.com/office/drawing/2014/chart" uri="{C3380CC4-5D6E-409C-BE32-E72D297353CC}">
              <c16:uniqueId val="{00000004-816C-43CB-822C-D517D15AD651}"/>
            </c:ext>
          </c:extLst>
        </c:ser>
        <c:ser>
          <c:idx val="2"/>
          <c:order val="5"/>
          <c:tx>
            <c:strRef>
              <c:f>'Kerr Swede'!$AD$70:$AJ$70</c:f>
              <c:strCache>
                <c:ptCount val="1"/>
                <c:pt idx="0">
                  <c:v>6/16/2011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Swede'!$AJ$71:$AJ$74</c:f>
              <c:numCache>
                <c:formatCode>General</c:formatCode>
                <c:ptCount val="4"/>
                <c:pt idx="0">
                  <c:v>11</c:v>
                </c:pt>
                <c:pt idx="1">
                  <c:v>13</c:v>
                </c:pt>
                <c:pt idx="2">
                  <c:v>1</c:v>
                </c:pt>
                <c:pt idx="3">
                  <c:v>3</c:v>
                </c:pt>
              </c:numCache>
            </c:numRef>
          </c:val>
          <c:extLst>
            <c:ext xmlns:c16="http://schemas.microsoft.com/office/drawing/2014/chart" uri="{C3380CC4-5D6E-409C-BE32-E72D297353CC}">
              <c16:uniqueId val="{00000005-816C-43CB-822C-D517D15AD651}"/>
            </c:ext>
          </c:extLst>
        </c:ser>
        <c:ser>
          <c:idx val="3"/>
          <c:order val="6"/>
          <c:tx>
            <c:strRef>
              <c:f>'Kerr Swede'!$AD$75:$AJ$75</c:f>
              <c:strCache>
                <c:ptCount val="1"/>
                <c:pt idx="0">
                  <c:v>7/25/2011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Swede'!$AJ$76:$AJ$79</c:f>
              <c:numCache>
                <c:formatCode>General</c:formatCode>
                <c:ptCount val="4"/>
                <c:pt idx="0">
                  <c:v>10</c:v>
                </c:pt>
                <c:pt idx="1">
                  <c:v>2</c:v>
                </c:pt>
                <c:pt idx="2">
                  <c:v>2</c:v>
                </c:pt>
                <c:pt idx="3">
                  <c:v>2</c:v>
                </c:pt>
              </c:numCache>
            </c:numRef>
          </c:val>
          <c:extLst>
            <c:ext xmlns:c16="http://schemas.microsoft.com/office/drawing/2014/chart" uri="{C3380CC4-5D6E-409C-BE32-E72D297353CC}">
              <c16:uniqueId val="{00000006-816C-43CB-822C-D517D15AD651}"/>
            </c:ext>
          </c:extLst>
        </c:ser>
        <c:ser>
          <c:idx val="4"/>
          <c:order val="7"/>
          <c:tx>
            <c:strRef>
              <c:f>'Kerr Swede'!$AD$80:$AJ$80</c:f>
              <c:strCache>
                <c:ptCount val="1"/>
                <c:pt idx="0">
                  <c:v>8/23/2011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Swede'!$AJ$81:$AJ$84</c:f>
              <c:numCache>
                <c:formatCode>General</c:formatCode>
                <c:ptCount val="4"/>
                <c:pt idx="0">
                  <c:v>44</c:v>
                </c:pt>
                <c:pt idx="1">
                  <c:v>15</c:v>
                </c:pt>
                <c:pt idx="2">
                  <c:v>1</c:v>
                </c:pt>
                <c:pt idx="3">
                  <c:v>8</c:v>
                </c:pt>
              </c:numCache>
            </c:numRef>
          </c:val>
          <c:extLst>
            <c:ext xmlns:c16="http://schemas.microsoft.com/office/drawing/2014/chart" uri="{C3380CC4-5D6E-409C-BE32-E72D297353CC}">
              <c16:uniqueId val="{00000007-816C-43CB-822C-D517D15AD651}"/>
            </c:ext>
          </c:extLst>
        </c:ser>
        <c:ser>
          <c:idx val="5"/>
          <c:order val="8"/>
          <c:tx>
            <c:strRef>
              <c:f>'Kerr Swede'!$AD$85:$AJ$85</c:f>
              <c:strCache>
                <c:ptCount val="1"/>
                <c:pt idx="0">
                  <c:v>9/26/2011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Swede'!$AJ$86:$AJ$89</c:f>
              <c:numCache>
                <c:formatCode>General</c:formatCode>
                <c:ptCount val="4"/>
                <c:pt idx="0">
                  <c:v>20</c:v>
                </c:pt>
                <c:pt idx="1">
                  <c:v>112</c:v>
                </c:pt>
                <c:pt idx="2">
                  <c:v>4</c:v>
                </c:pt>
                <c:pt idx="3">
                  <c:v>4</c:v>
                </c:pt>
              </c:numCache>
            </c:numRef>
          </c:val>
          <c:extLst>
            <c:ext xmlns:c16="http://schemas.microsoft.com/office/drawing/2014/chart" uri="{C3380CC4-5D6E-409C-BE32-E72D297353CC}">
              <c16:uniqueId val="{00000008-816C-43CB-822C-D517D15AD651}"/>
            </c:ext>
          </c:extLst>
        </c:ser>
        <c:ser>
          <c:idx val="6"/>
          <c:order val="9"/>
          <c:tx>
            <c:strRef>
              <c:f>'Kerr Swede'!$AD$90:$AJ$90</c:f>
              <c:strCache>
                <c:ptCount val="1"/>
                <c:pt idx="0">
                  <c:v>10/25/2011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Swede'!$AJ$91:$AJ$94</c:f>
              <c:numCache>
                <c:formatCode>General</c:formatCode>
                <c:ptCount val="4"/>
                <c:pt idx="0">
                  <c:v>6</c:v>
                </c:pt>
                <c:pt idx="1">
                  <c:v>1</c:v>
                </c:pt>
                <c:pt idx="2">
                  <c:v>7</c:v>
                </c:pt>
                <c:pt idx="3">
                  <c:v>1</c:v>
                </c:pt>
              </c:numCache>
            </c:numRef>
          </c:val>
          <c:extLst>
            <c:ext xmlns:c16="http://schemas.microsoft.com/office/drawing/2014/chart" uri="{C3380CC4-5D6E-409C-BE32-E72D297353CC}">
              <c16:uniqueId val="{00000009-816C-43CB-822C-D517D15AD651}"/>
            </c:ext>
          </c:extLst>
        </c:ser>
        <c:ser>
          <c:idx val="7"/>
          <c:order val="10"/>
          <c:tx>
            <c:strRef>
              <c:f>'Kerr Swede'!$AD$95:$AJ$95</c:f>
              <c:strCache>
                <c:ptCount val="1"/>
                <c:pt idx="0">
                  <c:v>11/28/2011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Swede'!$AJ$96:$AJ$99</c:f>
              <c:numCache>
                <c:formatCode>General</c:formatCode>
                <c:ptCount val="4"/>
                <c:pt idx="0">
                  <c:v>1</c:v>
                </c:pt>
                <c:pt idx="1">
                  <c:v>1</c:v>
                </c:pt>
                <c:pt idx="2">
                  <c:v>7</c:v>
                </c:pt>
                <c:pt idx="3">
                  <c:v>6</c:v>
                </c:pt>
              </c:numCache>
            </c:numRef>
          </c:val>
          <c:extLst>
            <c:ext xmlns:c16="http://schemas.microsoft.com/office/drawing/2014/chart" uri="{C3380CC4-5D6E-409C-BE32-E72D297353CC}">
              <c16:uniqueId val="{0000000A-816C-43CB-822C-D517D15AD651}"/>
            </c:ext>
          </c:extLst>
        </c:ser>
        <c:ser>
          <c:idx val="11"/>
          <c:order val="11"/>
          <c:tx>
            <c:strRef>
              <c:f>'Kerr Swede'!$AD$100:$AJ$100</c:f>
              <c:strCache>
                <c:ptCount val="1"/>
                <c:pt idx="0">
                  <c:v>12/28/2011</c:v>
                </c:pt>
              </c:strCache>
            </c:strRef>
          </c:tx>
          <c:invertIfNegative val="0"/>
          <c:cat>
            <c:strRef>
              <c:f>'Kerr Swede'!$AD$101:$AD$104</c:f>
              <c:strCache>
                <c:ptCount val="4"/>
                <c:pt idx="0">
                  <c:v>Site 52 - Confluence</c:v>
                </c:pt>
                <c:pt idx="1">
                  <c:v>Site 53 - Riefenberg</c:v>
                </c:pt>
                <c:pt idx="2">
                  <c:v>Site 54 - Kerr</c:v>
                </c:pt>
                <c:pt idx="3">
                  <c:v>Site 55 - Swede</c:v>
                </c:pt>
              </c:strCache>
            </c:strRef>
          </c:cat>
          <c:val>
            <c:numRef>
              <c:f>'Kerr Swede'!$AJ$101:$AJ$104</c:f>
              <c:numCache>
                <c:formatCode>General</c:formatCode>
                <c:ptCount val="4"/>
                <c:pt idx="0">
                  <c:v>1</c:v>
                </c:pt>
                <c:pt idx="1">
                  <c:v>1</c:v>
                </c:pt>
                <c:pt idx="2">
                  <c:v>1</c:v>
                </c:pt>
                <c:pt idx="3">
                  <c:v>1</c:v>
                </c:pt>
              </c:numCache>
            </c:numRef>
          </c:val>
          <c:extLst>
            <c:ext xmlns:c16="http://schemas.microsoft.com/office/drawing/2014/chart" uri="{C3380CC4-5D6E-409C-BE32-E72D297353CC}">
              <c16:uniqueId val="{0000000B-816C-43CB-822C-D517D15AD651}"/>
            </c:ext>
          </c:extLst>
        </c:ser>
        <c:dLbls>
          <c:showLegendKey val="0"/>
          <c:showVal val="0"/>
          <c:showCatName val="0"/>
          <c:showSerName val="0"/>
          <c:showPercent val="0"/>
          <c:showBubbleSize val="0"/>
        </c:dLbls>
        <c:gapWidth val="150"/>
        <c:axId val="136815744"/>
        <c:axId val="136817280"/>
      </c:barChart>
      <c:catAx>
        <c:axId val="136815744"/>
        <c:scaling>
          <c:orientation val="minMax"/>
        </c:scaling>
        <c:delete val="0"/>
        <c:axPos val="b"/>
        <c:majorGridlines/>
        <c:numFmt formatCode="General" sourceLinked="0"/>
        <c:majorTickMark val="out"/>
        <c:minorTickMark val="none"/>
        <c:tickLblPos val="nextTo"/>
        <c:crossAx val="136817280"/>
        <c:crosses val="autoZero"/>
        <c:auto val="1"/>
        <c:lblAlgn val="ctr"/>
        <c:lblOffset val="100"/>
        <c:noMultiLvlLbl val="0"/>
      </c:catAx>
      <c:valAx>
        <c:axId val="136817280"/>
        <c:scaling>
          <c:orientation val="minMax"/>
        </c:scaling>
        <c:delete val="0"/>
        <c:axPos val="l"/>
        <c:majorGridlines/>
        <c:minorGridlines/>
        <c:title>
          <c:tx>
            <c:rich>
              <a:bodyPr rot="-5400000" vert="horz"/>
              <a:lstStyle/>
              <a:p>
                <a:pPr>
                  <a:defRPr/>
                </a:pPr>
                <a:r>
                  <a:rPr lang="en-US"/>
                  <a:t>E. coli cts/100ml</a:t>
                </a:r>
              </a:p>
            </c:rich>
          </c:tx>
          <c:overlay val="0"/>
        </c:title>
        <c:numFmt formatCode="General" sourceLinked="1"/>
        <c:majorTickMark val="out"/>
        <c:minorTickMark val="none"/>
        <c:tickLblPos val="nextTo"/>
        <c:crossAx val="136815744"/>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lotArea>
    <c:legend>
      <c:legendPos val="r"/>
      <c:layout>
        <c:manualLayout>
          <c:xMode val="edge"/>
          <c:yMode val="edge"/>
          <c:x val="0.79875288028776559"/>
          <c:y val="0.1421636300532142"/>
          <c:w val="0.17022880350093425"/>
          <c:h val="0.41606073005132921"/>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1077" l="0.70000000000000062" r="0.70000000000000062" t="0.75000000000001077"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2011 Kerr/Swede Flow Estimated Acre-Feet/Month</a:t>
            </a:r>
          </a:p>
        </c:rich>
      </c:tx>
      <c:layout>
        <c:manualLayout>
          <c:xMode val="edge"/>
          <c:yMode val="edge"/>
          <c:x val="0.21990475596983874"/>
          <c:y val="2.5919619969682776E-2"/>
        </c:manualLayout>
      </c:layout>
      <c:overlay val="1"/>
    </c:title>
    <c:autoTitleDeleted val="0"/>
    <c:plotArea>
      <c:layout>
        <c:manualLayout>
          <c:layoutTarget val="inner"/>
          <c:xMode val="edge"/>
          <c:yMode val="edge"/>
          <c:x val="0.12074731872573437"/>
          <c:y val="5.1400554097404488E-2"/>
          <c:w val="0.78159660553612909"/>
          <c:h val="0.79822506561679785"/>
        </c:manualLayout>
      </c:layout>
      <c:barChart>
        <c:barDir val="col"/>
        <c:grouping val="clustered"/>
        <c:varyColors val="0"/>
        <c:ser>
          <c:idx val="0"/>
          <c:order val="0"/>
          <c:tx>
            <c:strRef>
              <c:f>'Kerr Swede'!$P$46</c:f>
              <c:strCache>
                <c:ptCount val="1"/>
                <c:pt idx="0">
                  <c:v>25-Jan</c:v>
                </c:pt>
              </c:strCache>
            </c:strRef>
          </c:tx>
          <c:invertIfNegative val="0"/>
          <c:cat>
            <c:strRef>
              <c:f>'Kerr Swede'!$O$47:$O$50</c:f>
              <c:strCache>
                <c:ptCount val="4"/>
                <c:pt idx="0">
                  <c:v>Site 52 - Confluence</c:v>
                </c:pt>
                <c:pt idx="1">
                  <c:v>Site 53 - Riefenberg</c:v>
                </c:pt>
                <c:pt idx="2">
                  <c:v>Site 54 - Kerr</c:v>
                </c:pt>
                <c:pt idx="3">
                  <c:v>Site 55 - Swede</c:v>
                </c:pt>
              </c:strCache>
            </c:strRef>
          </c:cat>
          <c:val>
            <c:numRef>
              <c:f>'Kerr Swede'!$P$47:$P$50</c:f>
              <c:numCache>
                <c:formatCode>0</c:formatCode>
                <c:ptCount val="4"/>
                <c:pt idx="0">
                  <c:v>17.212440000000001</c:v>
                </c:pt>
                <c:pt idx="1">
                  <c:v>12.294600000000003</c:v>
                </c:pt>
                <c:pt idx="2">
                  <c:v>11.679870000000001</c:v>
                </c:pt>
                <c:pt idx="3">
                  <c:v>6.1473000000000013</c:v>
                </c:pt>
              </c:numCache>
            </c:numRef>
          </c:val>
          <c:extLst>
            <c:ext xmlns:c16="http://schemas.microsoft.com/office/drawing/2014/chart" uri="{C3380CC4-5D6E-409C-BE32-E72D297353CC}">
              <c16:uniqueId val="{00000000-F79D-4131-9733-E0434BE26980}"/>
            </c:ext>
          </c:extLst>
        </c:ser>
        <c:ser>
          <c:idx val="1"/>
          <c:order val="1"/>
          <c:tx>
            <c:strRef>
              <c:f>'Kerr Swede'!$Q$46</c:f>
              <c:strCache>
                <c:ptCount val="1"/>
                <c:pt idx="0">
                  <c:v>22-Feb</c:v>
                </c:pt>
              </c:strCache>
            </c:strRef>
          </c:tx>
          <c:invertIfNegative val="0"/>
          <c:cat>
            <c:strRef>
              <c:f>'Kerr Swede'!$O$47:$O$50</c:f>
              <c:strCache>
                <c:ptCount val="4"/>
                <c:pt idx="0">
                  <c:v>Site 52 - Confluence</c:v>
                </c:pt>
                <c:pt idx="1">
                  <c:v>Site 53 - Riefenberg</c:v>
                </c:pt>
                <c:pt idx="2">
                  <c:v>Site 54 - Kerr</c:v>
                </c:pt>
                <c:pt idx="3">
                  <c:v>Site 55 - Swede</c:v>
                </c:pt>
              </c:strCache>
            </c:strRef>
          </c:cat>
          <c:val>
            <c:numRef>
              <c:f>'Kerr Swede'!$Q$47:$Q$50</c:f>
              <c:numCache>
                <c:formatCode>0</c:formatCode>
                <c:ptCount val="4"/>
                <c:pt idx="0">
                  <c:v>29.427720000000001</c:v>
                </c:pt>
                <c:pt idx="1">
                  <c:v>28.317240000000002</c:v>
                </c:pt>
                <c:pt idx="2">
                  <c:v>21.654360000000004</c:v>
                </c:pt>
                <c:pt idx="3">
                  <c:v>12.215280000000002</c:v>
                </c:pt>
              </c:numCache>
            </c:numRef>
          </c:val>
          <c:extLst>
            <c:ext xmlns:c16="http://schemas.microsoft.com/office/drawing/2014/chart" uri="{C3380CC4-5D6E-409C-BE32-E72D297353CC}">
              <c16:uniqueId val="{00000001-F79D-4131-9733-E0434BE26980}"/>
            </c:ext>
          </c:extLst>
        </c:ser>
        <c:ser>
          <c:idx val="2"/>
          <c:order val="2"/>
          <c:tx>
            <c:strRef>
              <c:f>'Kerr Swede'!$R$46</c:f>
              <c:strCache>
                <c:ptCount val="1"/>
                <c:pt idx="0">
                  <c:v>28-Mar</c:v>
                </c:pt>
              </c:strCache>
            </c:strRef>
          </c:tx>
          <c:invertIfNegative val="0"/>
          <c:cat>
            <c:strRef>
              <c:f>'Kerr Swede'!$O$47:$O$50</c:f>
              <c:strCache>
                <c:ptCount val="4"/>
                <c:pt idx="0">
                  <c:v>Site 52 - Confluence</c:v>
                </c:pt>
                <c:pt idx="1">
                  <c:v>Site 53 - Riefenberg</c:v>
                </c:pt>
                <c:pt idx="2">
                  <c:v>Site 54 - Kerr</c:v>
                </c:pt>
                <c:pt idx="3">
                  <c:v>Site 55 - Swede</c:v>
                </c:pt>
              </c:strCache>
            </c:strRef>
          </c:cat>
          <c:val>
            <c:numRef>
              <c:f>'Kerr Swede'!$R$47:$R$50</c:f>
              <c:numCache>
                <c:formatCode>0</c:formatCode>
                <c:ptCount val="4"/>
                <c:pt idx="0">
                  <c:v>35.039609999999996</c:v>
                </c:pt>
                <c:pt idx="1">
                  <c:v>26.433390000000003</c:v>
                </c:pt>
                <c:pt idx="2">
                  <c:v>22.745010000000001</c:v>
                </c:pt>
                <c:pt idx="3">
                  <c:v>17.212440000000001</c:v>
                </c:pt>
              </c:numCache>
            </c:numRef>
          </c:val>
          <c:extLst>
            <c:ext xmlns:c16="http://schemas.microsoft.com/office/drawing/2014/chart" uri="{C3380CC4-5D6E-409C-BE32-E72D297353CC}">
              <c16:uniqueId val="{00000002-F79D-4131-9733-E0434BE26980}"/>
            </c:ext>
          </c:extLst>
        </c:ser>
        <c:ser>
          <c:idx val="4"/>
          <c:order val="3"/>
          <c:tx>
            <c:strRef>
              <c:f>'Kerr Swede'!$S$46</c:f>
              <c:strCache>
                <c:ptCount val="1"/>
                <c:pt idx="0">
                  <c:v>27-Apr</c:v>
                </c:pt>
              </c:strCache>
            </c:strRef>
          </c:tx>
          <c:invertIfNegative val="0"/>
          <c:cat>
            <c:strRef>
              <c:f>'Kerr Swede'!$O$47:$O$50</c:f>
              <c:strCache>
                <c:ptCount val="4"/>
                <c:pt idx="0">
                  <c:v>Site 52 - Confluence</c:v>
                </c:pt>
                <c:pt idx="1">
                  <c:v>Site 53 - Riefenberg</c:v>
                </c:pt>
                <c:pt idx="2">
                  <c:v>Site 54 - Kerr</c:v>
                </c:pt>
                <c:pt idx="3">
                  <c:v>Site 55 - Swede</c:v>
                </c:pt>
              </c:strCache>
            </c:strRef>
          </c:cat>
          <c:val>
            <c:numRef>
              <c:f>'Kerr Swede'!$S$47:$S$50</c:f>
              <c:numCache>
                <c:formatCode>0</c:formatCode>
                <c:ptCount val="4"/>
                <c:pt idx="0">
                  <c:v>26.175600000000003</c:v>
                </c:pt>
                <c:pt idx="1">
                  <c:v>22.606200000000001</c:v>
                </c:pt>
                <c:pt idx="2">
                  <c:v>16.0623</c:v>
                </c:pt>
                <c:pt idx="3">
                  <c:v>11.303100000000001</c:v>
                </c:pt>
              </c:numCache>
            </c:numRef>
          </c:val>
          <c:extLst>
            <c:ext xmlns:c16="http://schemas.microsoft.com/office/drawing/2014/chart" uri="{C3380CC4-5D6E-409C-BE32-E72D297353CC}">
              <c16:uniqueId val="{00000003-F79D-4131-9733-E0434BE26980}"/>
            </c:ext>
          </c:extLst>
        </c:ser>
        <c:ser>
          <c:idx val="3"/>
          <c:order val="4"/>
          <c:tx>
            <c:strRef>
              <c:f>'Kerr Swede'!$T$46</c:f>
              <c:strCache>
                <c:ptCount val="1"/>
                <c:pt idx="0">
                  <c:v>23-May</c:v>
                </c:pt>
              </c:strCache>
            </c:strRef>
          </c:tx>
          <c:invertIfNegative val="0"/>
          <c:cat>
            <c:strRef>
              <c:f>'Kerr Swede'!$O$47:$O$50</c:f>
              <c:strCache>
                <c:ptCount val="4"/>
                <c:pt idx="0">
                  <c:v>Site 52 - Confluence</c:v>
                </c:pt>
                <c:pt idx="1">
                  <c:v>Site 53 - Riefenberg</c:v>
                </c:pt>
                <c:pt idx="2">
                  <c:v>Site 54 - Kerr</c:v>
                </c:pt>
                <c:pt idx="3">
                  <c:v>Site 55 - Swede</c:v>
                </c:pt>
              </c:strCache>
            </c:strRef>
          </c:cat>
          <c:val>
            <c:numRef>
              <c:f>'Kerr Swede'!$T$47:$T$50</c:f>
              <c:numCache>
                <c:formatCode>0</c:formatCode>
                <c:ptCount val="4"/>
                <c:pt idx="0">
                  <c:v>71.923410000000004</c:v>
                </c:pt>
                <c:pt idx="1">
                  <c:v>55.325700000000005</c:v>
                </c:pt>
                <c:pt idx="2">
                  <c:v>18.4419</c:v>
                </c:pt>
                <c:pt idx="3">
                  <c:v>23.359740000000002</c:v>
                </c:pt>
              </c:numCache>
            </c:numRef>
          </c:val>
          <c:extLst>
            <c:ext xmlns:c16="http://schemas.microsoft.com/office/drawing/2014/chart" uri="{C3380CC4-5D6E-409C-BE32-E72D297353CC}">
              <c16:uniqueId val="{00000004-F79D-4131-9733-E0434BE26980}"/>
            </c:ext>
          </c:extLst>
        </c:ser>
        <c:ser>
          <c:idx val="5"/>
          <c:order val="5"/>
          <c:tx>
            <c:strRef>
              <c:f>'Kerr Swede'!$U$46</c:f>
              <c:strCache>
                <c:ptCount val="1"/>
                <c:pt idx="0">
                  <c:v>16-Jun</c:v>
                </c:pt>
              </c:strCache>
            </c:strRef>
          </c:tx>
          <c:invertIfNegative val="0"/>
          <c:cat>
            <c:strRef>
              <c:f>'Kerr Swede'!$O$47:$O$50</c:f>
              <c:strCache>
                <c:ptCount val="4"/>
                <c:pt idx="0">
                  <c:v>Site 52 - Confluence</c:v>
                </c:pt>
                <c:pt idx="1">
                  <c:v>Site 53 - Riefenberg</c:v>
                </c:pt>
                <c:pt idx="2">
                  <c:v>Site 54 - Kerr</c:v>
                </c:pt>
                <c:pt idx="3">
                  <c:v>Site 55 - Swede</c:v>
                </c:pt>
              </c:strCache>
            </c:strRef>
          </c:cat>
          <c:val>
            <c:numRef>
              <c:f>'Kerr Swede'!$U$47:$U$50</c:f>
              <c:numCache>
                <c:formatCode>0</c:formatCode>
                <c:ptCount val="4"/>
                <c:pt idx="0">
                  <c:v>36.883800000000001</c:v>
                </c:pt>
                <c:pt idx="1">
                  <c:v>26.175600000000003</c:v>
                </c:pt>
                <c:pt idx="2">
                  <c:v>12.492900000000001</c:v>
                </c:pt>
                <c:pt idx="3">
                  <c:v>2.9745000000000004</c:v>
                </c:pt>
              </c:numCache>
            </c:numRef>
          </c:val>
          <c:extLst>
            <c:ext xmlns:c16="http://schemas.microsoft.com/office/drawing/2014/chart" uri="{C3380CC4-5D6E-409C-BE32-E72D297353CC}">
              <c16:uniqueId val="{00000005-F79D-4131-9733-E0434BE26980}"/>
            </c:ext>
          </c:extLst>
        </c:ser>
        <c:ser>
          <c:idx val="6"/>
          <c:order val="6"/>
          <c:tx>
            <c:strRef>
              <c:f>'Kerr Swede'!$V$46</c:f>
              <c:strCache>
                <c:ptCount val="1"/>
                <c:pt idx="0">
                  <c:v>25-Jul</c:v>
                </c:pt>
              </c:strCache>
            </c:strRef>
          </c:tx>
          <c:invertIfNegative val="0"/>
          <c:cat>
            <c:strRef>
              <c:f>'Kerr Swede'!$O$47:$O$50</c:f>
              <c:strCache>
                <c:ptCount val="4"/>
                <c:pt idx="0">
                  <c:v>Site 52 - Confluence</c:v>
                </c:pt>
                <c:pt idx="1">
                  <c:v>Site 53 - Riefenberg</c:v>
                </c:pt>
                <c:pt idx="2">
                  <c:v>Site 54 - Kerr</c:v>
                </c:pt>
                <c:pt idx="3">
                  <c:v>Site 55 - Swede</c:v>
                </c:pt>
              </c:strCache>
            </c:strRef>
          </c:cat>
          <c:val>
            <c:numRef>
              <c:f>'Kerr Swede'!$V$47:$V$50</c:f>
              <c:numCache>
                <c:formatCode>0</c:formatCode>
                <c:ptCount val="4"/>
                <c:pt idx="0">
                  <c:v>22.130279999999999</c:v>
                </c:pt>
                <c:pt idx="1">
                  <c:v>17.827169999999999</c:v>
                </c:pt>
                <c:pt idx="2">
                  <c:v>9.83568</c:v>
                </c:pt>
                <c:pt idx="3">
                  <c:v>7.37676</c:v>
                </c:pt>
              </c:numCache>
            </c:numRef>
          </c:val>
          <c:extLst>
            <c:ext xmlns:c16="http://schemas.microsoft.com/office/drawing/2014/chart" uri="{C3380CC4-5D6E-409C-BE32-E72D297353CC}">
              <c16:uniqueId val="{00000006-F79D-4131-9733-E0434BE26980}"/>
            </c:ext>
          </c:extLst>
        </c:ser>
        <c:ser>
          <c:idx val="7"/>
          <c:order val="7"/>
          <c:tx>
            <c:strRef>
              <c:f>'Kerr Swede'!$W$46</c:f>
              <c:strCache>
                <c:ptCount val="1"/>
                <c:pt idx="0">
                  <c:v>23-Aug</c:v>
                </c:pt>
              </c:strCache>
            </c:strRef>
          </c:tx>
          <c:invertIfNegative val="0"/>
          <c:cat>
            <c:strRef>
              <c:f>'Kerr Swede'!$O$47:$O$50</c:f>
              <c:strCache>
                <c:ptCount val="4"/>
                <c:pt idx="0">
                  <c:v>Site 52 - Confluence</c:v>
                </c:pt>
                <c:pt idx="1">
                  <c:v>Site 53 - Riefenberg</c:v>
                </c:pt>
                <c:pt idx="2">
                  <c:v>Site 54 - Kerr</c:v>
                </c:pt>
                <c:pt idx="3">
                  <c:v>Site 55 - Swede</c:v>
                </c:pt>
              </c:strCache>
            </c:strRef>
          </c:cat>
          <c:val>
            <c:numRef>
              <c:f>'Kerr Swede'!$W$47:$W$50</c:f>
              <c:numCache>
                <c:formatCode>0</c:formatCode>
                <c:ptCount val="4"/>
                <c:pt idx="0">
                  <c:v>32.580690000000004</c:v>
                </c:pt>
                <c:pt idx="1">
                  <c:v>25.818660000000001</c:v>
                </c:pt>
                <c:pt idx="2">
                  <c:v>11.679870000000001</c:v>
                </c:pt>
                <c:pt idx="3">
                  <c:v>3.0736500000000007</c:v>
                </c:pt>
              </c:numCache>
            </c:numRef>
          </c:val>
          <c:extLst>
            <c:ext xmlns:c16="http://schemas.microsoft.com/office/drawing/2014/chart" uri="{C3380CC4-5D6E-409C-BE32-E72D297353CC}">
              <c16:uniqueId val="{00000007-F79D-4131-9733-E0434BE26980}"/>
            </c:ext>
          </c:extLst>
        </c:ser>
        <c:ser>
          <c:idx val="8"/>
          <c:order val="8"/>
          <c:tx>
            <c:strRef>
              <c:f>'Kerr Swede'!$X$46</c:f>
              <c:strCache>
                <c:ptCount val="1"/>
                <c:pt idx="0">
                  <c:v>26-Sep</c:v>
                </c:pt>
              </c:strCache>
            </c:strRef>
          </c:tx>
          <c:invertIfNegative val="0"/>
          <c:cat>
            <c:strRef>
              <c:f>'Kerr Swede'!$O$47:$O$50</c:f>
              <c:strCache>
                <c:ptCount val="4"/>
                <c:pt idx="0">
                  <c:v>Site 52 - Confluence</c:v>
                </c:pt>
                <c:pt idx="1">
                  <c:v>Site 53 - Riefenberg</c:v>
                </c:pt>
                <c:pt idx="2">
                  <c:v>Site 54 - Kerr</c:v>
                </c:pt>
                <c:pt idx="3">
                  <c:v>Site 55 - Swede</c:v>
                </c:pt>
              </c:strCache>
            </c:strRef>
          </c:cat>
          <c:val>
            <c:numRef>
              <c:f>'Kerr Swede'!$X$47:$X$50</c:f>
              <c:numCache>
                <c:formatCode>0</c:formatCode>
                <c:ptCount val="4"/>
                <c:pt idx="0">
                  <c:v>13.682700000000002</c:v>
                </c:pt>
                <c:pt idx="1">
                  <c:v>11.898000000000001</c:v>
                </c:pt>
                <c:pt idx="2">
                  <c:v>7.1387999999999998</c:v>
                </c:pt>
                <c:pt idx="3">
                  <c:v>5.3540999999999999</c:v>
                </c:pt>
              </c:numCache>
            </c:numRef>
          </c:val>
          <c:extLst>
            <c:ext xmlns:c16="http://schemas.microsoft.com/office/drawing/2014/chart" uri="{C3380CC4-5D6E-409C-BE32-E72D297353CC}">
              <c16:uniqueId val="{00000008-F79D-4131-9733-E0434BE26980}"/>
            </c:ext>
          </c:extLst>
        </c:ser>
        <c:ser>
          <c:idx val="9"/>
          <c:order val="9"/>
          <c:tx>
            <c:strRef>
              <c:f>'Kerr Swede'!$Y$46</c:f>
              <c:strCache>
                <c:ptCount val="1"/>
                <c:pt idx="0">
                  <c:v>25-Oct</c:v>
                </c:pt>
              </c:strCache>
            </c:strRef>
          </c:tx>
          <c:invertIfNegative val="0"/>
          <c:val>
            <c:numRef>
              <c:f>'Kerr Swede'!$Y$47:$Y$50</c:f>
              <c:numCache>
                <c:formatCode>0</c:formatCode>
                <c:ptCount val="4"/>
                <c:pt idx="0">
                  <c:v>41.801640000000006</c:v>
                </c:pt>
                <c:pt idx="1">
                  <c:v>25.20393</c:v>
                </c:pt>
                <c:pt idx="2">
                  <c:v>9.2209500000000002</c:v>
                </c:pt>
                <c:pt idx="3">
                  <c:v>8.6062200000000004</c:v>
                </c:pt>
              </c:numCache>
            </c:numRef>
          </c:val>
          <c:extLst>
            <c:ext xmlns:c16="http://schemas.microsoft.com/office/drawing/2014/chart" uri="{C3380CC4-5D6E-409C-BE32-E72D297353CC}">
              <c16:uniqueId val="{00000009-F79D-4131-9733-E0434BE26980}"/>
            </c:ext>
          </c:extLst>
        </c:ser>
        <c:ser>
          <c:idx val="10"/>
          <c:order val="10"/>
          <c:tx>
            <c:strRef>
              <c:f>'Kerr Swede'!$Z$46</c:f>
              <c:strCache>
                <c:ptCount val="1"/>
                <c:pt idx="0">
                  <c:v>28-Nov</c:v>
                </c:pt>
              </c:strCache>
            </c:strRef>
          </c:tx>
          <c:invertIfNegative val="0"/>
          <c:val>
            <c:numRef>
              <c:f>'Kerr Swede'!$Z$47:$Z$50</c:f>
              <c:numCache>
                <c:formatCode>0</c:formatCode>
                <c:ptCount val="4"/>
                <c:pt idx="0">
                  <c:v>49.3767</c:v>
                </c:pt>
                <c:pt idx="1">
                  <c:v>37.478700000000003</c:v>
                </c:pt>
                <c:pt idx="2">
                  <c:v>14.8725</c:v>
                </c:pt>
                <c:pt idx="3">
                  <c:v>9.5183999999999997</c:v>
                </c:pt>
              </c:numCache>
            </c:numRef>
          </c:val>
          <c:extLst>
            <c:ext xmlns:c16="http://schemas.microsoft.com/office/drawing/2014/chart" uri="{C3380CC4-5D6E-409C-BE32-E72D297353CC}">
              <c16:uniqueId val="{0000000A-F79D-4131-9733-E0434BE26980}"/>
            </c:ext>
          </c:extLst>
        </c:ser>
        <c:ser>
          <c:idx val="11"/>
          <c:order val="11"/>
          <c:tx>
            <c:strRef>
              <c:f>'Kerr Swede'!$AA$46</c:f>
              <c:strCache>
                <c:ptCount val="1"/>
                <c:pt idx="0">
                  <c:v>28-Dec</c:v>
                </c:pt>
              </c:strCache>
            </c:strRef>
          </c:tx>
          <c:invertIfNegative val="0"/>
          <c:val>
            <c:numRef>
              <c:f>'Kerr Swede'!$AA$47:$AA$50</c:f>
              <c:numCache>
                <c:formatCode>0</c:formatCode>
                <c:ptCount val="4"/>
                <c:pt idx="0">
                  <c:v>21.515549999999998</c:v>
                </c:pt>
                <c:pt idx="1">
                  <c:v>12.909330000000001</c:v>
                </c:pt>
                <c:pt idx="2">
                  <c:v>12.294600000000003</c:v>
                </c:pt>
                <c:pt idx="3">
                  <c:v>14.75352</c:v>
                </c:pt>
              </c:numCache>
            </c:numRef>
          </c:val>
          <c:extLst>
            <c:ext xmlns:c16="http://schemas.microsoft.com/office/drawing/2014/chart" uri="{C3380CC4-5D6E-409C-BE32-E72D297353CC}">
              <c16:uniqueId val="{0000000B-F79D-4131-9733-E0434BE26980}"/>
            </c:ext>
          </c:extLst>
        </c:ser>
        <c:dLbls>
          <c:showLegendKey val="0"/>
          <c:showVal val="0"/>
          <c:showCatName val="0"/>
          <c:showSerName val="0"/>
          <c:showPercent val="0"/>
          <c:showBubbleSize val="0"/>
        </c:dLbls>
        <c:gapWidth val="150"/>
        <c:axId val="136961408"/>
        <c:axId val="137045120"/>
      </c:barChart>
      <c:catAx>
        <c:axId val="136961408"/>
        <c:scaling>
          <c:orientation val="minMax"/>
        </c:scaling>
        <c:delete val="0"/>
        <c:axPos val="b"/>
        <c:numFmt formatCode="General" sourceLinked="0"/>
        <c:majorTickMark val="out"/>
        <c:minorTickMark val="none"/>
        <c:tickLblPos val="nextTo"/>
        <c:crossAx val="137045120"/>
        <c:crosses val="autoZero"/>
        <c:auto val="1"/>
        <c:lblAlgn val="ctr"/>
        <c:lblOffset val="100"/>
        <c:noMultiLvlLbl val="0"/>
      </c:catAx>
      <c:valAx>
        <c:axId val="137045120"/>
        <c:scaling>
          <c:orientation val="minMax"/>
        </c:scaling>
        <c:delete val="0"/>
        <c:axPos val="l"/>
        <c:majorGridlines/>
        <c:title>
          <c:tx>
            <c:rich>
              <a:bodyPr rot="-5400000" vert="horz"/>
              <a:lstStyle/>
              <a:p>
                <a:pPr>
                  <a:defRPr/>
                </a:pPr>
                <a:r>
                  <a:rPr lang="en-US"/>
                  <a:t>Acre-Feet/Month</a:t>
                </a:r>
              </a:p>
            </c:rich>
          </c:tx>
          <c:overlay val="0"/>
        </c:title>
        <c:numFmt formatCode="0" sourceLinked="1"/>
        <c:majorTickMark val="out"/>
        <c:minorTickMark val="none"/>
        <c:tickLblPos val="nextTo"/>
        <c:crossAx val="136961408"/>
        <c:crosses val="autoZero"/>
        <c:crossBetween val="between"/>
      </c:valAx>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lotArea>
    <c:legend>
      <c:legendPos val="r"/>
      <c:overlay val="0"/>
    </c:legend>
    <c:plotVisOnly val="1"/>
    <c:dispBlanksAs val="gap"/>
    <c:showDLblsOverMax val="0"/>
  </c:chart>
  <c:printSettings>
    <c:headerFooter/>
    <c:pageMargins b="0.75000000000000977" l="0.70000000000000062" r="0.70000000000000062" t="0.75000000000000977"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Nitrogen</a:t>
            </a:r>
          </a:p>
        </c:rich>
      </c:tx>
      <c:layout>
        <c:manualLayout>
          <c:xMode val="edge"/>
          <c:yMode val="edge"/>
          <c:x val="0.47316612729234303"/>
          <c:y val="2.4630541871921211E-2"/>
        </c:manualLayout>
      </c:layout>
      <c:overlay val="0"/>
    </c:title>
    <c:autoTitleDeleted val="0"/>
    <c:plotArea>
      <c:layout>
        <c:manualLayout>
          <c:layoutTarget val="inner"/>
          <c:xMode val="edge"/>
          <c:yMode val="edge"/>
          <c:x val="0.27308074631451562"/>
          <c:y val="0.12903074615673044"/>
          <c:w val="0.69101105093309556"/>
          <c:h val="0.41598819544108884"/>
        </c:manualLayout>
      </c:layout>
      <c:lineChart>
        <c:grouping val="standard"/>
        <c:varyColors val="0"/>
        <c:ser>
          <c:idx val="0"/>
          <c:order val="0"/>
          <c:tx>
            <c:strRef>
              <c:f>'Kerr Swede'!$AN$27:$AN$31</c:f>
              <c:strCache>
                <c:ptCount val="1"/>
                <c:pt idx="0">
                  <c:v>Site 52 - Confluence</c:v>
                </c:pt>
              </c:strCache>
            </c:strRef>
          </c:tx>
          <c:marker>
            <c:symbol val="none"/>
          </c:marker>
          <c:cat>
            <c:numRef>
              <c:f>'Kerr Swede'!$AP$26:$AV$26</c:f>
              <c:numCache>
                <c:formatCode>[$-409]d\-mmm;@</c:formatCode>
                <c:ptCount val="7"/>
                <c:pt idx="0">
                  <c:v>40630</c:v>
                </c:pt>
                <c:pt idx="1">
                  <c:v>40686</c:v>
                </c:pt>
                <c:pt idx="2">
                  <c:v>40710</c:v>
                </c:pt>
                <c:pt idx="3">
                  <c:v>40749</c:v>
                </c:pt>
                <c:pt idx="4">
                  <c:v>40778</c:v>
                </c:pt>
                <c:pt idx="5">
                  <c:v>40812</c:v>
                </c:pt>
                <c:pt idx="6">
                  <c:v>40875</c:v>
                </c:pt>
              </c:numCache>
            </c:numRef>
          </c:cat>
          <c:val>
            <c:numRef>
              <c:f>'Kerr Swede'!$AP$27:$AV$27</c:f>
              <c:numCache>
                <c:formatCode>0.0</c:formatCode>
                <c:ptCount val="7"/>
                <c:pt idx="0">
                  <c:v>35.016518897009995</c:v>
                </c:pt>
                <c:pt idx="1">
                  <c:v>67.763216118780008</c:v>
                </c:pt>
                <c:pt idx="2">
                  <c:v>32.641240905000004</c:v>
                </c:pt>
                <c:pt idx="3">
                  <c:v>24.586386995519998</c:v>
                </c:pt>
                <c:pt idx="4">
                  <c:v>16.944988804170002</c:v>
                </c:pt>
                <c:pt idx="5">
                  <c:v>27.161076240900005</c:v>
                </c:pt>
                <c:pt idx="6">
                  <c:v>57.680231508900007</c:v>
                </c:pt>
              </c:numCache>
            </c:numRef>
          </c:val>
          <c:smooth val="0"/>
          <c:extLst>
            <c:ext xmlns:c16="http://schemas.microsoft.com/office/drawing/2014/chart" uri="{C3380CC4-5D6E-409C-BE32-E72D297353CC}">
              <c16:uniqueId val="{00000000-44F4-426F-B8F0-459833C43A57}"/>
            </c:ext>
          </c:extLst>
        </c:ser>
        <c:ser>
          <c:idx val="1"/>
          <c:order val="1"/>
          <c:tx>
            <c:strRef>
              <c:f>'Kerr Swede'!$AN$32:$AN$36</c:f>
              <c:strCache>
                <c:ptCount val="1"/>
                <c:pt idx="0">
                  <c:v>Site 53 - Riefenberg</c:v>
                </c:pt>
              </c:strCache>
            </c:strRef>
          </c:tx>
          <c:marker>
            <c:symbol val="none"/>
          </c:marker>
          <c:val>
            <c:numRef>
              <c:f>'Kerr Swede'!$AP$32:$AV$32</c:f>
              <c:numCache>
                <c:formatCode>0.0</c:formatCode>
                <c:ptCount val="7"/>
                <c:pt idx="0">
                  <c:v>20.153873871600002</c:v>
                </c:pt>
                <c:pt idx="1">
                  <c:v>49.112513238600009</c:v>
                </c:pt>
                <c:pt idx="2">
                  <c:v>13.399917854400003</c:v>
                </c:pt>
                <c:pt idx="3">
                  <c:v>15.679513002929999</c:v>
                </c:pt>
                <c:pt idx="4">
                  <c:v>14.482667503080002</c:v>
                </c:pt>
                <c:pt idx="5">
                  <c:v>4.0821800040000005</c:v>
                </c:pt>
                <c:pt idx="6">
                  <c:v>35.898885344700005</c:v>
                </c:pt>
              </c:numCache>
            </c:numRef>
          </c:val>
          <c:smooth val="0"/>
          <c:extLst>
            <c:ext xmlns:c16="http://schemas.microsoft.com/office/drawing/2014/chart" uri="{C3380CC4-5D6E-409C-BE32-E72D297353CC}">
              <c16:uniqueId val="{00000001-44F4-426F-B8F0-459833C43A57}"/>
            </c:ext>
          </c:extLst>
        </c:ser>
        <c:ser>
          <c:idx val="2"/>
          <c:order val="2"/>
          <c:tx>
            <c:strRef>
              <c:f>'Kerr Swede'!$AN$37:$AN$41</c:f>
              <c:strCache>
                <c:ptCount val="1"/>
                <c:pt idx="0">
                  <c:v>Site 54 - Kerr</c:v>
                </c:pt>
              </c:strCache>
            </c:strRef>
          </c:tx>
          <c:marker>
            <c:symbol val="none"/>
          </c:marker>
          <c:val>
            <c:numRef>
              <c:f>'Kerr Swede'!$AP$37:$AV$37</c:f>
              <c:numCache>
                <c:formatCode>0.0</c:formatCode>
                <c:ptCount val="7"/>
                <c:pt idx="0">
                  <c:v>25.826754149910002</c:v>
                </c:pt>
                <c:pt idx="1">
                  <c:v>27.619511535000004</c:v>
                </c:pt>
                <c:pt idx="2">
                  <c:v>8.5725780084000007</c:v>
                </c:pt>
                <c:pt idx="3">
                  <c:v>14.462580585600001</c:v>
                </c:pt>
                <c:pt idx="4">
                  <c:v>3.7211014631700006</c:v>
                </c:pt>
                <c:pt idx="5">
                  <c:v>2.3132353355999999</c:v>
                </c:pt>
                <c:pt idx="6">
                  <c:v>62.654983410599996</c:v>
                </c:pt>
              </c:numCache>
            </c:numRef>
          </c:val>
          <c:smooth val="0"/>
          <c:extLst>
            <c:ext xmlns:c16="http://schemas.microsoft.com/office/drawing/2014/chart" uri="{C3380CC4-5D6E-409C-BE32-E72D297353CC}">
              <c16:uniqueId val="{00000002-44F4-426F-B8F0-459833C43A57}"/>
            </c:ext>
          </c:extLst>
        </c:ser>
        <c:ser>
          <c:idx val="3"/>
          <c:order val="3"/>
          <c:tx>
            <c:strRef>
              <c:f>'Kerr Swede'!$AN$42:$AN$46</c:f>
              <c:strCache>
                <c:ptCount val="1"/>
                <c:pt idx="0">
                  <c:v>Site 55 - Swede</c:v>
                </c:pt>
              </c:strCache>
            </c:strRef>
          </c:tx>
          <c:marker>
            <c:symbol val="none"/>
          </c:marker>
          <c:val>
            <c:numRef>
              <c:f>'Kerr Swede'!$AP$42:$AV$42</c:f>
              <c:numCache>
                <c:formatCode>0.0</c:formatCode>
                <c:ptCount val="7"/>
                <c:pt idx="0">
                  <c:v>45.46338989640001</c:v>
                </c:pt>
                <c:pt idx="1">
                  <c:v>19.782265898220004</c:v>
                </c:pt>
                <c:pt idx="2">
                  <c:v>1.1987353980000002</c:v>
                </c:pt>
                <c:pt idx="3">
                  <c:v>6.8496388606799998</c:v>
                </c:pt>
                <c:pt idx="4">
                  <c:v>2.3267346081000007</c:v>
                </c:pt>
                <c:pt idx="5">
                  <c:v>2.9450012886000003</c:v>
                </c:pt>
                <c:pt idx="6">
                  <c:v>46.655105672700003</c:v>
                </c:pt>
              </c:numCache>
            </c:numRef>
          </c:val>
          <c:smooth val="0"/>
          <c:extLst>
            <c:ext xmlns:c16="http://schemas.microsoft.com/office/drawing/2014/chart" uri="{C3380CC4-5D6E-409C-BE32-E72D297353CC}">
              <c16:uniqueId val="{00000003-44F4-426F-B8F0-459833C43A57}"/>
            </c:ext>
          </c:extLst>
        </c:ser>
        <c:dLbls>
          <c:showLegendKey val="0"/>
          <c:showVal val="0"/>
          <c:showCatName val="0"/>
          <c:showSerName val="0"/>
          <c:showPercent val="0"/>
          <c:showBubbleSize val="0"/>
        </c:dLbls>
        <c:smooth val="0"/>
        <c:axId val="137168000"/>
        <c:axId val="137169536"/>
      </c:lineChart>
      <c:dateAx>
        <c:axId val="137168000"/>
        <c:scaling>
          <c:orientation val="minMax"/>
        </c:scaling>
        <c:delete val="0"/>
        <c:axPos val="b"/>
        <c:numFmt formatCode="[$-409]d\-mmm;@" sourceLinked="1"/>
        <c:majorTickMark val="none"/>
        <c:minorTickMark val="none"/>
        <c:tickLblPos val="nextTo"/>
        <c:crossAx val="137169536"/>
        <c:crosses val="autoZero"/>
        <c:auto val="1"/>
        <c:lblOffset val="100"/>
        <c:baseTimeUnit val="days"/>
      </c:dateAx>
      <c:valAx>
        <c:axId val="137169536"/>
        <c:scaling>
          <c:orientation val="minMax"/>
        </c:scaling>
        <c:delete val="0"/>
        <c:axPos val="l"/>
        <c:majorGridlines/>
        <c:title>
          <c:tx>
            <c:rich>
              <a:bodyPr/>
              <a:lstStyle/>
              <a:p>
                <a:pPr>
                  <a:defRPr/>
                </a:pPr>
                <a:r>
                  <a:rPr lang="en-US"/>
                  <a:t>TN pounds/month</a:t>
                </a:r>
              </a:p>
            </c:rich>
          </c:tx>
          <c:layout>
            <c:manualLayout>
              <c:xMode val="edge"/>
              <c:yMode val="edge"/>
              <c:x val="0.1558936200936048"/>
              <c:y val="0.19427905563528697"/>
            </c:manualLayout>
          </c:layout>
          <c:overlay val="0"/>
        </c:title>
        <c:numFmt formatCode="0.0" sourceLinked="1"/>
        <c:majorTickMark val="none"/>
        <c:minorTickMark val="none"/>
        <c:tickLblPos val="nextTo"/>
        <c:crossAx val="137168000"/>
        <c:crosses val="autoZero"/>
        <c:crossBetween val="between"/>
      </c:valAx>
      <c:dTable>
        <c:showHorzBorder val="1"/>
        <c:showVertBorder val="1"/>
        <c:showOutline val="1"/>
        <c:showKeys val="1"/>
        <c:txPr>
          <a:bodyPr/>
          <a:lstStyle/>
          <a:p>
            <a:pPr rtl="0">
              <a:defRPr sz="900" b="1"/>
            </a:pPr>
            <a:endParaRPr lang="en-US"/>
          </a:p>
        </c:txPr>
      </c:dTable>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0311" l="0.70000000000000062" r="0.70000000000000062" t="0.75000000000000311"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Phosphorus</a:t>
            </a:r>
          </a:p>
        </c:rich>
      </c:tx>
      <c:layout>
        <c:manualLayout>
          <c:xMode val="edge"/>
          <c:yMode val="edge"/>
          <c:x val="0.40103317020119478"/>
          <c:y val="1.3888888888888994E-2"/>
        </c:manualLayout>
      </c:layout>
      <c:overlay val="0"/>
    </c:title>
    <c:autoTitleDeleted val="0"/>
    <c:plotArea>
      <c:layout>
        <c:manualLayout>
          <c:layoutTarget val="inner"/>
          <c:xMode val="edge"/>
          <c:yMode val="edge"/>
          <c:x val="0.28853419393715718"/>
          <c:y val="0.14387758821813937"/>
          <c:w val="0.65189721131261358"/>
          <c:h val="0.38123177311169432"/>
        </c:manualLayout>
      </c:layout>
      <c:lineChart>
        <c:grouping val="standard"/>
        <c:varyColors val="0"/>
        <c:ser>
          <c:idx val="0"/>
          <c:order val="0"/>
          <c:tx>
            <c:strRef>
              <c:f>'Kerr Swede'!$AN$27:$AN$31</c:f>
              <c:strCache>
                <c:ptCount val="1"/>
                <c:pt idx="0">
                  <c:v>Site 52 - Confluence</c:v>
                </c:pt>
              </c:strCache>
            </c:strRef>
          </c:tx>
          <c:marker>
            <c:symbol val="none"/>
          </c:marker>
          <c:cat>
            <c:numRef>
              <c:f>'Kerr Swede'!$AP$26:$AV$26</c:f>
              <c:numCache>
                <c:formatCode>[$-409]d\-mmm;@</c:formatCode>
                <c:ptCount val="7"/>
                <c:pt idx="0">
                  <c:v>40630</c:v>
                </c:pt>
                <c:pt idx="1">
                  <c:v>40686</c:v>
                </c:pt>
                <c:pt idx="2">
                  <c:v>40710</c:v>
                </c:pt>
                <c:pt idx="3">
                  <c:v>40749</c:v>
                </c:pt>
                <c:pt idx="4">
                  <c:v>40778</c:v>
                </c:pt>
                <c:pt idx="5">
                  <c:v>40812</c:v>
                </c:pt>
                <c:pt idx="6">
                  <c:v>40875</c:v>
                </c:pt>
              </c:numCache>
            </c:numRef>
          </c:cat>
          <c:val>
            <c:numRef>
              <c:f>'Kerr Swede'!$AP$30:$AV$30</c:f>
              <c:numCache>
                <c:formatCode>0.0</c:formatCode>
                <c:ptCount val="7"/>
                <c:pt idx="0">
                  <c:v>0.57247714817999995</c:v>
                </c:pt>
                <c:pt idx="1">
                  <c:v>2.3501693451600003</c:v>
                </c:pt>
                <c:pt idx="2">
                  <c:v>1.5065188110000001</c:v>
                </c:pt>
                <c:pt idx="3">
                  <c:v>1.2052150488</c:v>
                </c:pt>
                <c:pt idx="4">
                  <c:v>1.0646066264400003</c:v>
                </c:pt>
                <c:pt idx="5">
                  <c:v>4.5082170441000011</c:v>
                </c:pt>
                <c:pt idx="6">
                  <c:v>2.0167913115</c:v>
                </c:pt>
              </c:numCache>
            </c:numRef>
          </c:val>
          <c:smooth val="0"/>
          <c:extLst>
            <c:ext xmlns:c16="http://schemas.microsoft.com/office/drawing/2014/chart" uri="{C3380CC4-5D6E-409C-BE32-E72D297353CC}">
              <c16:uniqueId val="{00000000-B7AF-4928-A4CB-AEE7EF9C0C91}"/>
            </c:ext>
          </c:extLst>
        </c:ser>
        <c:ser>
          <c:idx val="1"/>
          <c:order val="1"/>
          <c:tx>
            <c:strRef>
              <c:f>'Kerr Swede'!$AN$32:$AN$36</c:f>
              <c:strCache>
                <c:ptCount val="1"/>
                <c:pt idx="0">
                  <c:v>Site 53 - Riefenberg</c:v>
                </c:pt>
              </c:strCache>
            </c:strRef>
          </c:tx>
          <c:marker>
            <c:symbol val="none"/>
          </c:marker>
          <c:val>
            <c:numRef>
              <c:f>'Kerr Swede'!$AP$35:$AV$35</c:f>
              <c:numCache>
                <c:formatCode>0.0</c:formatCode>
                <c:ptCount val="7"/>
                <c:pt idx="0">
                  <c:v>0.86373745164000015</c:v>
                </c:pt>
                <c:pt idx="1">
                  <c:v>6.0260752440000003</c:v>
                </c:pt>
                <c:pt idx="2">
                  <c:v>1.3542470172000003</c:v>
                </c:pt>
                <c:pt idx="3">
                  <c:v>1.2135845977500002</c:v>
                </c:pt>
                <c:pt idx="4">
                  <c:v>0.56243368944000005</c:v>
                </c:pt>
                <c:pt idx="5">
                  <c:v>0.25918603200000007</c:v>
                </c:pt>
                <c:pt idx="6">
                  <c:v>1.0756220328000001</c:v>
                </c:pt>
              </c:numCache>
            </c:numRef>
          </c:val>
          <c:smooth val="0"/>
          <c:extLst>
            <c:ext xmlns:c16="http://schemas.microsoft.com/office/drawing/2014/chart" uri="{C3380CC4-5D6E-409C-BE32-E72D297353CC}">
              <c16:uniqueId val="{00000001-B7AF-4928-A4CB-AEE7EF9C0C91}"/>
            </c:ext>
          </c:extLst>
        </c:ser>
        <c:ser>
          <c:idx val="2"/>
          <c:order val="2"/>
          <c:tx>
            <c:strRef>
              <c:f>'Kerr Swede'!$AN$37:$AN$41</c:f>
              <c:strCache>
                <c:ptCount val="1"/>
                <c:pt idx="0">
                  <c:v>Site 54 - Kerr</c:v>
                </c:pt>
              </c:strCache>
            </c:strRef>
          </c:tx>
          <c:marker>
            <c:symbol val="none"/>
          </c:marker>
          <c:val>
            <c:numRef>
              <c:f>'Kerr Swede'!$AP$40:$AV$40</c:f>
              <c:numCache>
                <c:formatCode>0.0</c:formatCode>
                <c:ptCount val="7"/>
                <c:pt idx="0">
                  <c:v>1.3006279068300002</c:v>
                </c:pt>
                <c:pt idx="1">
                  <c:v>3.3645586779000003</c:v>
                </c:pt>
                <c:pt idx="2">
                  <c:v>1.3267085013</c:v>
                </c:pt>
                <c:pt idx="3">
                  <c:v>1.9283440780800001</c:v>
                </c:pt>
                <c:pt idx="4">
                  <c:v>0.79510715025000023</c:v>
                </c:pt>
                <c:pt idx="5">
                  <c:v>0.33046219080000006</c:v>
                </c:pt>
                <c:pt idx="6">
                  <c:v>2.6890550819999999</c:v>
                </c:pt>
              </c:numCache>
            </c:numRef>
          </c:val>
          <c:smooth val="0"/>
          <c:extLst>
            <c:ext xmlns:c16="http://schemas.microsoft.com/office/drawing/2014/chart" uri="{C3380CC4-5D6E-409C-BE32-E72D297353CC}">
              <c16:uniqueId val="{00000002-B7AF-4928-A4CB-AEE7EF9C0C91}"/>
            </c:ext>
          </c:extLst>
        </c:ser>
        <c:ser>
          <c:idx val="3"/>
          <c:order val="3"/>
          <c:tx>
            <c:strRef>
              <c:f>'Kerr Swede'!$AN$42:$AN$46</c:f>
              <c:strCache>
                <c:ptCount val="1"/>
                <c:pt idx="0">
                  <c:v>Site 55 - Swede</c:v>
                </c:pt>
              </c:strCache>
            </c:strRef>
          </c:tx>
          <c:marker>
            <c:symbol val="none"/>
          </c:marker>
          <c:val>
            <c:numRef>
              <c:f>'Kerr Swede'!$AP$45:$AV$45</c:f>
              <c:numCache>
                <c:formatCode>0.0</c:formatCode>
                <c:ptCount val="7"/>
                <c:pt idx="0">
                  <c:v>14.998231718400001</c:v>
                </c:pt>
                <c:pt idx="1">
                  <c:v>2.1626914486800004</c:v>
                </c:pt>
                <c:pt idx="2">
                  <c:v>0.20248908750000005</c:v>
                </c:pt>
                <c:pt idx="3">
                  <c:v>0.98425895652000017</c:v>
                </c:pt>
                <c:pt idx="4">
                  <c:v>0.77836805235000017</c:v>
                </c:pt>
                <c:pt idx="5">
                  <c:v>0.49569328620000003</c:v>
                </c:pt>
                <c:pt idx="6">
                  <c:v>5.3781101639999997</c:v>
                </c:pt>
              </c:numCache>
            </c:numRef>
          </c:val>
          <c:smooth val="0"/>
          <c:extLst>
            <c:ext xmlns:c16="http://schemas.microsoft.com/office/drawing/2014/chart" uri="{C3380CC4-5D6E-409C-BE32-E72D297353CC}">
              <c16:uniqueId val="{00000003-B7AF-4928-A4CB-AEE7EF9C0C91}"/>
            </c:ext>
          </c:extLst>
        </c:ser>
        <c:dLbls>
          <c:showLegendKey val="0"/>
          <c:showVal val="0"/>
          <c:showCatName val="0"/>
          <c:showSerName val="0"/>
          <c:showPercent val="0"/>
          <c:showBubbleSize val="0"/>
        </c:dLbls>
        <c:smooth val="0"/>
        <c:axId val="137214976"/>
        <c:axId val="137220864"/>
      </c:lineChart>
      <c:dateAx>
        <c:axId val="137214976"/>
        <c:scaling>
          <c:orientation val="minMax"/>
        </c:scaling>
        <c:delete val="0"/>
        <c:axPos val="b"/>
        <c:numFmt formatCode="[$-409]d\-mmm;@" sourceLinked="1"/>
        <c:majorTickMark val="none"/>
        <c:minorTickMark val="none"/>
        <c:tickLblPos val="nextTo"/>
        <c:crossAx val="137220864"/>
        <c:crosses val="autoZero"/>
        <c:auto val="1"/>
        <c:lblOffset val="100"/>
        <c:baseTimeUnit val="days"/>
      </c:dateAx>
      <c:valAx>
        <c:axId val="137220864"/>
        <c:scaling>
          <c:orientation val="minMax"/>
        </c:scaling>
        <c:delete val="0"/>
        <c:axPos val="l"/>
        <c:majorGridlines/>
        <c:title>
          <c:tx>
            <c:rich>
              <a:bodyPr/>
              <a:lstStyle/>
              <a:p>
                <a:pPr>
                  <a:defRPr/>
                </a:pPr>
                <a:r>
                  <a:rPr lang="en-US"/>
                  <a:t>TP pounds/month</a:t>
                </a:r>
              </a:p>
            </c:rich>
          </c:tx>
          <c:layout>
            <c:manualLayout>
              <c:xMode val="edge"/>
              <c:yMode val="edge"/>
              <c:x val="0.14270581802274721"/>
              <c:y val="0.13924795858850991"/>
            </c:manualLayout>
          </c:layout>
          <c:overlay val="0"/>
        </c:title>
        <c:numFmt formatCode="0.0" sourceLinked="1"/>
        <c:majorTickMark val="none"/>
        <c:minorTickMark val="none"/>
        <c:tickLblPos val="nextTo"/>
        <c:crossAx val="137214976"/>
        <c:crosses val="autoZero"/>
        <c:crossBetween val="between"/>
      </c:valAx>
      <c:dTable>
        <c:showHorzBorder val="1"/>
        <c:showVertBorder val="1"/>
        <c:showOutline val="1"/>
        <c:showKeys val="1"/>
        <c:txPr>
          <a:bodyPr/>
          <a:lstStyle/>
          <a:p>
            <a:pPr rtl="0">
              <a:defRPr sz="900" b="1"/>
            </a:pPr>
            <a:endParaRPr lang="en-US"/>
          </a:p>
        </c:txPr>
      </c:dTable>
    </c:plotArea>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0311" l="0.70000000000000062" r="0.70000000000000062" t="0.75000000000000311"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0" i="0" u="none" strike="noStrike" baseline="0"/>
              <a:t>Nitrate/Nitrite as N, dissolved</a:t>
            </a:r>
            <a:r>
              <a:rPr lang="en-US" sz="1800" b="1" i="0" u="none" strike="noStrike" baseline="0"/>
              <a:t> </a:t>
            </a:r>
            <a:endParaRPr lang="en-US"/>
          </a:p>
        </c:rich>
      </c:tx>
      <c:layout>
        <c:manualLayout>
          <c:xMode val="edge"/>
          <c:yMode val="edge"/>
          <c:x val="0.35930566840495887"/>
          <c:y val="3.2697547683923904E-2"/>
        </c:manualLayout>
      </c:layout>
      <c:overlay val="0"/>
    </c:title>
    <c:autoTitleDeleted val="0"/>
    <c:plotArea>
      <c:layout>
        <c:manualLayout>
          <c:layoutTarget val="inner"/>
          <c:xMode val="edge"/>
          <c:yMode val="edge"/>
          <c:x val="0.30691032288881442"/>
          <c:y val="0.12017278494139218"/>
          <c:w val="0.65375840215095238"/>
          <c:h val="0.43307744570075962"/>
        </c:manualLayout>
      </c:layout>
      <c:lineChart>
        <c:grouping val="standard"/>
        <c:varyColors val="0"/>
        <c:ser>
          <c:idx val="0"/>
          <c:order val="0"/>
          <c:tx>
            <c:strRef>
              <c:f>'Kerr Swede'!$AN$27:$AN$31</c:f>
              <c:strCache>
                <c:ptCount val="1"/>
                <c:pt idx="0">
                  <c:v>Site 52 - Confluence</c:v>
                </c:pt>
              </c:strCache>
            </c:strRef>
          </c:tx>
          <c:marker>
            <c:symbol val="none"/>
          </c:marker>
          <c:cat>
            <c:numRef>
              <c:f>'Kerr Swede'!$AP$26:$AV$26</c:f>
              <c:numCache>
                <c:formatCode>[$-409]d\-mmm;@</c:formatCode>
                <c:ptCount val="7"/>
                <c:pt idx="0">
                  <c:v>40630</c:v>
                </c:pt>
                <c:pt idx="1">
                  <c:v>40686</c:v>
                </c:pt>
                <c:pt idx="2">
                  <c:v>40710</c:v>
                </c:pt>
                <c:pt idx="3">
                  <c:v>40749</c:v>
                </c:pt>
                <c:pt idx="4">
                  <c:v>40778</c:v>
                </c:pt>
                <c:pt idx="5">
                  <c:v>40812</c:v>
                </c:pt>
                <c:pt idx="6">
                  <c:v>40875</c:v>
                </c:pt>
              </c:numCache>
            </c:numRef>
          </c:cat>
          <c:val>
            <c:numRef>
              <c:f>'Kerr Swede'!$AP$28:$AV$28</c:f>
              <c:numCache>
                <c:formatCode>0.0</c:formatCode>
                <c:ptCount val="7"/>
                <c:pt idx="0">
                  <c:v>19.655048754180001</c:v>
                </c:pt>
                <c:pt idx="1">
                  <c:v>31.531438714230006</c:v>
                </c:pt>
                <c:pt idx="2">
                  <c:v>21.392567116200002</c:v>
                </c:pt>
                <c:pt idx="3">
                  <c:v>15.908838644160001</c:v>
                </c:pt>
                <c:pt idx="4">
                  <c:v>17.566009336260002</c:v>
                </c:pt>
                <c:pt idx="5">
                  <c:v>5.4769248387000005</c:v>
                </c:pt>
                <c:pt idx="6">
                  <c:v>38.453487672600005</c:v>
                </c:pt>
              </c:numCache>
            </c:numRef>
          </c:val>
          <c:smooth val="0"/>
          <c:extLst>
            <c:ext xmlns:c16="http://schemas.microsoft.com/office/drawing/2014/chart" uri="{C3380CC4-5D6E-409C-BE32-E72D297353CC}">
              <c16:uniqueId val="{00000000-E100-49A5-985B-4E79BBC1A115}"/>
            </c:ext>
          </c:extLst>
        </c:ser>
        <c:ser>
          <c:idx val="1"/>
          <c:order val="1"/>
          <c:tx>
            <c:strRef>
              <c:f>'Kerr Swede'!$AN$32:$AN$36</c:f>
              <c:strCache>
                <c:ptCount val="1"/>
                <c:pt idx="0">
                  <c:v>Site 53 - Riefenberg</c:v>
                </c:pt>
              </c:strCache>
            </c:strRef>
          </c:tx>
          <c:marker>
            <c:symbol val="none"/>
          </c:marker>
          <c:cat>
            <c:numRef>
              <c:f>'Kerr Swede'!$AP$26:$AV$26</c:f>
              <c:numCache>
                <c:formatCode>[$-409]d\-mmm;@</c:formatCode>
                <c:ptCount val="7"/>
                <c:pt idx="0">
                  <c:v>40630</c:v>
                </c:pt>
                <c:pt idx="1">
                  <c:v>40686</c:v>
                </c:pt>
                <c:pt idx="2">
                  <c:v>40710</c:v>
                </c:pt>
                <c:pt idx="3">
                  <c:v>40749</c:v>
                </c:pt>
                <c:pt idx="4">
                  <c:v>40778</c:v>
                </c:pt>
                <c:pt idx="5">
                  <c:v>40812</c:v>
                </c:pt>
                <c:pt idx="6">
                  <c:v>40875</c:v>
                </c:pt>
              </c:numCache>
            </c:numRef>
          </c:cat>
          <c:val>
            <c:numRef>
              <c:f>'Kerr Swede'!$AP$33:$AV$33</c:f>
              <c:numCache>
                <c:formatCode>0.0</c:formatCode>
                <c:ptCount val="7"/>
                <c:pt idx="0">
                  <c:v>10.364849419680002</c:v>
                </c:pt>
                <c:pt idx="1">
                  <c:v>19.283440780800003</c:v>
                </c:pt>
                <c:pt idx="2">
                  <c:v>4.9180549572000007</c:v>
                </c:pt>
                <c:pt idx="3">
                  <c:v>6.4077266761200002</c:v>
                </c:pt>
                <c:pt idx="4">
                  <c:v>6.1867705838400004</c:v>
                </c:pt>
                <c:pt idx="5">
                  <c:v>1.7171074620000002</c:v>
                </c:pt>
                <c:pt idx="6">
                  <c:v>24.604854000300001</c:v>
                </c:pt>
              </c:numCache>
            </c:numRef>
          </c:val>
          <c:smooth val="0"/>
          <c:extLst>
            <c:ext xmlns:c16="http://schemas.microsoft.com/office/drawing/2014/chart" uri="{C3380CC4-5D6E-409C-BE32-E72D297353CC}">
              <c16:uniqueId val="{00000001-E100-49A5-985B-4E79BBC1A115}"/>
            </c:ext>
          </c:extLst>
        </c:ser>
        <c:ser>
          <c:idx val="2"/>
          <c:order val="2"/>
          <c:tx>
            <c:strRef>
              <c:f>'Kerr Swede'!$AN$37:$AN$41</c:f>
              <c:strCache>
                <c:ptCount val="1"/>
                <c:pt idx="0">
                  <c:v>Site 54 - Kerr</c:v>
                </c:pt>
              </c:strCache>
            </c:strRef>
          </c:tx>
          <c:marker>
            <c:symbol val="none"/>
          </c:marker>
          <c:cat>
            <c:numRef>
              <c:f>'Kerr Swede'!$AP$26:$AV$26</c:f>
              <c:numCache>
                <c:formatCode>[$-409]d\-mmm;@</c:formatCode>
                <c:ptCount val="7"/>
                <c:pt idx="0">
                  <c:v>40630</c:v>
                </c:pt>
                <c:pt idx="1">
                  <c:v>40686</c:v>
                </c:pt>
                <c:pt idx="2">
                  <c:v>40710</c:v>
                </c:pt>
                <c:pt idx="3">
                  <c:v>40749</c:v>
                </c:pt>
                <c:pt idx="4">
                  <c:v>40778</c:v>
                </c:pt>
                <c:pt idx="5">
                  <c:v>40812</c:v>
                </c:pt>
                <c:pt idx="6">
                  <c:v>40875</c:v>
                </c:pt>
              </c:numCache>
            </c:numRef>
          </c:cat>
          <c:val>
            <c:numRef>
              <c:f>'Kerr Swede'!$AP$38:$AV$38</c:f>
              <c:numCache>
                <c:formatCode>0.0</c:formatCode>
                <c:ptCount val="7"/>
                <c:pt idx="0">
                  <c:v>17.77524806001</c:v>
                </c:pt>
                <c:pt idx="1">
                  <c:v>14.010624942300002</c:v>
                </c:pt>
                <c:pt idx="2">
                  <c:v>4.7965615047000005</c:v>
                </c:pt>
                <c:pt idx="3">
                  <c:v>6.3742484803200004</c:v>
                </c:pt>
                <c:pt idx="4">
                  <c:v>3.6574928911500004</c:v>
                </c:pt>
                <c:pt idx="5">
                  <c:v>1.0885813344000002</c:v>
                </c:pt>
                <c:pt idx="6">
                  <c:v>45.310578131700005</c:v>
                </c:pt>
              </c:numCache>
            </c:numRef>
          </c:val>
          <c:smooth val="0"/>
          <c:extLst>
            <c:ext xmlns:c16="http://schemas.microsoft.com/office/drawing/2014/chart" uri="{C3380CC4-5D6E-409C-BE32-E72D297353CC}">
              <c16:uniqueId val="{00000002-E100-49A5-985B-4E79BBC1A115}"/>
            </c:ext>
          </c:extLst>
        </c:ser>
        <c:ser>
          <c:idx val="3"/>
          <c:order val="3"/>
          <c:tx>
            <c:strRef>
              <c:f>'Kerr Swede'!$AN$42:$AN$46</c:f>
              <c:strCache>
                <c:ptCount val="1"/>
                <c:pt idx="0">
                  <c:v>Site 55 - Swede</c:v>
                </c:pt>
              </c:strCache>
            </c:strRef>
          </c:tx>
          <c:marker>
            <c:symbol val="none"/>
          </c:marker>
          <c:cat>
            <c:numRef>
              <c:f>'Kerr Swede'!$AP$26:$AV$26</c:f>
              <c:numCache>
                <c:formatCode>[$-409]d\-mmm;@</c:formatCode>
                <c:ptCount val="7"/>
                <c:pt idx="0">
                  <c:v>40630</c:v>
                </c:pt>
                <c:pt idx="1">
                  <c:v>40686</c:v>
                </c:pt>
                <c:pt idx="2">
                  <c:v>40710</c:v>
                </c:pt>
                <c:pt idx="3">
                  <c:v>40749</c:v>
                </c:pt>
                <c:pt idx="4">
                  <c:v>40778</c:v>
                </c:pt>
                <c:pt idx="5">
                  <c:v>40812</c:v>
                </c:pt>
                <c:pt idx="6">
                  <c:v>40875</c:v>
                </c:pt>
              </c:numCache>
            </c:numRef>
          </c:cat>
          <c:val>
            <c:numRef>
              <c:f>'Kerr Swede'!$AP$43:$AV$43</c:f>
              <c:numCache>
                <c:formatCode>0.0</c:formatCode>
                <c:ptCount val="7"/>
                <c:pt idx="0">
                  <c:v>3.2339937142799999</c:v>
                </c:pt>
                <c:pt idx="1">
                  <c:v>8.3327229346200014</c:v>
                </c:pt>
                <c:pt idx="2">
                  <c:v>1.6199127000000004E-2</c:v>
                </c:pt>
                <c:pt idx="3">
                  <c:v>0.42182526708000001</c:v>
                </c:pt>
                <c:pt idx="4">
                  <c:v>9.2065038450000025E-2</c:v>
                </c:pt>
                <c:pt idx="5">
                  <c:v>0.1166337144</c:v>
                </c:pt>
                <c:pt idx="6">
                  <c:v>16.4032360002</c:v>
                </c:pt>
              </c:numCache>
            </c:numRef>
          </c:val>
          <c:smooth val="0"/>
          <c:extLst>
            <c:ext xmlns:c16="http://schemas.microsoft.com/office/drawing/2014/chart" uri="{C3380CC4-5D6E-409C-BE32-E72D297353CC}">
              <c16:uniqueId val="{00000003-E100-49A5-985B-4E79BBC1A115}"/>
            </c:ext>
          </c:extLst>
        </c:ser>
        <c:dLbls>
          <c:showLegendKey val="0"/>
          <c:showVal val="0"/>
          <c:showCatName val="0"/>
          <c:showSerName val="0"/>
          <c:showPercent val="0"/>
          <c:showBubbleSize val="0"/>
        </c:dLbls>
        <c:smooth val="0"/>
        <c:axId val="137521792"/>
        <c:axId val="137527680"/>
      </c:lineChart>
      <c:dateAx>
        <c:axId val="137521792"/>
        <c:scaling>
          <c:orientation val="minMax"/>
        </c:scaling>
        <c:delete val="0"/>
        <c:axPos val="b"/>
        <c:numFmt formatCode="[$-409]d\-mmm;@" sourceLinked="1"/>
        <c:majorTickMark val="none"/>
        <c:minorTickMark val="none"/>
        <c:tickLblPos val="nextTo"/>
        <c:crossAx val="137527680"/>
        <c:crosses val="autoZero"/>
        <c:auto val="1"/>
        <c:lblOffset val="100"/>
        <c:baseTimeUnit val="days"/>
      </c:dateAx>
      <c:valAx>
        <c:axId val="137527680"/>
        <c:scaling>
          <c:orientation val="minMax"/>
        </c:scaling>
        <c:delete val="0"/>
        <c:axPos val="l"/>
        <c:majorGridlines/>
        <c:title>
          <c:tx>
            <c:rich>
              <a:bodyPr/>
              <a:lstStyle/>
              <a:p>
                <a:pPr>
                  <a:defRPr/>
                </a:pPr>
                <a:r>
                  <a:rPr lang="en-US"/>
                  <a:t>NO3-NO2, pounds/month</a:t>
                </a:r>
              </a:p>
            </c:rich>
          </c:tx>
          <c:layout>
            <c:manualLayout>
              <c:xMode val="edge"/>
              <c:yMode val="edge"/>
              <c:x val="8.992804024496974E-2"/>
              <c:y val="0.15287033262531571"/>
            </c:manualLayout>
          </c:layout>
          <c:overlay val="0"/>
        </c:title>
        <c:numFmt formatCode="0.0" sourceLinked="1"/>
        <c:majorTickMark val="none"/>
        <c:minorTickMark val="none"/>
        <c:tickLblPos val="nextTo"/>
        <c:crossAx val="137521792"/>
        <c:crosses val="autoZero"/>
        <c:crossBetween val="between"/>
      </c:valAx>
      <c:dTable>
        <c:showHorzBorder val="1"/>
        <c:showVertBorder val="1"/>
        <c:showOutline val="1"/>
        <c:showKeys val="1"/>
      </c:dTable>
    </c:plotArea>
    <c:plotVisOnly val="1"/>
    <c:dispBlanksAs val="gap"/>
    <c:showDLblsOverMax val="0"/>
  </c:chart>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rintSettings>
    <c:headerFooter/>
    <c:pageMargins b="0.75000000000000155" l="0.70000000000000062" r="0.70000000000000062" t="0.7500000000000015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(1/24/2011)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767"/>
        </c:manualLayout>
      </c:layout>
      <c:lineChart>
        <c:grouping val="standard"/>
        <c:varyColors val="0"/>
        <c:ser>
          <c:idx val="0"/>
          <c:order val="0"/>
          <c:tx>
            <c:strRef>
              <c:f>'1-23-11'!$D$3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'1-23-11'!$D$8:$D$22</c:f>
              <c:numCache>
                <c:formatCode>General</c:formatCode>
                <c:ptCount val="15"/>
                <c:pt idx="0">
                  <c:v>11.37</c:v>
                </c:pt>
                <c:pt idx="1">
                  <c:v>11.85</c:v>
                </c:pt>
                <c:pt idx="2">
                  <c:v>12.1</c:v>
                </c:pt>
                <c:pt idx="3">
                  <c:v>12.1</c:v>
                </c:pt>
                <c:pt idx="4">
                  <c:v>11.73</c:v>
                </c:pt>
                <c:pt idx="5">
                  <c:v>10.4</c:v>
                </c:pt>
                <c:pt idx="6">
                  <c:v>9.9</c:v>
                </c:pt>
                <c:pt idx="7">
                  <c:v>9.1</c:v>
                </c:pt>
                <c:pt idx="8">
                  <c:v>8.51</c:v>
                </c:pt>
                <c:pt idx="9" formatCode="0.00">
                  <c:v>8.2200000000000006</c:v>
                </c:pt>
                <c:pt idx="10" formatCode="0.00">
                  <c:v>7.4</c:v>
                </c:pt>
                <c:pt idx="11" formatCode="0.00">
                  <c:v>6.62</c:v>
                </c:pt>
                <c:pt idx="12" formatCode="0.00">
                  <c:v>6.27</c:v>
                </c:pt>
                <c:pt idx="13" formatCode="0.00">
                  <c:v>5.7</c:v>
                </c:pt>
                <c:pt idx="14">
                  <c:v>5.82</c:v>
                </c:pt>
              </c:numCache>
            </c:numRef>
          </c:val>
          <c:smooth val="0"/>
          <c:extLst>
            <c:ext xmlns:c16="http://schemas.microsoft.com/office/drawing/2014/chart" uri="{C3380CC4-5D6E-409C-BE32-E72D297353CC}">
              <c16:uniqueId val="{00000000-9A18-45AE-80DD-C98F62F16947}"/>
            </c:ext>
          </c:extLst>
        </c:ser>
        <c:ser>
          <c:idx val="1"/>
          <c:order val="1"/>
          <c:tx>
            <c:strRef>
              <c:f>'1-23-11'!$E$3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'1-23-11'!$E$8:$E$22</c:f>
              <c:numCache>
                <c:formatCode>General</c:formatCode>
                <c:ptCount val="15"/>
                <c:pt idx="0">
                  <c:v>3.8</c:v>
                </c:pt>
                <c:pt idx="1">
                  <c:v>4.5999999999999996</c:v>
                </c:pt>
                <c:pt idx="2">
                  <c:v>4.5999999999999996</c:v>
                </c:pt>
                <c:pt idx="3">
                  <c:v>4.5999999999999996</c:v>
                </c:pt>
                <c:pt idx="4">
                  <c:v>4.4000000000000004</c:v>
                </c:pt>
                <c:pt idx="5">
                  <c:v>4.3</c:v>
                </c:pt>
                <c:pt idx="6">
                  <c:v>4.2</c:v>
                </c:pt>
                <c:pt idx="7">
                  <c:v>4.0999999999999996</c:v>
                </c:pt>
                <c:pt idx="8">
                  <c:v>4</c:v>
                </c:pt>
                <c:pt idx="9" formatCode="0.00">
                  <c:v>4</c:v>
                </c:pt>
                <c:pt idx="10" formatCode="0.00">
                  <c:v>4</c:v>
                </c:pt>
                <c:pt idx="11" formatCode="0.00">
                  <c:v>4.0999999999999996</c:v>
                </c:pt>
                <c:pt idx="12" formatCode="0.00">
                  <c:v>4.2</c:v>
                </c:pt>
                <c:pt idx="13" formatCode="0.00">
                  <c:v>4.3</c:v>
                </c:pt>
                <c:pt idx="14">
                  <c:v>4.3</c:v>
                </c:pt>
              </c:numCache>
            </c:numRef>
          </c:val>
          <c:smooth val="0"/>
          <c:extLst>
            <c:ext xmlns:c16="http://schemas.microsoft.com/office/drawing/2014/chart" uri="{C3380CC4-5D6E-409C-BE32-E72D297353CC}">
              <c16:uniqueId val="{00000001-9A18-45AE-80DD-C98F62F16947}"/>
            </c:ext>
          </c:extLst>
        </c:ser>
        <c:dLbls>
          <c:showLegendKey val="0"/>
          <c:showVal val="0"/>
          <c:showCatName val="0"/>
          <c:showSerName val="0"/>
          <c:showPercent val="0"/>
          <c:showBubbleSize val="0"/>
        </c:dLbls>
        <c:smooth val="0"/>
        <c:axId val="137624192"/>
        <c:axId val="137658752"/>
      </c:lineChart>
      <c:catAx>
        <c:axId val="137624192"/>
        <c:scaling>
          <c:orientation val="minMax"/>
        </c:scaling>
        <c:delete val="0"/>
        <c:axPos val="b"/>
        <c:minorGridlines/>
        <c:numFmt formatCode="General" sourceLinked="0"/>
        <c:majorTickMark val="out"/>
        <c:minorTickMark val="none"/>
        <c:tickLblPos val="nextTo"/>
        <c:crossAx val="137658752"/>
        <c:crosses val="autoZero"/>
        <c:auto val="1"/>
        <c:lblAlgn val="ctr"/>
        <c:lblOffset val="100"/>
        <c:noMultiLvlLbl val="0"/>
      </c:catAx>
      <c:valAx>
        <c:axId val="137658752"/>
        <c:scaling>
          <c:orientation val="minMax"/>
        </c:scaling>
        <c:delete val="0"/>
        <c:axPos val="l"/>
        <c:majorGridlines/>
        <c:minorGridlines/>
        <c:numFmt formatCode="General" sourceLinked="1"/>
        <c:majorTickMark val="out"/>
        <c:minorTickMark val="none"/>
        <c:tickLblPos val="nextTo"/>
        <c:crossAx val="137624192"/>
        <c:crosses val="autoZero"/>
        <c:crossBetween val="midCat"/>
      </c:valAx>
    </c:plotArea>
    <c:legend>
      <c:legendPos val="r"/>
      <c:layout>
        <c:manualLayout>
          <c:xMode val="edge"/>
          <c:yMode val="edge"/>
          <c:x val="0.76062488188976385"/>
          <c:y val="0.15853370940572944"/>
          <c:w val="0.14748622047244808"/>
          <c:h val="0.15758530183727845"/>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1/24/201</a:t>
            </a:r>
          </a:p>
        </c:rich>
      </c:tx>
      <c:overlay val="0"/>
    </c:title>
    <c:autoTitleDeleted val="0"/>
    <c:plotArea>
      <c:layout/>
      <c:lineChart>
        <c:grouping val="standard"/>
        <c:varyColors val="0"/>
        <c:ser>
          <c:idx val="0"/>
          <c:order val="0"/>
          <c:tx>
            <c:strRef>
              <c:f>'1-23-11'!$A$44</c:f>
              <c:strCache>
                <c:ptCount val="1"/>
                <c:pt idx="0">
                  <c:v>Site 41 (1)</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'1-23-11'!$D$45:$D$53</c:f>
              <c:numCache>
                <c:formatCode>General</c:formatCode>
                <c:ptCount val="9"/>
                <c:pt idx="0">
                  <c:v>12.1</c:v>
                </c:pt>
                <c:pt idx="1">
                  <c:v>12.1</c:v>
                </c:pt>
                <c:pt idx="2">
                  <c:v>12.1</c:v>
                </c:pt>
                <c:pt idx="3">
                  <c:v>11.21</c:v>
                </c:pt>
                <c:pt idx="4">
                  <c:v>11.21</c:v>
                </c:pt>
                <c:pt idx="5">
                  <c:v>11.01</c:v>
                </c:pt>
                <c:pt idx="6">
                  <c:v>9.33</c:v>
                </c:pt>
                <c:pt idx="7">
                  <c:v>9.1199999999999992</c:v>
                </c:pt>
                <c:pt idx="8">
                  <c:v>6.33</c:v>
                </c:pt>
              </c:numCache>
            </c:numRef>
          </c:val>
          <c:smooth val="0"/>
          <c:extLst>
            <c:ext xmlns:c16="http://schemas.microsoft.com/office/drawing/2014/chart" uri="{C3380CC4-5D6E-409C-BE32-E72D297353CC}">
              <c16:uniqueId val="{00000000-E4D4-48C3-8D84-885249035D77}"/>
            </c:ext>
          </c:extLst>
        </c:ser>
        <c:ser>
          <c:idx val="1"/>
          <c:order val="1"/>
          <c:tx>
            <c:strRef>
              <c:f>'1-23-11'!$A$54</c:f>
              <c:strCache>
                <c:ptCount val="1"/>
                <c:pt idx="0">
                  <c:v>Site 42 (3)</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'1-23-11'!$D$55:$D$66</c:f>
              <c:numCache>
                <c:formatCode>General</c:formatCode>
                <c:ptCount val="12"/>
                <c:pt idx="0">
                  <c:v>11.92</c:v>
                </c:pt>
                <c:pt idx="1">
                  <c:v>11.92</c:v>
                </c:pt>
                <c:pt idx="2">
                  <c:v>11.8</c:v>
                </c:pt>
                <c:pt idx="3">
                  <c:v>11.61</c:v>
                </c:pt>
                <c:pt idx="4">
                  <c:v>11.35</c:v>
                </c:pt>
                <c:pt idx="5">
                  <c:v>10.14</c:v>
                </c:pt>
                <c:pt idx="6">
                  <c:v>9.15</c:v>
                </c:pt>
                <c:pt idx="7">
                  <c:v>8.92</c:v>
                </c:pt>
                <c:pt idx="8">
                  <c:v>8.1</c:v>
                </c:pt>
                <c:pt idx="9">
                  <c:v>7.36</c:v>
                </c:pt>
                <c:pt idx="10">
                  <c:v>4.8499999999999996</c:v>
                </c:pt>
                <c:pt idx="11">
                  <c:v>2.2799999999999998</c:v>
                </c:pt>
              </c:numCache>
            </c:numRef>
          </c:val>
          <c:smooth val="0"/>
          <c:extLst>
            <c:ext xmlns:c16="http://schemas.microsoft.com/office/drawing/2014/chart" uri="{C3380CC4-5D6E-409C-BE32-E72D297353CC}">
              <c16:uniqueId val="{00000001-E4D4-48C3-8D84-885249035D77}"/>
            </c:ext>
          </c:extLst>
        </c:ser>
        <c:ser>
          <c:idx val="2"/>
          <c:order val="2"/>
          <c:tx>
            <c:strRef>
              <c:f>'1-23-11'!$A$67</c:f>
              <c:strCache>
                <c:ptCount val="1"/>
                <c:pt idx="0">
                  <c:v>Site 43 (4)</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'1-23-11'!$D$68:$D$75</c:f>
              <c:numCache>
                <c:formatCode>General</c:formatCode>
                <c:ptCount val="8"/>
                <c:pt idx="0">
                  <c:v>11.42</c:v>
                </c:pt>
                <c:pt idx="1">
                  <c:v>11.88</c:v>
                </c:pt>
                <c:pt idx="2">
                  <c:v>11.7</c:v>
                </c:pt>
                <c:pt idx="3">
                  <c:v>11.84</c:v>
                </c:pt>
                <c:pt idx="4">
                  <c:v>11.32</c:v>
                </c:pt>
                <c:pt idx="5">
                  <c:v>11.2</c:v>
                </c:pt>
                <c:pt idx="6">
                  <c:v>11.1</c:v>
                </c:pt>
                <c:pt idx="7">
                  <c:v>10.5</c:v>
                </c:pt>
              </c:numCache>
            </c:numRef>
          </c:val>
          <c:smooth val="0"/>
          <c:extLst>
            <c:ext xmlns:c16="http://schemas.microsoft.com/office/drawing/2014/chart" uri="{C3380CC4-5D6E-409C-BE32-E72D297353CC}">
              <c16:uniqueId val="{00000002-E4D4-48C3-8D84-885249035D77}"/>
            </c:ext>
          </c:extLst>
        </c:ser>
        <c:ser>
          <c:idx val="3"/>
          <c:order val="3"/>
          <c:tx>
            <c:strRef>
              <c:f>'1-23-11'!$A$76</c:f>
              <c:strCache>
                <c:ptCount val="1"/>
                <c:pt idx="0">
                  <c:v>Site 44 (5)</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'1-23-11'!$D$77:$D$86</c:f>
              <c:numCache>
                <c:formatCode>General</c:formatCode>
                <c:ptCount val="10"/>
                <c:pt idx="0">
                  <c:v>11.63</c:v>
                </c:pt>
                <c:pt idx="1">
                  <c:v>11.5</c:v>
                </c:pt>
                <c:pt idx="2">
                  <c:v>11.4</c:v>
                </c:pt>
                <c:pt idx="3">
                  <c:v>11.55</c:v>
                </c:pt>
                <c:pt idx="4">
                  <c:v>11.4</c:v>
                </c:pt>
                <c:pt idx="5">
                  <c:v>10.46</c:v>
                </c:pt>
                <c:pt idx="6">
                  <c:v>10.52</c:v>
                </c:pt>
                <c:pt idx="7">
                  <c:v>9.56</c:v>
                </c:pt>
                <c:pt idx="8">
                  <c:v>9.3800000000000008</c:v>
                </c:pt>
                <c:pt idx="9">
                  <c:v>6.2</c:v>
                </c:pt>
              </c:numCache>
            </c:numRef>
          </c:val>
          <c:smooth val="0"/>
          <c:extLst>
            <c:ext xmlns:c16="http://schemas.microsoft.com/office/drawing/2014/chart" uri="{C3380CC4-5D6E-409C-BE32-E72D297353CC}">
              <c16:uniqueId val="{00000003-E4D4-48C3-8D84-885249035D77}"/>
            </c:ext>
          </c:extLst>
        </c:ser>
        <c:ser>
          <c:idx val="4"/>
          <c:order val="4"/>
          <c:tx>
            <c:strRef>
              <c:f>'1-23-11'!$B$7</c:f>
              <c:strCache>
                <c:ptCount val="1"/>
                <c:pt idx="0">
                  <c:v>Site 40 (CP)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'1-23-11'!$D$8:$D$22</c:f>
              <c:numCache>
                <c:formatCode>General</c:formatCode>
                <c:ptCount val="15"/>
                <c:pt idx="0">
                  <c:v>11.37</c:v>
                </c:pt>
                <c:pt idx="1">
                  <c:v>11.85</c:v>
                </c:pt>
                <c:pt idx="2">
                  <c:v>12.1</c:v>
                </c:pt>
                <c:pt idx="3">
                  <c:v>12.1</c:v>
                </c:pt>
                <c:pt idx="4">
                  <c:v>11.73</c:v>
                </c:pt>
                <c:pt idx="5">
                  <c:v>10.4</c:v>
                </c:pt>
                <c:pt idx="6">
                  <c:v>9.9</c:v>
                </c:pt>
                <c:pt idx="7">
                  <c:v>9.1</c:v>
                </c:pt>
                <c:pt idx="8">
                  <c:v>8.51</c:v>
                </c:pt>
                <c:pt idx="9" formatCode="0.00">
                  <c:v>8.2200000000000006</c:v>
                </c:pt>
                <c:pt idx="10" formatCode="0.00">
                  <c:v>7.4</c:v>
                </c:pt>
                <c:pt idx="11" formatCode="0.00">
                  <c:v>6.62</c:v>
                </c:pt>
                <c:pt idx="12" formatCode="0.00">
                  <c:v>6.27</c:v>
                </c:pt>
                <c:pt idx="13" formatCode="0.00">
                  <c:v>5.7</c:v>
                </c:pt>
                <c:pt idx="14">
                  <c:v>5.82</c:v>
                </c:pt>
              </c:numCache>
            </c:numRef>
          </c:val>
          <c:smooth val="0"/>
          <c:extLst>
            <c:ext xmlns:c16="http://schemas.microsoft.com/office/drawing/2014/chart" uri="{C3380CC4-5D6E-409C-BE32-E72D297353CC}">
              <c16:uniqueId val="{00000004-E4D4-48C3-8D84-885249035D77}"/>
            </c:ext>
          </c:extLst>
        </c:ser>
        <c:dLbls>
          <c:showLegendKey val="0"/>
          <c:showVal val="0"/>
          <c:showCatName val="0"/>
          <c:showSerName val="0"/>
          <c:showPercent val="0"/>
          <c:showBubbleSize val="0"/>
        </c:dLbls>
        <c:smooth val="0"/>
        <c:axId val="137763840"/>
        <c:axId val="137769728"/>
      </c:lineChart>
      <c:catAx>
        <c:axId val="137763840"/>
        <c:scaling>
          <c:orientation val="minMax"/>
        </c:scaling>
        <c:delete val="0"/>
        <c:axPos val="b"/>
        <c:numFmt formatCode="General" sourceLinked="0"/>
        <c:majorTickMark val="none"/>
        <c:minorTickMark val="none"/>
        <c:tickLblPos val="nextTo"/>
        <c:crossAx val="137769728"/>
        <c:crosses val="autoZero"/>
        <c:auto val="1"/>
        <c:lblAlgn val="ctr"/>
        <c:lblOffset val="100"/>
        <c:noMultiLvlLbl val="0"/>
      </c:catAx>
      <c:valAx>
        <c:axId val="137769728"/>
        <c:scaling>
          <c:orientation val="minMax"/>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37763840"/>
        <c:crosses val="autoZero"/>
        <c:crossBetween val="between"/>
      </c:valAx>
    </c:plotArea>
    <c:legend>
      <c:legendPos val="r"/>
      <c:layout>
        <c:manualLayout>
          <c:xMode val="edge"/>
          <c:yMode val="edge"/>
          <c:x val="0.80383606722756107"/>
          <c:y val="0.22371135899679478"/>
          <c:w val="0.18977029188692618"/>
          <c:h val="0.4185859580052537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0888" l="0.70000000000000062" r="0.70000000000000062" t="0.75000000000000888"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Conducatance Profiles 1/24/2011</a:t>
            </a:r>
          </a:p>
        </c:rich>
      </c:tx>
      <c:overlay val="0"/>
    </c:title>
    <c:autoTitleDeleted val="0"/>
    <c:plotArea>
      <c:layout/>
      <c:lineChart>
        <c:grouping val="standard"/>
        <c:varyColors val="0"/>
        <c:ser>
          <c:idx val="0"/>
          <c:order val="0"/>
          <c:tx>
            <c:strRef>
              <c:f>'1-23-11'!$A$44</c:f>
              <c:strCache>
                <c:ptCount val="1"/>
                <c:pt idx="0">
                  <c:v>Site 41 (1)</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'1-23-11'!$C$45:$C$53</c:f>
              <c:numCache>
                <c:formatCode>General</c:formatCode>
                <c:ptCount val="9"/>
                <c:pt idx="0">
                  <c:v>0.439</c:v>
                </c:pt>
                <c:pt idx="1">
                  <c:v>0.438</c:v>
                </c:pt>
                <c:pt idx="2">
                  <c:v>0.44600000000000001</c:v>
                </c:pt>
                <c:pt idx="3">
                  <c:v>0.45300000000000001</c:v>
                </c:pt>
                <c:pt idx="4">
                  <c:v>0.45900000000000002</c:v>
                </c:pt>
                <c:pt idx="5">
                  <c:v>0.46899999999999997</c:v>
                </c:pt>
                <c:pt idx="6">
                  <c:v>0.47399999999999998</c:v>
                </c:pt>
                <c:pt idx="7">
                  <c:v>0.48199999999999998</c:v>
                </c:pt>
                <c:pt idx="8">
                  <c:v>0.499</c:v>
                </c:pt>
              </c:numCache>
            </c:numRef>
          </c:val>
          <c:smooth val="0"/>
          <c:extLst>
            <c:ext xmlns:c16="http://schemas.microsoft.com/office/drawing/2014/chart" uri="{C3380CC4-5D6E-409C-BE32-E72D297353CC}">
              <c16:uniqueId val="{00000000-7087-42F5-B4BC-9D4B2BB6BB4B}"/>
            </c:ext>
          </c:extLst>
        </c:ser>
        <c:ser>
          <c:idx val="1"/>
          <c:order val="1"/>
          <c:tx>
            <c:strRef>
              <c:f>'1-23-11'!$B$7</c:f>
              <c:strCache>
                <c:ptCount val="1"/>
                <c:pt idx="0">
                  <c:v>Site 40 (CP)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'1-23-11'!$C$8:$C$22</c:f>
              <c:numCache>
                <c:formatCode>General</c:formatCode>
                <c:ptCount val="15"/>
                <c:pt idx="0">
                  <c:v>0.40799999999999997</c:v>
                </c:pt>
                <c:pt idx="1">
                  <c:v>0.432</c:v>
                </c:pt>
                <c:pt idx="2">
                  <c:v>0.44400000000000001</c:v>
                </c:pt>
                <c:pt idx="3">
                  <c:v>0.45300000000000001</c:v>
                </c:pt>
                <c:pt idx="4">
                  <c:v>0.46</c:v>
                </c:pt>
                <c:pt idx="5">
                  <c:v>0.46700000000000003</c:v>
                </c:pt>
                <c:pt idx="6">
                  <c:v>0.47499999999999998</c:v>
                </c:pt>
                <c:pt idx="7">
                  <c:v>0.48099999999999998</c:v>
                </c:pt>
                <c:pt idx="8">
                  <c:v>0.49299999999999999</c:v>
                </c:pt>
                <c:pt idx="9">
                  <c:v>0.53500000000000003</c:v>
                </c:pt>
                <c:pt idx="10">
                  <c:v>0.49199999999999999</c:v>
                </c:pt>
                <c:pt idx="11">
                  <c:v>0.625</c:v>
                </c:pt>
                <c:pt idx="12">
                  <c:v>0.67100000000000004</c:v>
                </c:pt>
                <c:pt idx="13">
                  <c:v>0.71299999999999997</c:v>
                </c:pt>
                <c:pt idx="14">
                  <c:v>0.78300000000000003</c:v>
                </c:pt>
              </c:numCache>
            </c:numRef>
          </c:val>
          <c:smooth val="0"/>
          <c:extLst>
            <c:ext xmlns:c16="http://schemas.microsoft.com/office/drawing/2014/chart" uri="{C3380CC4-5D6E-409C-BE32-E72D297353CC}">
              <c16:uniqueId val="{00000001-7087-42F5-B4BC-9D4B2BB6BB4B}"/>
            </c:ext>
          </c:extLst>
        </c:ser>
        <c:ser>
          <c:idx val="3"/>
          <c:order val="2"/>
          <c:tx>
            <c:strRef>
              <c:f>'1-23-11'!$A$54</c:f>
              <c:strCache>
                <c:ptCount val="1"/>
                <c:pt idx="0">
                  <c:v>Site 42 (3)</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'1-23-11'!$C$55:$C$66</c:f>
              <c:numCache>
                <c:formatCode>General</c:formatCode>
                <c:ptCount val="12"/>
                <c:pt idx="0">
                  <c:v>0.41699999999999998</c:v>
                </c:pt>
                <c:pt idx="1">
                  <c:v>0.43099999999999999</c:v>
                </c:pt>
                <c:pt idx="2">
                  <c:v>0.44700000000000001</c:v>
                </c:pt>
                <c:pt idx="3">
                  <c:v>0.45500000000000002</c:v>
                </c:pt>
                <c:pt idx="4">
                  <c:v>0.44700000000000001</c:v>
                </c:pt>
                <c:pt idx="5">
                  <c:v>0.47399999999999998</c:v>
                </c:pt>
                <c:pt idx="6">
                  <c:v>0.47799999999999998</c:v>
                </c:pt>
                <c:pt idx="7">
                  <c:v>0.48299999999999998</c:v>
                </c:pt>
                <c:pt idx="8">
                  <c:v>0.504</c:v>
                </c:pt>
                <c:pt idx="9">
                  <c:v>0.53900000000000003</c:v>
                </c:pt>
                <c:pt idx="10">
                  <c:v>0.57299999999999995</c:v>
                </c:pt>
                <c:pt idx="11">
                  <c:v>0.67700000000000005</c:v>
                </c:pt>
              </c:numCache>
            </c:numRef>
          </c:val>
          <c:smooth val="0"/>
          <c:extLst>
            <c:ext xmlns:c16="http://schemas.microsoft.com/office/drawing/2014/chart" uri="{C3380CC4-5D6E-409C-BE32-E72D297353CC}">
              <c16:uniqueId val="{00000002-7087-42F5-B4BC-9D4B2BB6BB4B}"/>
            </c:ext>
          </c:extLst>
        </c:ser>
        <c:ser>
          <c:idx val="4"/>
          <c:order val="3"/>
          <c:tx>
            <c:strRef>
              <c:f>'1-23-11'!$A$67</c:f>
              <c:strCache>
                <c:ptCount val="1"/>
                <c:pt idx="0">
                  <c:v>Site 43 (4)</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'1-23-11'!$C$68:$C$75</c:f>
              <c:numCache>
                <c:formatCode>General</c:formatCode>
                <c:ptCount val="8"/>
                <c:pt idx="0">
                  <c:v>0.41699999999999998</c:v>
                </c:pt>
                <c:pt idx="1">
                  <c:v>0.437</c:v>
                </c:pt>
                <c:pt idx="2">
                  <c:v>0.443</c:v>
                </c:pt>
                <c:pt idx="3">
                  <c:v>0.45800000000000002</c:v>
                </c:pt>
                <c:pt idx="4">
                  <c:v>0.46300000000000002</c:v>
                </c:pt>
                <c:pt idx="5">
                  <c:v>0.46700000000000003</c:v>
                </c:pt>
                <c:pt idx="6">
                  <c:v>0.47499999999999998</c:v>
                </c:pt>
                <c:pt idx="7">
                  <c:v>0.50700000000000001</c:v>
                </c:pt>
              </c:numCache>
            </c:numRef>
          </c:val>
          <c:smooth val="0"/>
          <c:extLst>
            <c:ext xmlns:c16="http://schemas.microsoft.com/office/drawing/2014/chart" uri="{C3380CC4-5D6E-409C-BE32-E72D297353CC}">
              <c16:uniqueId val="{00000003-7087-42F5-B4BC-9D4B2BB6BB4B}"/>
            </c:ext>
          </c:extLst>
        </c:ser>
        <c:ser>
          <c:idx val="5"/>
          <c:order val="4"/>
          <c:tx>
            <c:strRef>
              <c:f>'1-23-11'!$A$76</c:f>
              <c:strCache>
                <c:ptCount val="1"/>
                <c:pt idx="0">
                  <c:v>Site 44 (5)</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'1-23-11'!$C$77:$C$86</c:f>
              <c:numCache>
                <c:formatCode>General</c:formatCode>
                <c:ptCount val="10"/>
                <c:pt idx="0">
                  <c:v>0.41399999999999998</c:v>
                </c:pt>
                <c:pt idx="1">
                  <c:v>0.44400000000000001</c:v>
                </c:pt>
                <c:pt idx="2">
                  <c:v>0.45100000000000001</c:v>
                </c:pt>
                <c:pt idx="3">
                  <c:v>0.45300000000000001</c:v>
                </c:pt>
                <c:pt idx="4">
                  <c:v>0.46</c:v>
                </c:pt>
                <c:pt idx="5">
                  <c:v>0.46899999999999997</c:v>
                </c:pt>
                <c:pt idx="6">
                  <c:v>0.47799999999999998</c:v>
                </c:pt>
                <c:pt idx="7">
                  <c:v>0.49299999999999999</c:v>
                </c:pt>
                <c:pt idx="8">
                  <c:v>0.51200000000000001</c:v>
                </c:pt>
                <c:pt idx="9">
                  <c:v>0.54800000000000004</c:v>
                </c:pt>
              </c:numCache>
            </c:numRef>
          </c:val>
          <c:smooth val="0"/>
          <c:extLst>
            <c:ext xmlns:c16="http://schemas.microsoft.com/office/drawing/2014/chart" uri="{C3380CC4-5D6E-409C-BE32-E72D297353CC}">
              <c16:uniqueId val="{00000004-7087-42F5-B4BC-9D4B2BB6BB4B}"/>
            </c:ext>
          </c:extLst>
        </c:ser>
        <c:dLbls>
          <c:showLegendKey val="0"/>
          <c:showVal val="0"/>
          <c:showCatName val="0"/>
          <c:showSerName val="0"/>
          <c:showPercent val="0"/>
          <c:showBubbleSize val="0"/>
        </c:dLbls>
        <c:smooth val="0"/>
        <c:axId val="137809920"/>
        <c:axId val="137811456"/>
      </c:lineChart>
      <c:catAx>
        <c:axId val="137809920"/>
        <c:scaling>
          <c:orientation val="minMax"/>
        </c:scaling>
        <c:delete val="0"/>
        <c:axPos val="b"/>
        <c:numFmt formatCode="General" sourceLinked="0"/>
        <c:majorTickMark val="none"/>
        <c:minorTickMark val="none"/>
        <c:tickLblPos val="nextTo"/>
        <c:crossAx val="137811456"/>
        <c:crosses val="autoZero"/>
        <c:auto val="1"/>
        <c:lblAlgn val="ctr"/>
        <c:lblOffset val="100"/>
        <c:noMultiLvlLbl val="0"/>
      </c:catAx>
      <c:valAx>
        <c:axId val="137811456"/>
        <c:scaling>
          <c:orientation val="minMax"/>
          <c:min val="0.4"/>
        </c:scaling>
        <c:delete val="0"/>
        <c:axPos val="l"/>
        <c:majorGridlines/>
        <c:title>
          <c:tx>
            <c:rich>
              <a:bodyPr/>
              <a:lstStyle/>
              <a:p>
                <a:pPr>
                  <a:defRPr/>
                </a:pPr>
                <a:r>
                  <a:rPr lang="en-US"/>
                  <a:t>SC (us)</a:t>
                </a:r>
              </a:p>
            </c:rich>
          </c:tx>
          <c:overlay val="0"/>
        </c:title>
        <c:numFmt formatCode="General" sourceLinked="1"/>
        <c:majorTickMark val="none"/>
        <c:minorTickMark val="none"/>
        <c:tickLblPos val="nextTo"/>
        <c:crossAx val="137809920"/>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888" l="0.70000000000000062" r="0.70000000000000062" t="0.75000000000000888"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1/24/2011</a:t>
            </a:r>
          </a:p>
        </c:rich>
      </c:tx>
      <c:overlay val="0"/>
    </c:title>
    <c:autoTitleDeleted val="0"/>
    <c:plotArea>
      <c:layout/>
      <c:lineChart>
        <c:grouping val="standard"/>
        <c:varyColors val="0"/>
        <c:ser>
          <c:idx val="0"/>
          <c:order val="0"/>
          <c:tx>
            <c:strRef>
              <c:f>'1-23-11'!$B$7</c:f>
              <c:strCache>
                <c:ptCount val="1"/>
                <c:pt idx="0">
                  <c:v>Site 40 (CP)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'1-23-11'!$F$8:$F$22</c:f>
              <c:numCache>
                <c:formatCode>General</c:formatCode>
                <c:ptCount val="15"/>
                <c:pt idx="0">
                  <c:v>8.52</c:v>
                </c:pt>
                <c:pt idx="1">
                  <c:v>8.5399999999999991</c:v>
                </c:pt>
                <c:pt idx="2">
                  <c:v>8.52</c:v>
                </c:pt>
                <c:pt idx="3">
                  <c:v>8.5500000000000007</c:v>
                </c:pt>
                <c:pt idx="4">
                  <c:v>8.57</c:v>
                </c:pt>
                <c:pt idx="5">
                  <c:v>8.48</c:v>
                </c:pt>
                <c:pt idx="6">
                  <c:v>8.4</c:v>
                </c:pt>
                <c:pt idx="7">
                  <c:v>8.44</c:v>
                </c:pt>
                <c:pt idx="8">
                  <c:v>8.27</c:v>
                </c:pt>
                <c:pt idx="9">
                  <c:v>8.15</c:v>
                </c:pt>
                <c:pt idx="10">
                  <c:v>8.1199999999999992</c:v>
                </c:pt>
                <c:pt idx="11">
                  <c:v>8.06</c:v>
                </c:pt>
                <c:pt idx="12">
                  <c:v>7.95</c:v>
                </c:pt>
                <c:pt idx="13">
                  <c:v>7.92</c:v>
                </c:pt>
                <c:pt idx="14">
                  <c:v>7.87</c:v>
                </c:pt>
              </c:numCache>
            </c:numRef>
          </c:val>
          <c:smooth val="0"/>
          <c:extLst>
            <c:ext xmlns:c16="http://schemas.microsoft.com/office/drawing/2014/chart" uri="{C3380CC4-5D6E-409C-BE32-E72D297353CC}">
              <c16:uniqueId val="{00000000-26E8-427D-BCD8-6F6814AACF26}"/>
            </c:ext>
          </c:extLst>
        </c:ser>
        <c:ser>
          <c:idx val="1"/>
          <c:order val="1"/>
          <c:tx>
            <c:strRef>
              <c:f>'1-23-11'!$A$44</c:f>
              <c:strCache>
                <c:ptCount val="1"/>
                <c:pt idx="0">
                  <c:v>Site 41 (1)</c:v>
                </c:pt>
              </c:strCache>
            </c:strRef>
          </c:tx>
          <c:marker>
            <c:symbol val="none"/>
          </c:marker>
          <c:val>
            <c:numRef>
              <c:f>'1-23-11'!$F$45:$F$53</c:f>
              <c:numCache>
                <c:formatCode>General</c:formatCode>
                <c:ptCount val="9"/>
                <c:pt idx="0">
                  <c:v>8.6</c:v>
                </c:pt>
                <c:pt idx="1">
                  <c:v>8.5</c:v>
                </c:pt>
                <c:pt idx="2">
                  <c:v>8.4700000000000006</c:v>
                </c:pt>
                <c:pt idx="3">
                  <c:v>8.4600000000000009</c:v>
                </c:pt>
                <c:pt idx="4">
                  <c:v>8.43</c:v>
                </c:pt>
                <c:pt idx="5">
                  <c:v>8.31</c:v>
                </c:pt>
                <c:pt idx="6">
                  <c:v>8.33</c:v>
                </c:pt>
                <c:pt idx="7">
                  <c:v>8.24</c:v>
                </c:pt>
                <c:pt idx="8">
                  <c:v>8.11</c:v>
                </c:pt>
              </c:numCache>
            </c:numRef>
          </c:val>
          <c:smooth val="0"/>
          <c:extLst>
            <c:ext xmlns:c16="http://schemas.microsoft.com/office/drawing/2014/chart" uri="{C3380CC4-5D6E-409C-BE32-E72D297353CC}">
              <c16:uniqueId val="{00000001-26E8-427D-BCD8-6F6814AACF26}"/>
            </c:ext>
          </c:extLst>
        </c:ser>
        <c:ser>
          <c:idx val="2"/>
          <c:order val="2"/>
          <c:tx>
            <c:strRef>
              <c:f>'1-23-11'!$A$54</c:f>
              <c:strCache>
                <c:ptCount val="1"/>
                <c:pt idx="0">
                  <c:v>Site 42 (3)</c:v>
                </c:pt>
              </c:strCache>
            </c:strRef>
          </c:tx>
          <c:marker>
            <c:symbol val="none"/>
          </c:marker>
          <c:val>
            <c:numRef>
              <c:f>'1-23-11'!$F$55:$F$66</c:f>
              <c:numCache>
                <c:formatCode>General</c:formatCode>
                <c:ptCount val="12"/>
                <c:pt idx="0">
                  <c:v>8.6</c:v>
                </c:pt>
                <c:pt idx="1">
                  <c:v>8.32</c:v>
                </c:pt>
                <c:pt idx="2">
                  <c:v>8.39</c:v>
                </c:pt>
                <c:pt idx="3">
                  <c:v>8.43</c:v>
                </c:pt>
                <c:pt idx="4">
                  <c:v>8.48</c:v>
                </c:pt>
                <c:pt idx="5">
                  <c:v>8.35</c:v>
                </c:pt>
                <c:pt idx="6">
                  <c:v>8.33</c:v>
                </c:pt>
                <c:pt idx="7">
                  <c:v>8.25</c:v>
                </c:pt>
                <c:pt idx="8">
                  <c:v>8.14</c:v>
                </c:pt>
                <c:pt idx="9">
                  <c:v>8.1199999999999992</c:v>
                </c:pt>
                <c:pt idx="10">
                  <c:v>8.14</c:v>
                </c:pt>
                <c:pt idx="11">
                  <c:v>7.99</c:v>
                </c:pt>
              </c:numCache>
            </c:numRef>
          </c:val>
          <c:smooth val="0"/>
          <c:extLst>
            <c:ext xmlns:c16="http://schemas.microsoft.com/office/drawing/2014/chart" uri="{C3380CC4-5D6E-409C-BE32-E72D297353CC}">
              <c16:uniqueId val="{00000002-26E8-427D-BCD8-6F6814AACF26}"/>
            </c:ext>
          </c:extLst>
        </c:ser>
        <c:ser>
          <c:idx val="3"/>
          <c:order val="3"/>
          <c:tx>
            <c:strRef>
              <c:f>'1-23-11'!$A$67</c:f>
              <c:strCache>
                <c:ptCount val="1"/>
                <c:pt idx="0">
                  <c:v>Site 43 (4)</c:v>
                </c:pt>
              </c:strCache>
            </c:strRef>
          </c:tx>
          <c:marker>
            <c:symbol val="none"/>
          </c:marker>
          <c:val>
            <c:numRef>
              <c:f>'1-23-11'!$F$68:$F$75</c:f>
              <c:numCache>
                <c:formatCode>General</c:formatCode>
                <c:ptCount val="8"/>
                <c:pt idx="0">
                  <c:v>8.5</c:v>
                </c:pt>
                <c:pt idx="1">
                  <c:v>8.41</c:v>
                </c:pt>
                <c:pt idx="2">
                  <c:v>8.3800000000000008</c:v>
                </c:pt>
                <c:pt idx="3">
                  <c:v>8.39</c:v>
                </c:pt>
                <c:pt idx="4">
                  <c:v>8.34</c:v>
                </c:pt>
                <c:pt idx="5">
                  <c:v>8.35</c:v>
                </c:pt>
                <c:pt idx="6">
                  <c:v>8.3699999999999992</c:v>
                </c:pt>
                <c:pt idx="7">
                  <c:v>8.3000000000000007</c:v>
                </c:pt>
              </c:numCache>
            </c:numRef>
          </c:val>
          <c:smooth val="0"/>
          <c:extLst>
            <c:ext xmlns:c16="http://schemas.microsoft.com/office/drawing/2014/chart" uri="{C3380CC4-5D6E-409C-BE32-E72D297353CC}">
              <c16:uniqueId val="{00000003-26E8-427D-BCD8-6F6814AACF26}"/>
            </c:ext>
          </c:extLst>
        </c:ser>
        <c:ser>
          <c:idx val="4"/>
          <c:order val="4"/>
          <c:tx>
            <c:strRef>
              <c:f>'1-23-11'!$A$76</c:f>
              <c:strCache>
                <c:ptCount val="1"/>
                <c:pt idx="0">
                  <c:v>Site 44 (5)</c:v>
                </c:pt>
              </c:strCache>
            </c:strRef>
          </c:tx>
          <c:marker>
            <c:symbol val="none"/>
          </c:marker>
          <c:val>
            <c:numRef>
              <c:f>'1-23-11'!$F$77:$F$86</c:f>
              <c:numCache>
                <c:formatCode>General</c:formatCode>
                <c:ptCount val="10"/>
                <c:pt idx="0">
                  <c:v>8.49</c:v>
                </c:pt>
                <c:pt idx="1">
                  <c:v>8.39</c:v>
                </c:pt>
                <c:pt idx="2">
                  <c:v>8.43</c:v>
                </c:pt>
                <c:pt idx="3">
                  <c:v>8.44</c:v>
                </c:pt>
                <c:pt idx="4">
                  <c:v>8.32</c:v>
                </c:pt>
                <c:pt idx="5">
                  <c:v>8.36</c:v>
                </c:pt>
                <c:pt idx="6">
                  <c:v>8.34</c:v>
                </c:pt>
                <c:pt idx="7">
                  <c:v>8.25</c:v>
                </c:pt>
                <c:pt idx="8">
                  <c:v>8.16</c:v>
                </c:pt>
                <c:pt idx="9">
                  <c:v>8.1300000000000008</c:v>
                </c:pt>
              </c:numCache>
            </c:numRef>
          </c:val>
          <c:smooth val="0"/>
          <c:extLst>
            <c:ext xmlns:c16="http://schemas.microsoft.com/office/drawing/2014/chart" uri="{C3380CC4-5D6E-409C-BE32-E72D297353CC}">
              <c16:uniqueId val="{00000004-26E8-427D-BCD8-6F6814AACF26}"/>
            </c:ext>
          </c:extLst>
        </c:ser>
        <c:dLbls>
          <c:showLegendKey val="0"/>
          <c:showVal val="0"/>
          <c:showCatName val="0"/>
          <c:showSerName val="0"/>
          <c:showPercent val="0"/>
          <c:showBubbleSize val="0"/>
        </c:dLbls>
        <c:smooth val="0"/>
        <c:axId val="137847552"/>
        <c:axId val="137849088"/>
      </c:lineChart>
      <c:catAx>
        <c:axId val="137847552"/>
        <c:scaling>
          <c:orientation val="minMax"/>
        </c:scaling>
        <c:delete val="0"/>
        <c:axPos val="b"/>
        <c:numFmt formatCode="General" sourceLinked="0"/>
        <c:majorTickMark val="none"/>
        <c:minorTickMark val="none"/>
        <c:tickLblPos val="nextTo"/>
        <c:crossAx val="137849088"/>
        <c:crosses val="autoZero"/>
        <c:auto val="1"/>
        <c:lblAlgn val="ctr"/>
        <c:lblOffset val="100"/>
        <c:noMultiLvlLbl val="0"/>
      </c:catAx>
      <c:valAx>
        <c:axId val="137849088"/>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37847552"/>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888" l="0.70000000000000062" r="0.70000000000000062" t="0.75000000000000888"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(2/21/2011)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789"/>
        </c:manualLayout>
      </c:layout>
      <c:lineChart>
        <c:grouping val="standard"/>
        <c:varyColors val="0"/>
        <c:ser>
          <c:idx val="0"/>
          <c:order val="0"/>
          <c:tx>
            <c:strRef>
              <c:f>'2-21-11'!$D$3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'2-21-11'!$D$8:$D$22</c:f>
              <c:numCache>
                <c:formatCode>General</c:formatCode>
                <c:ptCount val="15"/>
                <c:pt idx="0">
                  <c:v>8.75</c:v>
                </c:pt>
                <c:pt idx="1">
                  <c:v>8.9</c:v>
                </c:pt>
                <c:pt idx="2">
                  <c:v>9.01</c:v>
                </c:pt>
                <c:pt idx="3">
                  <c:v>9.07</c:v>
                </c:pt>
                <c:pt idx="4">
                  <c:v>9.16</c:v>
                </c:pt>
                <c:pt idx="5">
                  <c:v>8.85</c:v>
                </c:pt>
                <c:pt idx="6">
                  <c:v>8.33</c:v>
                </c:pt>
                <c:pt idx="7">
                  <c:v>6.5</c:v>
                </c:pt>
                <c:pt idx="8">
                  <c:v>6.5</c:v>
                </c:pt>
                <c:pt idx="9" formatCode="0.00">
                  <c:v>5.7</c:v>
                </c:pt>
                <c:pt idx="10" formatCode="0.00">
                  <c:v>6.13</c:v>
                </c:pt>
                <c:pt idx="11" formatCode="0.00">
                  <c:v>6.25</c:v>
                </c:pt>
                <c:pt idx="12" formatCode="0.00">
                  <c:v>6.4</c:v>
                </c:pt>
                <c:pt idx="13" formatCode="0.00">
                  <c:v>4.6500000000000004</c:v>
                </c:pt>
              </c:numCache>
            </c:numRef>
          </c:val>
          <c:smooth val="0"/>
          <c:extLst>
            <c:ext xmlns:c16="http://schemas.microsoft.com/office/drawing/2014/chart" uri="{C3380CC4-5D6E-409C-BE32-E72D297353CC}">
              <c16:uniqueId val="{00000000-5A6E-4E20-ACA7-7C0A9DB05470}"/>
            </c:ext>
          </c:extLst>
        </c:ser>
        <c:ser>
          <c:idx val="1"/>
          <c:order val="1"/>
          <c:tx>
            <c:strRef>
              <c:f>'2-21-11'!$E$3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'2-21-11'!$E$8:$E$22</c:f>
              <c:numCache>
                <c:formatCode>General</c:formatCode>
                <c:ptCount val="15"/>
                <c:pt idx="0">
                  <c:v>5.3</c:v>
                </c:pt>
                <c:pt idx="1">
                  <c:v>5.4</c:v>
                </c:pt>
                <c:pt idx="2">
                  <c:v>5.4</c:v>
                </c:pt>
                <c:pt idx="3">
                  <c:v>5.3</c:v>
                </c:pt>
                <c:pt idx="4">
                  <c:v>4.8</c:v>
                </c:pt>
                <c:pt idx="5">
                  <c:v>4.5999999999999996</c:v>
                </c:pt>
                <c:pt idx="6">
                  <c:v>4.4000000000000004</c:v>
                </c:pt>
                <c:pt idx="7">
                  <c:v>4.2</c:v>
                </c:pt>
                <c:pt idx="8">
                  <c:v>4.2</c:v>
                </c:pt>
                <c:pt idx="9" formatCode="0.0">
                  <c:v>4.3</c:v>
                </c:pt>
                <c:pt idx="10" formatCode="0.0">
                  <c:v>4.3</c:v>
                </c:pt>
                <c:pt idx="11" formatCode="0.0">
                  <c:v>4.4000000000000004</c:v>
                </c:pt>
                <c:pt idx="12" formatCode="0.0">
                  <c:v>4.4000000000000004</c:v>
                </c:pt>
                <c:pt idx="13" formatCode="0.0">
                  <c:v>4.8</c:v>
                </c:pt>
              </c:numCache>
            </c:numRef>
          </c:val>
          <c:smooth val="0"/>
          <c:extLst>
            <c:ext xmlns:c16="http://schemas.microsoft.com/office/drawing/2014/chart" uri="{C3380CC4-5D6E-409C-BE32-E72D297353CC}">
              <c16:uniqueId val="{00000001-5A6E-4E20-ACA7-7C0A9DB05470}"/>
            </c:ext>
          </c:extLst>
        </c:ser>
        <c:dLbls>
          <c:showLegendKey val="0"/>
          <c:showVal val="0"/>
          <c:showCatName val="0"/>
          <c:showSerName val="0"/>
          <c:showPercent val="0"/>
          <c:showBubbleSize val="0"/>
        </c:dLbls>
        <c:smooth val="0"/>
        <c:axId val="137916416"/>
        <c:axId val="137917952"/>
      </c:lineChart>
      <c:catAx>
        <c:axId val="137916416"/>
        <c:scaling>
          <c:orientation val="minMax"/>
        </c:scaling>
        <c:delete val="0"/>
        <c:axPos val="b"/>
        <c:minorGridlines/>
        <c:numFmt formatCode="General" sourceLinked="0"/>
        <c:majorTickMark val="out"/>
        <c:minorTickMark val="none"/>
        <c:tickLblPos val="nextTo"/>
        <c:crossAx val="137917952"/>
        <c:crosses val="autoZero"/>
        <c:auto val="1"/>
        <c:lblAlgn val="ctr"/>
        <c:lblOffset val="100"/>
        <c:noMultiLvlLbl val="0"/>
      </c:catAx>
      <c:valAx>
        <c:axId val="137917952"/>
        <c:scaling>
          <c:orientation val="minMax"/>
        </c:scaling>
        <c:delete val="0"/>
        <c:axPos val="l"/>
        <c:majorGridlines/>
        <c:minorGridlines/>
        <c:numFmt formatCode="General" sourceLinked="1"/>
        <c:majorTickMark val="out"/>
        <c:minorTickMark val="none"/>
        <c:tickLblPos val="nextTo"/>
        <c:crossAx val="137916416"/>
        <c:crosses val="autoZero"/>
        <c:crossBetween val="midCat"/>
      </c:valAx>
    </c:plotArea>
    <c:legend>
      <c:legendPos val="r"/>
      <c:layout>
        <c:manualLayout>
          <c:xMode val="edge"/>
          <c:yMode val="edge"/>
          <c:x val="0.76062488188976385"/>
          <c:y val="0.15853370940572944"/>
          <c:w val="0.14748622047244819"/>
          <c:h val="0.15758530183727856"/>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Bear Creek Watershed - Nitrate Inflow Trend </a:t>
            </a:r>
          </a:p>
        </c:rich>
      </c:tx>
      <c:layout>
        <c:manualLayout>
          <c:xMode val="edge"/>
          <c:yMode val="edge"/>
          <c:x val="0.23296354992076071"/>
          <c:y val="3.3846153846153845E-2"/>
        </c:manualLayout>
      </c:layout>
      <c:overlay val="0"/>
      <c:spPr>
        <a:noFill/>
        <a:ln w="25400">
          <a:noFill/>
        </a:ln>
      </c:spPr>
    </c:title>
    <c:autoTitleDeleted val="0"/>
    <c:plotArea>
      <c:layout>
        <c:manualLayout>
          <c:layoutTarget val="inner"/>
          <c:xMode val="edge"/>
          <c:yMode val="edge"/>
          <c:x val="0.14616781237433921"/>
          <c:y val="0.14247349229643577"/>
          <c:w val="0.8270959139231373"/>
          <c:h val="0.72580835698181256"/>
        </c:manualLayout>
      </c:layout>
      <c:barChart>
        <c:barDir val="col"/>
        <c:grouping val="clustered"/>
        <c:varyColors val="0"/>
        <c:ser>
          <c:idx val="0"/>
          <c:order val="0"/>
          <c:tx>
            <c:strRef>
              <c:f>'Nitrate Trends'!$A$3</c:f>
              <c:strCache>
                <c:ptCount val="1"/>
                <c:pt idx="0">
                  <c:v>Bear Creek Inflow</c:v>
                </c:pt>
              </c:strCache>
            </c:strRef>
          </c:tx>
          <c:spPr>
            <a:solidFill>
              <a:srgbClr val="9999FF"/>
            </a:solidFill>
            <a:ln w="12700">
              <a:solidFill>
                <a:srgbClr val="000000"/>
              </a:solidFill>
              <a:prstDash val="solid"/>
            </a:ln>
          </c:spPr>
          <c:invertIfNegative val="0"/>
          <c:cat>
            <c:numRef>
              <c:f>'Nitrate Trends'!$B$3:$B$21</c:f>
              <c:numCache>
                <c:formatCode>General</c:formatCode>
                <c:ptCount val="1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numCache>
            </c:numRef>
          </c:cat>
          <c:val>
            <c:numRef>
              <c:f>'Nitrate Trends'!$C$3:$C$21</c:f>
              <c:numCache>
                <c:formatCode>0</c:formatCode>
                <c:ptCount val="19"/>
                <c:pt idx="0">
                  <c:v>773</c:v>
                </c:pt>
                <c:pt idx="1">
                  <c:v>1078</c:v>
                </c:pt>
                <c:pt idx="2">
                  <c:v>931</c:v>
                </c:pt>
                <c:pt idx="3">
                  <c:v>1253</c:v>
                </c:pt>
                <c:pt idx="4">
                  <c:v>1472</c:v>
                </c:pt>
                <c:pt idx="5">
                  <c:v>1932</c:v>
                </c:pt>
                <c:pt idx="6">
                  <c:v>1367.4375</c:v>
                </c:pt>
                <c:pt idx="7">
                  <c:v>798.58375000000012</c:v>
                </c:pt>
                <c:pt idx="8">
                  <c:v>525</c:v>
                </c:pt>
                <c:pt idx="9">
                  <c:v>521</c:v>
                </c:pt>
                <c:pt idx="10">
                  <c:v>1483</c:v>
                </c:pt>
                <c:pt idx="11">
                  <c:v>974</c:v>
                </c:pt>
                <c:pt idx="12">
                  <c:v>4314</c:v>
                </c:pt>
                <c:pt idx="13" formatCode="General">
                  <c:v>1757</c:v>
                </c:pt>
                <c:pt idx="14" formatCode="General">
                  <c:v>444</c:v>
                </c:pt>
                <c:pt idx="15" formatCode="General">
                  <c:v>1100</c:v>
                </c:pt>
                <c:pt idx="16" formatCode="General">
                  <c:v>1570</c:v>
                </c:pt>
                <c:pt idx="17" formatCode="General">
                  <c:v>747</c:v>
                </c:pt>
                <c:pt idx="18" formatCode="General">
                  <c:v>1093</c:v>
                </c:pt>
              </c:numCache>
            </c:numRef>
          </c:val>
          <c:extLst>
            <c:ext xmlns:c16="http://schemas.microsoft.com/office/drawing/2014/chart" uri="{C3380CC4-5D6E-409C-BE32-E72D297353CC}">
              <c16:uniqueId val="{00000000-3694-4C02-8263-FA44202855B6}"/>
            </c:ext>
          </c:extLst>
        </c:ser>
        <c:ser>
          <c:idx val="1"/>
          <c:order val="1"/>
          <c:tx>
            <c:strRef>
              <c:f>'Nitrate Trends'!$A$46</c:f>
              <c:strCache>
                <c:ptCount val="1"/>
              </c:strCache>
            </c:strRef>
          </c:tx>
          <c:spPr>
            <a:solidFill>
              <a:srgbClr val="993366"/>
            </a:solidFill>
            <a:ln w="12700">
              <a:solidFill>
                <a:srgbClr val="000000"/>
              </a:solidFill>
              <a:prstDash val="solid"/>
            </a:ln>
          </c:spPr>
          <c:invertIfNegative val="0"/>
          <c:cat>
            <c:numRef>
              <c:f>'Nitrate Trends'!$B$4:$B$20</c:f>
              <c:numCache>
                <c:formatCode>General</c:formatCode>
                <c:ptCount val="17"/>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numCache>
            </c:numRef>
          </c:cat>
          <c:val>
            <c:numRef>
              <c:f>'Nitrate Trends'!$C$46:$C$64</c:f>
              <c:numCache>
                <c:formatCode>0</c:formatCode>
                <c:ptCount val="19"/>
                <c:pt idx="1">
                  <c:v>1121</c:v>
                </c:pt>
                <c:pt idx="2">
                  <c:v>1590</c:v>
                </c:pt>
                <c:pt idx="3">
                  <c:v>2941</c:v>
                </c:pt>
                <c:pt idx="4">
                  <c:v>1224</c:v>
                </c:pt>
                <c:pt idx="5">
                  <c:v>963</c:v>
                </c:pt>
                <c:pt idx="6">
                  <c:v>476</c:v>
                </c:pt>
                <c:pt idx="7">
                  <c:v>618.3125</c:v>
                </c:pt>
                <c:pt idx="8">
                  <c:v>419.54062500000003</c:v>
                </c:pt>
                <c:pt idx="9">
                  <c:v>536</c:v>
                </c:pt>
                <c:pt idx="10">
                  <c:v>192</c:v>
                </c:pt>
                <c:pt idx="11">
                  <c:v>803</c:v>
                </c:pt>
                <c:pt idx="12">
                  <c:v>486</c:v>
                </c:pt>
                <c:pt idx="13">
                  <c:v>686</c:v>
                </c:pt>
                <c:pt idx="14" formatCode="General">
                  <c:v>764</c:v>
                </c:pt>
                <c:pt idx="15" formatCode="General">
                  <c:v>385</c:v>
                </c:pt>
                <c:pt idx="16" formatCode="General">
                  <c:v>481</c:v>
                </c:pt>
                <c:pt idx="17" formatCode="General">
                  <c:v>419</c:v>
                </c:pt>
                <c:pt idx="18" formatCode="General">
                  <c:v>410</c:v>
                </c:pt>
              </c:numCache>
            </c:numRef>
          </c:val>
          <c:extLst>
            <c:ext xmlns:c16="http://schemas.microsoft.com/office/drawing/2014/chart" uri="{C3380CC4-5D6E-409C-BE32-E72D297353CC}">
              <c16:uniqueId val="{00000001-3694-4C02-8263-FA44202855B6}"/>
            </c:ext>
          </c:extLst>
        </c:ser>
        <c:dLbls>
          <c:showLegendKey val="0"/>
          <c:showVal val="0"/>
          <c:showCatName val="0"/>
          <c:showSerName val="0"/>
          <c:showPercent val="0"/>
          <c:showBubbleSize val="0"/>
        </c:dLbls>
        <c:gapWidth val="150"/>
        <c:axId val="86320256"/>
        <c:axId val="86321792"/>
      </c:barChart>
      <c:catAx>
        <c:axId val="86320256"/>
        <c:scaling>
          <c:orientation val="minMax"/>
        </c:scaling>
        <c:delete val="0"/>
        <c:axPos val="b"/>
        <c:numFmt formatCode="0" sourceLinked="0"/>
        <c:majorTickMark val="out"/>
        <c:minorTickMark val="none"/>
        <c:tickLblPos val="nextTo"/>
        <c:spPr>
          <a:ln w="3175">
            <a:solidFill>
              <a:srgbClr val="000000"/>
            </a:solidFill>
            <a:prstDash val="solid"/>
          </a:ln>
        </c:spPr>
        <c:txPr>
          <a:bodyPr rot="-2700000" vert="horz"/>
          <a:lstStyle/>
          <a:p>
            <a:pPr>
              <a:defRPr sz="700" b="1" i="0" u="none" strike="noStrike" baseline="0">
                <a:solidFill>
                  <a:srgbClr val="000000"/>
                </a:solidFill>
                <a:latin typeface="Arial"/>
                <a:ea typeface="Arial"/>
                <a:cs typeface="Arial"/>
              </a:defRPr>
            </a:pPr>
            <a:endParaRPr lang="en-US"/>
          </a:p>
        </c:txPr>
        <c:crossAx val="86321792"/>
        <c:crosses val="autoZero"/>
        <c:auto val="1"/>
        <c:lblAlgn val="ctr"/>
        <c:lblOffset val="100"/>
        <c:tickLblSkip val="1"/>
        <c:tickMarkSkip val="1"/>
        <c:noMultiLvlLbl val="0"/>
      </c:catAx>
      <c:valAx>
        <c:axId val="86321792"/>
        <c:scaling>
          <c:orientation val="minMax"/>
        </c:scaling>
        <c:delete val="0"/>
        <c:axPos val="l"/>
        <c:majorGridlines>
          <c:spPr>
            <a:ln w="3175">
              <a:solidFill>
                <a:srgbClr val="000000"/>
              </a:solidFill>
              <a:prstDash val="solid"/>
            </a:ln>
          </c:spPr>
        </c:majorGridlines>
        <c:minorGridlines/>
        <c:title>
          <c:tx>
            <c:rich>
              <a:bodyPr/>
              <a:lstStyle/>
              <a:p>
                <a:pPr>
                  <a:defRPr sz="1200" b="1" i="0" u="none" strike="noStrike" baseline="0">
                    <a:solidFill>
                      <a:srgbClr val="000000"/>
                    </a:solidFill>
                    <a:latin typeface="Arial"/>
                    <a:ea typeface="Arial"/>
                    <a:cs typeface="Arial"/>
                  </a:defRPr>
                </a:pPr>
                <a:r>
                  <a:rPr lang="en-US"/>
                  <a:t>Nitrate (ug/l)</a:t>
                </a:r>
              </a:p>
            </c:rich>
          </c:tx>
          <c:layout>
            <c:manualLayout>
              <c:xMode val="edge"/>
              <c:yMode val="edge"/>
              <c:x val="1.6042859935693463E-2"/>
              <c:y val="0.373656692913385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86320256"/>
        <c:crosses val="autoZero"/>
        <c:crossBetween val="between"/>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legend>
      <c:legendPos val="r"/>
      <c:layout>
        <c:manualLayout>
          <c:xMode val="edge"/>
          <c:yMode val="edge"/>
          <c:x val="0.19190086976053508"/>
          <c:y val="0.18601863363571094"/>
          <c:w val="0.22281675963246494"/>
          <c:h val="0.12365612759943467"/>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verticalDpi="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2/21/2011</a:t>
            </a:r>
          </a:p>
        </c:rich>
      </c:tx>
      <c:overlay val="0"/>
    </c:title>
    <c:autoTitleDeleted val="0"/>
    <c:plotArea>
      <c:layout/>
      <c:lineChart>
        <c:grouping val="standard"/>
        <c:varyColors val="0"/>
        <c:ser>
          <c:idx val="4"/>
          <c:order val="0"/>
          <c:tx>
            <c:strRef>
              <c:f>'2-21-11'!$B$7</c:f>
              <c:strCache>
                <c:ptCount val="1"/>
                <c:pt idx="0">
                  <c:v>Site 40 (CP)</c:v>
                </c:pt>
              </c:strCache>
            </c:strRef>
          </c:tx>
          <c:marker>
            <c:symbol val="none"/>
          </c:marker>
          <c:cat>
            <c:strRef>
              <c:f>'2-21-11'!$A$8:$A$21</c:f>
              <c:strCache>
                <c:ptCount val="14"/>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strCache>
            </c:strRef>
          </c:cat>
          <c:val>
            <c:numRef>
              <c:f>'2-21-11'!$D$8:$D$21</c:f>
              <c:numCache>
                <c:formatCode>General</c:formatCode>
                <c:ptCount val="14"/>
                <c:pt idx="0">
                  <c:v>8.75</c:v>
                </c:pt>
                <c:pt idx="1">
                  <c:v>8.9</c:v>
                </c:pt>
                <c:pt idx="2">
                  <c:v>9.01</c:v>
                </c:pt>
                <c:pt idx="3">
                  <c:v>9.07</c:v>
                </c:pt>
                <c:pt idx="4">
                  <c:v>9.16</c:v>
                </c:pt>
                <c:pt idx="5">
                  <c:v>8.85</c:v>
                </c:pt>
                <c:pt idx="6">
                  <c:v>8.33</c:v>
                </c:pt>
                <c:pt idx="7">
                  <c:v>6.5</c:v>
                </c:pt>
                <c:pt idx="8">
                  <c:v>6.5</c:v>
                </c:pt>
                <c:pt idx="9" formatCode="0.00">
                  <c:v>5.7</c:v>
                </c:pt>
                <c:pt idx="10" formatCode="0.00">
                  <c:v>6.13</c:v>
                </c:pt>
                <c:pt idx="11" formatCode="0.00">
                  <c:v>6.25</c:v>
                </c:pt>
                <c:pt idx="12" formatCode="0.00">
                  <c:v>6.4</c:v>
                </c:pt>
                <c:pt idx="13" formatCode="0.00">
                  <c:v>4.6500000000000004</c:v>
                </c:pt>
              </c:numCache>
            </c:numRef>
          </c:val>
          <c:smooth val="0"/>
          <c:extLst>
            <c:ext xmlns:c16="http://schemas.microsoft.com/office/drawing/2014/chart" uri="{C3380CC4-5D6E-409C-BE32-E72D297353CC}">
              <c16:uniqueId val="{00000000-7133-40AE-9844-7459CA56EE25}"/>
            </c:ext>
          </c:extLst>
        </c:ser>
        <c:ser>
          <c:idx val="0"/>
          <c:order val="1"/>
          <c:tx>
            <c:strRef>
              <c:f>'2-21-11'!$A$72</c:f>
              <c:strCache>
                <c:ptCount val="1"/>
                <c:pt idx="0">
                  <c:v>Site 43 (4)</c:v>
                </c:pt>
              </c:strCache>
            </c:strRef>
          </c:tx>
          <c:marker>
            <c:symbol val="none"/>
          </c:marker>
          <c:val>
            <c:numRef>
              <c:f>'2-21-11'!$D$73:$D$81</c:f>
              <c:numCache>
                <c:formatCode>General</c:formatCode>
                <c:ptCount val="9"/>
                <c:pt idx="0">
                  <c:v>10.6</c:v>
                </c:pt>
                <c:pt idx="1">
                  <c:v>10.25</c:v>
                </c:pt>
                <c:pt idx="2">
                  <c:v>10.199999999999999</c:v>
                </c:pt>
                <c:pt idx="3">
                  <c:v>9.9499999999999993</c:v>
                </c:pt>
                <c:pt idx="4">
                  <c:v>9.75</c:v>
                </c:pt>
                <c:pt idx="5">
                  <c:v>9.1999999999999993</c:v>
                </c:pt>
                <c:pt idx="6">
                  <c:v>8.85</c:v>
                </c:pt>
                <c:pt idx="7">
                  <c:v>8.6</c:v>
                </c:pt>
                <c:pt idx="8">
                  <c:v>8.66</c:v>
                </c:pt>
              </c:numCache>
            </c:numRef>
          </c:val>
          <c:smooth val="0"/>
          <c:extLst>
            <c:ext xmlns:c16="http://schemas.microsoft.com/office/drawing/2014/chart" uri="{C3380CC4-5D6E-409C-BE32-E72D297353CC}">
              <c16:uniqueId val="{00000001-7133-40AE-9844-7459CA56EE25}"/>
            </c:ext>
          </c:extLst>
        </c:ser>
        <c:ser>
          <c:idx val="1"/>
          <c:order val="2"/>
          <c:tx>
            <c:strRef>
              <c:f>'2-21-11'!$A$83</c:f>
              <c:strCache>
                <c:ptCount val="1"/>
                <c:pt idx="0">
                  <c:v>Site 44 (5)</c:v>
                </c:pt>
              </c:strCache>
            </c:strRef>
          </c:tx>
          <c:marker>
            <c:symbol val="none"/>
          </c:marker>
          <c:val>
            <c:numRef>
              <c:f>'2-21-11'!$D$84:$D$93</c:f>
              <c:numCache>
                <c:formatCode>0.00</c:formatCode>
                <c:ptCount val="10"/>
                <c:pt idx="0">
                  <c:v>11</c:v>
                </c:pt>
                <c:pt idx="1">
                  <c:v>10.199999999999999</c:v>
                </c:pt>
                <c:pt idx="2">
                  <c:v>10</c:v>
                </c:pt>
                <c:pt idx="3">
                  <c:v>9.86</c:v>
                </c:pt>
                <c:pt idx="4">
                  <c:v>9.75</c:v>
                </c:pt>
                <c:pt idx="5">
                  <c:v>9.64</c:v>
                </c:pt>
                <c:pt idx="6">
                  <c:v>9.35</c:v>
                </c:pt>
                <c:pt idx="7">
                  <c:v>8.5399999999999991</c:v>
                </c:pt>
                <c:pt idx="8">
                  <c:v>6.7</c:v>
                </c:pt>
                <c:pt idx="9">
                  <c:v>5.4</c:v>
                </c:pt>
              </c:numCache>
            </c:numRef>
          </c:val>
          <c:smooth val="0"/>
          <c:extLst>
            <c:ext xmlns:c16="http://schemas.microsoft.com/office/drawing/2014/chart" uri="{C3380CC4-5D6E-409C-BE32-E72D297353CC}">
              <c16:uniqueId val="{00000002-7133-40AE-9844-7459CA56EE25}"/>
            </c:ext>
          </c:extLst>
        </c:ser>
        <c:dLbls>
          <c:showLegendKey val="0"/>
          <c:showVal val="0"/>
          <c:showCatName val="0"/>
          <c:showSerName val="0"/>
          <c:showPercent val="0"/>
          <c:showBubbleSize val="0"/>
        </c:dLbls>
        <c:smooth val="0"/>
        <c:axId val="138021504"/>
        <c:axId val="138035584"/>
      </c:lineChart>
      <c:catAx>
        <c:axId val="138021504"/>
        <c:scaling>
          <c:orientation val="minMax"/>
        </c:scaling>
        <c:delete val="0"/>
        <c:axPos val="b"/>
        <c:numFmt formatCode="General" sourceLinked="0"/>
        <c:majorTickMark val="none"/>
        <c:minorTickMark val="none"/>
        <c:tickLblPos val="nextTo"/>
        <c:crossAx val="138035584"/>
        <c:crosses val="autoZero"/>
        <c:auto val="1"/>
        <c:lblAlgn val="ctr"/>
        <c:lblOffset val="100"/>
        <c:noMultiLvlLbl val="0"/>
      </c:catAx>
      <c:valAx>
        <c:axId val="138035584"/>
        <c:scaling>
          <c:orientation val="minMax"/>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38021504"/>
        <c:crosses val="autoZero"/>
        <c:crossBetween val="between"/>
      </c:valAx>
    </c:plotArea>
    <c:legend>
      <c:legendPos val="r"/>
      <c:layout>
        <c:manualLayout>
          <c:xMode val="edge"/>
          <c:yMode val="edge"/>
          <c:x val="0.80383606722756107"/>
          <c:y val="0.22371135899679484"/>
          <c:w val="0.18977029188692604"/>
          <c:h val="0.25115157480314959"/>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091" l="0.70000000000000062" r="0.70000000000000062" t="0.7500000000000091"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Conducatance Profiles 2/21/2011</a:t>
            </a:r>
          </a:p>
        </c:rich>
      </c:tx>
      <c:overlay val="0"/>
    </c:title>
    <c:autoTitleDeleted val="0"/>
    <c:plotArea>
      <c:layout/>
      <c:lineChart>
        <c:grouping val="standard"/>
        <c:varyColors val="0"/>
        <c:ser>
          <c:idx val="1"/>
          <c:order val="0"/>
          <c:tx>
            <c:strRef>
              <c:f>'2-21-11'!$B$7</c:f>
              <c:strCache>
                <c:ptCount val="1"/>
                <c:pt idx="0">
                  <c:v>Site 40 (CP)</c:v>
                </c:pt>
              </c:strCache>
            </c:strRef>
          </c:tx>
          <c:marker>
            <c:symbol val="none"/>
          </c:marker>
          <c:cat>
            <c:strRef>
              <c:f>'2-21-11'!$A$8:$A$21</c:f>
              <c:strCache>
                <c:ptCount val="14"/>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strCache>
            </c:strRef>
          </c:cat>
          <c:val>
            <c:numRef>
              <c:f>'2-21-11'!$C$8:$C$21</c:f>
              <c:numCache>
                <c:formatCode>General</c:formatCode>
                <c:ptCount val="14"/>
                <c:pt idx="0">
                  <c:v>0.45700000000000002</c:v>
                </c:pt>
                <c:pt idx="1">
                  <c:v>0.46100000000000002</c:v>
                </c:pt>
                <c:pt idx="2">
                  <c:v>0.47099999999999997</c:v>
                </c:pt>
                <c:pt idx="3">
                  <c:v>0.48099999999999998</c:v>
                </c:pt>
                <c:pt idx="4">
                  <c:v>0.51</c:v>
                </c:pt>
                <c:pt idx="5">
                  <c:v>0.52100000000000002</c:v>
                </c:pt>
                <c:pt idx="6">
                  <c:v>0.54</c:v>
                </c:pt>
                <c:pt idx="7">
                  <c:v>0.56899999999999995</c:v>
                </c:pt>
                <c:pt idx="8">
                  <c:v>0.61099999999999999</c:v>
                </c:pt>
                <c:pt idx="9">
                  <c:v>0.63900000000000001</c:v>
                </c:pt>
                <c:pt idx="10">
                  <c:v>0.67200000000000004</c:v>
                </c:pt>
                <c:pt idx="11">
                  <c:v>0.7</c:v>
                </c:pt>
                <c:pt idx="12">
                  <c:v>0.72899999999999998</c:v>
                </c:pt>
                <c:pt idx="13">
                  <c:v>0.76600000000000001</c:v>
                </c:pt>
              </c:numCache>
            </c:numRef>
          </c:val>
          <c:smooth val="0"/>
          <c:extLst>
            <c:ext xmlns:c16="http://schemas.microsoft.com/office/drawing/2014/chart" uri="{C3380CC4-5D6E-409C-BE32-E72D297353CC}">
              <c16:uniqueId val="{00000000-DFBD-4830-A0DE-97C9C83C79FC}"/>
            </c:ext>
          </c:extLst>
        </c:ser>
        <c:ser>
          <c:idx val="0"/>
          <c:order val="1"/>
          <c:tx>
            <c:strRef>
              <c:f>'2-21-11'!$A$72</c:f>
              <c:strCache>
                <c:ptCount val="1"/>
                <c:pt idx="0">
                  <c:v>Site 43 (4)</c:v>
                </c:pt>
              </c:strCache>
            </c:strRef>
          </c:tx>
          <c:marker>
            <c:symbol val="none"/>
          </c:marker>
          <c:val>
            <c:numRef>
              <c:f>'2-21-11'!$C$73:$C$81</c:f>
              <c:numCache>
                <c:formatCode>General</c:formatCode>
                <c:ptCount val="9"/>
                <c:pt idx="0">
                  <c:v>0.45200000000000001</c:v>
                </c:pt>
                <c:pt idx="1">
                  <c:v>0.45900000000000002</c:v>
                </c:pt>
                <c:pt idx="2">
                  <c:v>0.46400000000000002</c:v>
                </c:pt>
                <c:pt idx="3">
                  <c:v>0.47799999999999998</c:v>
                </c:pt>
                <c:pt idx="4">
                  <c:v>0.51100000000000001</c:v>
                </c:pt>
                <c:pt idx="5">
                  <c:v>0.52600000000000002</c:v>
                </c:pt>
                <c:pt idx="6">
                  <c:v>0.54</c:v>
                </c:pt>
                <c:pt idx="7">
                  <c:v>0.56399999999999995</c:v>
                </c:pt>
                <c:pt idx="8">
                  <c:v>0.64200000000000002</c:v>
                </c:pt>
              </c:numCache>
            </c:numRef>
          </c:val>
          <c:smooth val="0"/>
          <c:extLst>
            <c:ext xmlns:c16="http://schemas.microsoft.com/office/drawing/2014/chart" uri="{C3380CC4-5D6E-409C-BE32-E72D297353CC}">
              <c16:uniqueId val="{00000001-DFBD-4830-A0DE-97C9C83C79FC}"/>
            </c:ext>
          </c:extLst>
        </c:ser>
        <c:ser>
          <c:idx val="2"/>
          <c:order val="2"/>
          <c:tx>
            <c:strRef>
              <c:f>'2-21-11'!$A$83</c:f>
              <c:strCache>
                <c:ptCount val="1"/>
                <c:pt idx="0">
                  <c:v>Site 44 (5)</c:v>
                </c:pt>
              </c:strCache>
            </c:strRef>
          </c:tx>
          <c:marker>
            <c:symbol val="none"/>
          </c:marker>
          <c:val>
            <c:numRef>
              <c:f>'2-21-11'!$C$84:$C$93</c:f>
              <c:numCache>
                <c:formatCode>General</c:formatCode>
                <c:ptCount val="10"/>
                <c:pt idx="0">
                  <c:v>0.432</c:v>
                </c:pt>
                <c:pt idx="1">
                  <c:v>0.45200000000000001</c:v>
                </c:pt>
                <c:pt idx="2">
                  <c:v>0.46500000000000002</c:v>
                </c:pt>
                <c:pt idx="3">
                  <c:v>0.48799999999999999</c:v>
                </c:pt>
                <c:pt idx="4">
                  <c:v>0.503</c:v>
                </c:pt>
                <c:pt idx="5">
                  <c:v>0.52600000000000002</c:v>
                </c:pt>
                <c:pt idx="6">
                  <c:v>0.54500000000000004</c:v>
                </c:pt>
                <c:pt idx="7">
                  <c:v>0.56200000000000006</c:v>
                </c:pt>
                <c:pt idx="8">
                  <c:v>0.59899999999999998</c:v>
                </c:pt>
                <c:pt idx="9">
                  <c:v>0.63600000000000001</c:v>
                </c:pt>
              </c:numCache>
            </c:numRef>
          </c:val>
          <c:smooth val="0"/>
          <c:extLst>
            <c:ext xmlns:c16="http://schemas.microsoft.com/office/drawing/2014/chart" uri="{C3380CC4-5D6E-409C-BE32-E72D297353CC}">
              <c16:uniqueId val="{00000002-DFBD-4830-A0DE-97C9C83C79FC}"/>
            </c:ext>
          </c:extLst>
        </c:ser>
        <c:dLbls>
          <c:showLegendKey val="0"/>
          <c:showVal val="0"/>
          <c:showCatName val="0"/>
          <c:showSerName val="0"/>
          <c:showPercent val="0"/>
          <c:showBubbleSize val="0"/>
        </c:dLbls>
        <c:smooth val="0"/>
        <c:axId val="138078080"/>
        <c:axId val="138079616"/>
      </c:lineChart>
      <c:catAx>
        <c:axId val="138078080"/>
        <c:scaling>
          <c:orientation val="minMax"/>
        </c:scaling>
        <c:delete val="0"/>
        <c:axPos val="b"/>
        <c:numFmt formatCode="General" sourceLinked="0"/>
        <c:majorTickMark val="none"/>
        <c:minorTickMark val="none"/>
        <c:tickLblPos val="nextTo"/>
        <c:crossAx val="138079616"/>
        <c:crosses val="autoZero"/>
        <c:auto val="1"/>
        <c:lblAlgn val="ctr"/>
        <c:lblOffset val="100"/>
        <c:noMultiLvlLbl val="0"/>
      </c:catAx>
      <c:valAx>
        <c:axId val="138079616"/>
        <c:scaling>
          <c:orientation val="minMax"/>
          <c:min val="0.4"/>
        </c:scaling>
        <c:delete val="0"/>
        <c:axPos val="l"/>
        <c:majorGridlines/>
        <c:title>
          <c:tx>
            <c:rich>
              <a:bodyPr/>
              <a:lstStyle/>
              <a:p>
                <a:pPr>
                  <a:defRPr/>
                </a:pPr>
                <a:r>
                  <a:rPr lang="en-US"/>
                  <a:t>SC (us)</a:t>
                </a:r>
              </a:p>
            </c:rich>
          </c:tx>
          <c:overlay val="0"/>
        </c:title>
        <c:numFmt formatCode="General" sourceLinked="1"/>
        <c:majorTickMark val="none"/>
        <c:minorTickMark val="none"/>
        <c:tickLblPos val="nextTo"/>
        <c:crossAx val="138078080"/>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91" l="0.70000000000000062" r="0.70000000000000062" t="0.7500000000000091"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2/21/2011</a:t>
            </a:r>
          </a:p>
        </c:rich>
      </c:tx>
      <c:overlay val="0"/>
    </c:title>
    <c:autoTitleDeleted val="0"/>
    <c:plotArea>
      <c:layout/>
      <c:lineChart>
        <c:grouping val="standard"/>
        <c:varyColors val="0"/>
        <c:ser>
          <c:idx val="0"/>
          <c:order val="0"/>
          <c:tx>
            <c:strRef>
              <c:f>'2-21-11'!$B$7</c:f>
              <c:strCache>
                <c:ptCount val="1"/>
                <c:pt idx="0">
                  <c:v>Site 40 (CP)</c:v>
                </c:pt>
              </c:strCache>
            </c:strRef>
          </c:tx>
          <c:marker>
            <c:symbol val="none"/>
          </c:marker>
          <c:cat>
            <c:strRef>
              <c:f>'2-21-11'!$A$8:$A$21</c:f>
              <c:strCache>
                <c:ptCount val="14"/>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strCache>
            </c:strRef>
          </c:cat>
          <c:val>
            <c:numRef>
              <c:f>'2-21-11'!$F$8:$F$21</c:f>
              <c:numCache>
                <c:formatCode>General</c:formatCode>
                <c:ptCount val="14"/>
                <c:pt idx="0">
                  <c:v>8.34</c:v>
                </c:pt>
                <c:pt idx="1">
                  <c:v>8.1300000000000008</c:v>
                </c:pt>
                <c:pt idx="2">
                  <c:v>8.01</c:v>
                </c:pt>
                <c:pt idx="3">
                  <c:v>7.96</c:v>
                </c:pt>
                <c:pt idx="4">
                  <c:v>7.94</c:v>
                </c:pt>
                <c:pt idx="5">
                  <c:v>7.83</c:v>
                </c:pt>
                <c:pt idx="6">
                  <c:v>7.81</c:v>
                </c:pt>
                <c:pt idx="7">
                  <c:v>7.74</c:v>
                </c:pt>
                <c:pt idx="8">
                  <c:v>7.66</c:v>
                </c:pt>
                <c:pt idx="9">
                  <c:v>7.67</c:v>
                </c:pt>
                <c:pt idx="10">
                  <c:v>7.58</c:v>
                </c:pt>
                <c:pt idx="11">
                  <c:v>7.51</c:v>
                </c:pt>
                <c:pt idx="12">
                  <c:v>7.51</c:v>
                </c:pt>
                <c:pt idx="13">
                  <c:v>7.55</c:v>
                </c:pt>
              </c:numCache>
            </c:numRef>
          </c:val>
          <c:smooth val="0"/>
          <c:extLst>
            <c:ext xmlns:c16="http://schemas.microsoft.com/office/drawing/2014/chart" uri="{C3380CC4-5D6E-409C-BE32-E72D297353CC}">
              <c16:uniqueId val="{00000000-0FFF-4F34-BE57-16A15ED01493}"/>
            </c:ext>
          </c:extLst>
        </c:ser>
        <c:ser>
          <c:idx val="1"/>
          <c:order val="1"/>
          <c:tx>
            <c:strRef>
              <c:f>'2-21-11'!$A$72</c:f>
              <c:strCache>
                <c:ptCount val="1"/>
                <c:pt idx="0">
                  <c:v>Site 43 (4)</c:v>
                </c:pt>
              </c:strCache>
            </c:strRef>
          </c:tx>
          <c:marker>
            <c:symbol val="none"/>
          </c:marker>
          <c:val>
            <c:numRef>
              <c:f>'2-21-11'!$F$73:$F$81</c:f>
              <c:numCache>
                <c:formatCode>General</c:formatCode>
                <c:ptCount val="9"/>
                <c:pt idx="0">
                  <c:v>8.32</c:v>
                </c:pt>
                <c:pt idx="1">
                  <c:v>8.14</c:v>
                </c:pt>
                <c:pt idx="2">
                  <c:v>8.1999999999999993</c:v>
                </c:pt>
                <c:pt idx="3">
                  <c:v>8.1</c:v>
                </c:pt>
                <c:pt idx="4">
                  <c:v>7.9</c:v>
                </c:pt>
                <c:pt idx="5">
                  <c:v>7.98</c:v>
                </c:pt>
                <c:pt idx="6">
                  <c:v>7.85</c:v>
                </c:pt>
                <c:pt idx="7">
                  <c:v>7.8</c:v>
                </c:pt>
                <c:pt idx="8">
                  <c:v>7.74</c:v>
                </c:pt>
              </c:numCache>
            </c:numRef>
          </c:val>
          <c:smooth val="0"/>
          <c:extLst>
            <c:ext xmlns:c16="http://schemas.microsoft.com/office/drawing/2014/chart" uri="{C3380CC4-5D6E-409C-BE32-E72D297353CC}">
              <c16:uniqueId val="{00000001-0FFF-4F34-BE57-16A15ED01493}"/>
            </c:ext>
          </c:extLst>
        </c:ser>
        <c:ser>
          <c:idx val="2"/>
          <c:order val="2"/>
          <c:tx>
            <c:strRef>
              <c:f>'2-21-11'!$A$83</c:f>
              <c:strCache>
                <c:ptCount val="1"/>
                <c:pt idx="0">
                  <c:v>Site 44 (5)</c:v>
                </c:pt>
              </c:strCache>
            </c:strRef>
          </c:tx>
          <c:marker>
            <c:symbol val="none"/>
          </c:marker>
          <c:val>
            <c:numRef>
              <c:f>'2-21-11'!$F$84:$F$93</c:f>
              <c:numCache>
                <c:formatCode>0.00</c:formatCode>
                <c:ptCount val="10"/>
                <c:pt idx="0">
                  <c:v>8.2799999999999994</c:v>
                </c:pt>
                <c:pt idx="1">
                  <c:v>8.01</c:v>
                </c:pt>
                <c:pt idx="2">
                  <c:v>7.98</c:v>
                </c:pt>
                <c:pt idx="3">
                  <c:v>7.94</c:v>
                </c:pt>
                <c:pt idx="4">
                  <c:v>7.85</c:v>
                </c:pt>
                <c:pt idx="5">
                  <c:v>7.83</c:v>
                </c:pt>
                <c:pt idx="6">
                  <c:v>7.85</c:v>
                </c:pt>
                <c:pt idx="7">
                  <c:v>7.75</c:v>
                </c:pt>
                <c:pt idx="8">
                  <c:v>7.64</c:v>
                </c:pt>
                <c:pt idx="9">
                  <c:v>7.67</c:v>
                </c:pt>
              </c:numCache>
            </c:numRef>
          </c:val>
          <c:smooth val="0"/>
          <c:extLst>
            <c:ext xmlns:c16="http://schemas.microsoft.com/office/drawing/2014/chart" uri="{C3380CC4-5D6E-409C-BE32-E72D297353CC}">
              <c16:uniqueId val="{00000002-0FFF-4F34-BE57-16A15ED01493}"/>
            </c:ext>
          </c:extLst>
        </c:ser>
        <c:dLbls>
          <c:showLegendKey val="0"/>
          <c:showVal val="0"/>
          <c:showCatName val="0"/>
          <c:showSerName val="0"/>
          <c:showPercent val="0"/>
          <c:showBubbleSize val="0"/>
        </c:dLbls>
        <c:smooth val="0"/>
        <c:axId val="138130560"/>
        <c:axId val="138132096"/>
      </c:lineChart>
      <c:catAx>
        <c:axId val="138130560"/>
        <c:scaling>
          <c:orientation val="minMax"/>
        </c:scaling>
        <c:delete val="0"/>
        <c:axPos val="b"/>
        <c:numFmt formatCode="General" sourceLinked="0"/>
        <c:majorTickMark val="none"/>
        <c:minorTickMark val="none"/>
        <c:tickLblPos val="nextTo"/>
        <c:crossAx val="138132096"/>
        <c:crosses val="autoZero"/>
        <c:auto val="1"/>
        <c:lblAlgn val="ctr"/>
        <c:lblOffset val="100"/>
        <c:noMultiLvlLbl val="0"/>
      </c:catAx>
      <c:valAx>
        <c:axId val="138132096"/>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38130560"/>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91" l="0.70000000000000062" r="0.70000000000000062" t="0.7500000000000091"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(3/28/2011)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811"/>
        </c:manualLayout>
      </c:layout>
      <c:lineChart>
        <c:grouping val="standard"/>
        <c:varyColors val="0"/>
        <c:ser>
          <c:idx val="0"/>
          <c:order val="0"/>
          <c:tx>
            <c:strRef>
              <c:f>'3-28-11'!$D$3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'3-28-11'!$D$8:$D$22</c:f>
              <c:numCache>
                <c:formatCode>General</c:formatCode>
                <c:ptCount val="15"/>
                <c:pt idx="0">
                  <c:v>8.36</c:v>
                </c:pt>
                <c:pt idx="1">
                  <c:v>8.2899999999999991</c:v>
                </c:pt>
                <c:pt idx="2">
                  <c:v>9.2899999999999991</c:v>
                </c:pt>
                <c:pt idx="3">
                  <c:v>9.42</c:v>
                </c:pt>
                <c:pt idx="4">
                  <c:v>9.4600000000000009</c:v>
                </c:pt>
                <c:pt idx="5">
                  <c:v>9.59</c:v>
                </c:pt>
                <c:pt idx="6">
                  <c:v>9.6999999999999993</c:v>
                </c:pt>
                <c:pt idx="7">
                  <c:v>9.9</c:v>
                </c:pt>
                <c:pt idx="8">
                  <c:v>10.029999999999999</c:v>
                </c:pt>
                <c:pt idx="9" formatCode="0.00">
                  <c:v>10.07</c:v>
                </c:pt>
                <c:pt idx="10" formatCode="0.00">
                  <c:v>10.1</c:v>
                </c:pt>
                <c:pt idx="11" formatCode="0.00">
                  <c:v>10.17</c:v>
                </c:pt>
                <c:pt idx="12" formatCode="0.00">
                  <c:v>10.17</c:v>
                </c:pt>
                <c:pt idx="13" formatCode="0.00">
                  <c:v>10.15</c:v>
                </c:pt>
                <c:pt idx="14">
                  <c:v>9.3000000000000007</c:v>
                </c:pt>
              </c:numCache>
            </c:numRef>
          </c:val>
          <c:smooth val="0"/>
          <c:extLst>
            <c:ext xmlns:c16="http://schemas.microsoft.com/office/drawing/2014/chart" uri="{C3380CC4-5D6E-409C-BE32-E72D297353CC}">
              <c16:uniqueId val="{00000000-4EF7-4EE7-8AAF-548060A8DAAD}"/>
            </c:ext>
          </c:extLst>
        </c:ser>
        <c:ser>
          <c:idx val="1"/>
          <c:order val="1"/>
          <c:tx>
            <c:strRef>
              <c:f>'3-28-11'!$E$3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'3-28-11'!$E$8:$E$22</c:f>
              <c:numCache>
                <c:formatCode>General</c:formatCode>
                <c:ptCount val="15"/>
                <c:pt idx="0">
                  <c:v>8.5</c:v>
                </c:pt>
                <c:pt idx="1">
                  <c:v>8</c:v>
                </c:pt>
                <c:pt idx="2">
                  <c:v>7.4</c:v>
                </c:pt>
                <c:pt idx="3">
                  <c:v>7.3</c:v>
                </c:pt>
                <c:pt idx="4">
                  <c:v>7.3</c:v>
                </c:pt>
                <c:pt idx="5">
                  <c:v>7.3</c:v>
                </c:pt>
                <c:pt idx="6">
                  <c:v>7.3</c:v>
                </c:pt>
                <c:pt idx="7">
                  <c:v>7.3</c:v>
                </c:pt>
                <c:pt idx="8">
                  <c:v>7.3</c:v>
                </c:pt>
                <c:pt idx="9">
                  <c:v>7.3</c:v>
                </c:pt>
                <c:pt idx="10">
                  <c:v>7.3</c:v>
                </c:pt>
                <c:pt idx="11">
                  <c:v>7.3</c:v>
                </c:pt>
                <c:pt idx="12">
                  <c:v>7.3</c:v>
                </c:pt>
                <c:pt idx="13">
                  <c:v>7.3</c:v>
                </c:pt>
                <c:pt idx="14">
                  <c:v>7</c:v>
                </c:pt>
              </c:numCache>
            </c:numRef>
          </c:val>
          <c:smooth val="0"/>
          <c:extLst>
            <c:ext xmlns:c16="http://schemas.microsoft.com/office/drawing/2014/chart" uri="{C3380CC4-5D6E-409C-BE32-E72D297353CC}">
              <c16:uniqueId val="{00000001-4EF7-4EE7-8AAF-548060A8DAAD}"/>
            </c:ext>
          </c:extLst>
        </c:ser>
        <c:dLbls>
          <c:showLegendKey val="0"/>
          <c:showVal val="0"/>
          <c:showCatName val="0"/>
          <c:showSerName val="0"/>
          <c:showPercent val="0"/>
          <c:showBubbleSize val="0"/>
        </c:dLbls>
        <c:smooth val="0"/>
        <c:axId val="138313728"/>
        <c:axId val="138315264"/>
      </c:lineChart>
      <c:catAx>
        <c:axId val="138313728"/>
        <c:scaling>
          <c:orientation val="minMax"/>
        </c:scaling>
        <c:delete val="0"/>
        <c:axPos val="b"/>
        <c:minorGridlines/>
        <c:numFmt formatCode="General" sourceLinked="0"/>
        <c:majorTickMark val="out"/>
        <c:minorTickMark val="none"/>
        <c:tickLblPos val="nextTo"/>
        <c:crossAx val="138315264"/>
        <c:crosses val="autoZero"/>
        <c:auto val="1"/>
        <c:lblAlgn val="ctr"/>
        <c:lblOffset val="100"/>
        <c:noMultiLvlLbl val="0"/>
      </c:catAx>
      <c:valAx>
        <c:axId val="138315264"/>
        <c:scaling>
          <c:orientation val="minMax"/>
        </c:scaling>
        <c:delete val="0"/>
        <c:axPos val="l"/>
        <c:majorGridlines/>
        <c:minorGridlines/>
        <c:numFmt formatCode="General" sourceLinked="1"/>
        <c:majorTickMark val="out"/>
        <c:minorTickMark val="none"/>
        <c:tickLblPos val="nextTo"/>
        <c:crossAx val="138313728"/>
        <c:crosses val="autoZero"/>
        <c:crossBetween val="midCat"/>
      </c:valAx>
    </c:plotArea>
    <c:legend>
      <c:legendPos val="r"/>
      <c:layout>
        <c:manualLayout>
          <c:xMode val="edge"/>
          <c:yMode val="edge"/>
          <c:x val="0.76510673197145629"/>
          <c:y val="0.59128240548878752"/>
          <c:w val="0.1474862204724483"/>
          <c:h val="0.1575853018372787"/>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3/28/2011</a:t>
            </a:r>
          </a:p>
        </c:rich>
      </c:tx>
      <c:overlay val="0"/>
    </c:title>
    <c:autoTitleDeleted val="0"/>
    <c:plotArea>
      <c:layout/>
      <c:lineChart>
        <c:grouping val="standard"/>
        <c:varyColors val="0"/>
        <c:ser>
          <c:idx val="2"/>
          <c:order val="0"/>
          <c:tx>
            <c:strRef>
              <c:f>'3-28-11'!$B$7</c:f>
              <c:strCache>
                <c:ptCount val="1"/>
                <c:pt idx="0">
                  <c:v>Site 40 (CP)</c:v>
                </c:pt>
              </c:strCache>
            </c:strRef>
          </c:tx>
          <c:marker>
            <c:symbol val="none"/>
          </c:marker>
          <c:cat>
            <c:strRef>
              <c:f>'3-28-11'!$A$45:$A$56</c:f>
              <c:strCache>
                <c:ptCount val="12"/>
                <c:pt idx="0">
                  <c:v>1/2m</c:v>
                </c:pt>
                <c:pt idx="1">
                  <c:v>1m</c:v>
                </c:pt>
                <c:pt idx="2">
                  <c:v>1 1/2m</c:v>
                </c:pt>
                <c:pt idx="3">
                  <c:v>2m</c:v>
                </c:pt>
                <c:pt idx="4">
                  <c:v>2 1/2m</c:v>
                </c:pt>
                <c:pt idx="5">
                  <c:v>3m</c:v>
                </c:pt>
                <c:pt idx="6">
                  <c:v>3 1/2m</c:v>
                </c:pt>
                <c:pt idx="7">
                  <c:v>4m</c:v>
                </c:pt>
                <c:pt idx="8">
                  <c:v>5m</c:v>
                </c:pt>
                <c:pt idx="9">
                  <c:v>6m</c:v>
                </c:pt>
                <c:pt idx="10">
                  <c:v>7m</c:v>
                </c:pt>
                <c:pt idx="11">
                  <c:v>8m</c:v>
                </c:pt>
              </c:strCache>
            </c:strRef>
          </c:cat>
          <c:val>
            <c:numRef>
              <c:f>'3-28-11'!$D$8:$D$22</c:f>
              <c:numCache>
                <c:formatCode>General</c:formatCode>
                <c:ptCount val="15"/>
                <c:pt idx="0">
                  <c:v>8.36</c:v>
                </c:pt>
                <c:pt idx="1">
                  <c:v>8.2899999999999991</c:v>
                </c:pt>
                <c:pt idx="2">
                  <c:v>9.2899999999999991</c:v>
                </c:pt>
                <c:pt idx="3">
                  <c:v>9.42</c:v>
                </c:pt>
                <c:pt idx="4">
                  <c:v>9.4600000000000009</c:v>
                </c:pt>
                <c:pt idx="5">
                  <c:v>9.59</c:v>
                </c:pt>
                <c:pt idx="6">
                  <c:v>9.6999999999999993</c:v>
                </c:pt>
                <c:pt idx="7">
                  <c:v>9.9</c:v>
                </c:pt>
                <c:pt idx="8">
                  <c:v>10.029999999999999</c:v>
                </c:pt>
                <c:pt idx="9" formatCode="0.00">
                  <c:v>10.07</c:v>
                </c:pt>
                <c:pt idx="10" formatCode="0.00">
                  <c:v>10.1</c:v>
                </c:pt>
                <c:pt idx="11" formatCode="0.00">
                  <c:v>10.17</c:v>
                </c:pt>
                <c:pt idx="12" formatCode="0.00">
                  <c:v>10.17</c:v>
                </c:pt>
                <c:pt idx="13" formatCode="0.00">
                  <c:v>10.15</c:v>
                </c:pt>
                <c:pt idx="14">
                  <c:v>9.3000000000000007</c:v>
                </c:pt>
              </c:numCache>
            </c:numRef>
          </c:val>
          <c:smooth val="0"/>
          <c:extLst>
            <c:ext xmlns:c16="http://schemas.microsoft.com/office/drawing/2014/chart" uri="{C3380CC4-5D6E-409C-BE32-E72D297353CC}">
              <c16:uniqueId val="{00000000-621F-4F8D-844B-7975F17D0107}"/>
            </c:ext>
          </c:extLst>
        </c:ser>
        <c:ser>
          <c:idx val="0"/>
          <c:order val="1"/>
          <c:tx>
            <c:strRef>
              <c:f>'3-28-11'!$A$44</c:f>
              <c:strCache>
                <c:ptCount val="1"/>
                <c:pt idx="0">
                  <c:v>Site 41 (1)</c:v>
                </c:pt>
              </c:strCache>
            </c:strRef>
          </c:tx>
          <c:marker>
            <c:symbol val="none"/>
          </c:marker>
          <c:cat>
            <c:strRef>
              <c:f>'3-28-11'!$A$45:$A$56</c:f>
              <c:strCache>
                <c:ptCount val="12"/>
                <c:pt idx="0">
                  <c:v>1/2m</c:v>
                </c:pt>
                <c:pt idx="1">
                  <c:v>1m</c:v>
                </c:pt>
                <c:pt idx="2">
                  <c:v>1 1/2m</c:v>
                </c:pt>
                <c:pt idx="3">
                  <c:v>2m</c:v>
                </c:pt>
                <c:pt idx="4">
                  <c:v>2 1/2m</c:v>
                </c:pt>
                <c:pt idx="5">
                  <c:v>3m</c:v>
                </c:pt>
                <c:pt idx="6">
                  <c:v>3 1/2m</c:v>
                </c:pt>
                <c:pt idx="7">
                  <c:v>4m</c:v>
                </c:pt>
                <c:pt idx="8">
                  <c:v>5m</c:v>
                </c:pt>
                <c:pt idx="9">
                  <c:v>6m</c:v>
                </c:pt>
                <c:pt idx="10">
                  <c:v>7m</c:v>
                </c:pt>
                <c:pt idx="11">
                  <c:v>8m</c:v>
                </c:pt>
              </c:strCache>
            </c:strRef>
          </c:cat>
          <c:val>
            <c:numRef>
              <c:f>'3-28-11'!$D$45:$D$56</c:f>
              <c:numCache>
                <c:formatCode>General</c:formatCode>
                <c:ptCount val="12"/>
                <c:pt idx="0">
                  <c:v>10.5</c:v>
                </c:pt>
                <c:pt idx="1">
                  <c:v>10.97</c:v>
                </c:pt>
                <c:pt idx="2">
                  <c:v>10.7</c:v>
                </c:pt>
                <c:pt idx="3">
                  <c:v>10.95</c:v>
                </c:pt>
                <c:pt idx="4">
                  <c:v>10.59</c:v>
                </c:pt>
                <c:pt idx="5">
                  <c:v>10.55</c:v>
                </c:pt>
                <c:pt idx="6">
                  <c:v>10.5</c:v>
                </c:pt>
                <c:pt idx="7">
                  <c:v>10.65</c:v>
                </c:pt>
                <c:pt idx="8">
                  <c:v>10.6</c:v>
                </c:pt>
                <c:pt idx="9">
                  <c:v>10.7</c:v>
                </c:pt>
                <c:pt idx="10">
                  <c:v>10.67</c:v>
                </c:pt>
                <c:pt idx="11">
                  <c:v>10.7</c:v>
                </c:pt>
              </c:numCache>
            </c:numRef>
          </c:val>
          <c:smooth val="0"/>
          <c:extLst>
            <c:ext xmlns:c16="http://schemas.microsoft.com/office/drawing/2014/chart" uri="{C3380CC4-5D6E-409C-BE32-E72D297353CC}">
              <c16:uniqueId val="{00000001-621F-4F8D-844B-7975F17D0107}"/>
            </c:ext>
          </c:extLst>
        </c:ser>
        <c:ser>
          <c:idx val="1"/>
          <c:order val="2"/>
          <c:tx>
            <c:strRef>
              <c:f>'3-28-11'!$A$58</c:f>
              <c:strCache>
                <c:ptCount val="1"/>
                <c:pt idx="0">
                  <c:v>Site 42 (3)</c:v>
                </c:pt>
              </c:strCache>
            </c:strRef>
          </c:tx>
          <c:marker>
            <c:symbol val="none"/>
          </c:marker>
          <c:val>
            <c:numRef>
              <c:f>'3-28-11'!$D$59:$D$67</c:f>
              <c:numCache>
                <c:formatCode>General</c:formatCode>
                <c:ptCount val="9"/>
                <c:pt idx="0">
                  <c:v>10.82</c:v>
                </c:pt>
                <c:pt idx="1">
                  <c:v>10.92</c:v>
                </c:pt>
                <c:pt idx="2">
                  <c:v>11.2</c:v>
                </c:pt>
                <c:pt idx="3">
                  <c:v>11.05</c:v>
                </c:pt>
                <c:pt idx="4">
                  <c:v>11.09</c:v>
                </c:pt>
                <c:pt idx="5">
                  <c:v>11.05</c:v>
                </c:pt>
                <c:pt idx="6">
                  <c:v>11.1</c:v>
                </c:pt>
                <c:pt idx="7">
                  <c:v>11.02</c:v>
                </c:pt>
                <c:pt idx="8">
                  <c:v>10.56</c:v>
                </c:pt>
              </c:numCache>
            </c:numRef>
          </c:val>
          <c:smooth val="0"/>
          <c:extLst>
            <c:ext xmlns:c16="http://schemas.microsoft.com/office/drawing/2014/chart" uri="{C3380CC4-5D6E-409C-BE32-E72D297353CC}">
              <c16:uniqueId val="{00000002-621F-4F8D-844B-7975F17D0107}"/>
            </c:ext>
          </c:extLst>
        </c:ser>
        <c:ser>
          <c:idx val="3"/>
          <c:order val="3"/>
          <c:tx>
            <c:strRef>
              <c:f>'3-28-11'!$A$72</c:f>
              <c:strCache>
                <c:ptCount val="1"/>
                <c:pt idx="0">
                  <c:v>Site 43 (4)</c:v>
                </c:pt>
              </c:strCache>
            </c:strRef>
          </c:tx>
          <c:marker>
            <c:symbol val="none"/>
          </c:marker>
          <c:val>
            <c:numRef>
              <c:f>'3-28-11'!$D$73:$D$79</c:f>
              <c:numCache>
                <c:formatCode>General</c:formatCode>
                <c:ptCount val="7"/>
                <c:pt idx="0">
                  <c:v>11.06</c:v>
                </c:pt>
                <c:pt idx="1">
                  <c:v>11.1</c:v>
                </c:pt>
                <c:pt idx="2">
                  <c:v>11.02</c:v>
                </c:pt>
                <c:pt idx="3">
                  <c:v>10.82</c:v>
                </c:pt>
                <c:pt idx="4">
                  <c:v>10.88</c:v>
                </c:pt>
                <c:pt idx="5">
                  <c:v>10.95</c:v>
                </c:pt>
                <c:pt idx="6">
                  <c:v>11.21</c:v>
                </c:pt>
              </c:numCache>
            </c:numRef>
          </c:val>
          <c:smooth val="0"/>
          <c:extLst>
            <c:ext xmlns:c16="http://schemas.microsoft.com/office/drawing/2014/chart" uri="{C3380CC4-5D6E-409C-BE32-E72D297353CC}">
              <c16:uniqueId val="{00000003-621F-4F8D-844B-7975F17D0107}"/>
            </c:ext>
          </c:extLst>
        </c:ser>
        <c:ser>
          <c:idx val="4"/>
          <c:order val="4"/>
          <c:tx>
            <c:strRef>
              <c:f>'3-28-11'!$A$83</c:f>
              <c:strCache>
                <c:ptCount val="1"/>
                <c:pt idx="0">
                  <c:v>Site 44 (5)</c:v>
                </c:pt>
              </c:strCache>
            </c:strRef>
          </c:tx>
          <c:marker>
            <c:symbol val="none"/>
          </c:marker>
          <c:val>
            <c:numRef>
              <c:f>'3-28-11'!$D$84:$D$93</c:f>
              <c:numCache>
                <c:formatCode>0.00</c:formatCode>
                <c:ptCount val="10"/>
                <c:pt idx="0">
                  <c:v>11.03</c:v>
                </c:pt>
                <c:pt idx="1">
                  <c:v>11.12</c:v>
                </c:pt>
                <c:pt idx="2">
                  <c:v>11.21</c:v>
                </c:pt>
                <c:pt idx="3">
                  <c:v>11.31</c:v>
                </c:pt>
                <c:pt idx="4">
                  <c:v>11.29</c:v>
                </c:pt>
                <c:pt idx="5">
                  <c:v>11.33</c:v>
                </c:pt>
                <c:pt idx="6">
                  <c:v>11.18</c:v>
                </c:pt>
                <c:pt idx="7">
                  <c:v>10.96</c:v>
                </c:pt>
                <c:pt idx="8">
                  <c:v>11.06</c:v>
                </c:pt>
                <c:pt idx="9">
                  <c:v>10.66</c:v>
                </c:pt>
              </c:numCache>
            </c:numRef>
          </c:val>
          <c:smooth val="0"/>
          <c:extLst>
            <c:ext xmlns:c16="http://schemas.microsoft.com/office/drawing/2014/chart" uri="{C3380CC4-5D6E-409C-BE32-E72D297353CC}">
              <c16:uniqueId val="{00000004-621F-4F8D-844B-7975F17D0107}"/>
            </c:ext>
          </c:extLst>
        </c:ser>
        <c:dLbls>
          <c:showLegendKey val="0"/>
          <c:showVal val="0"/>
          <c:showCatName val="0"/>
          <c:showSerName val="0"/>
          <c:showPercent val="0"/>
          <c:showBubbleSize val="0"/>
        </c:dLbls>
        <c:smooth val="0"/>
        <c:axId val="138768768"/>
        <c:axId val="138770304"/>
      </c:lineChart>
      <c:catAx>
        <c:axId val="138768768"/>
        <c:scaling>
          <c:orientation val="minMax"/>
        </c:scaling>
        <c:delete val="0"/>
        <c:axPos val="b"/>
        <c:numFmt formatCode="General" sourceLinked="0"/>
        <c:majorTickMark val="none"/>
        <c:minorTickMark val="none"/>
        <c:tickLblPos val="nextTo"/>
        <c:crossAx val="138770304"/>
        <c:crosses val="autoZero"/>
        <c:auto val="1"/>
        <c:lblAlgn val="ctr"/>
        <c:lblOffset val="100"/>
        <c:noMultiLvlLbl val="0"/>
      </c:catAx>
      <c:valAx>
        <c:axId val="138770304"/>
        <c:scaling>
          <c:orientation val="minMax"/>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38768768"/>
        <c:crosses val="autoZero"/>
        <c:crossBetween val="between"/>
      </c:valAx>
    </c:plotArea>
    <c:legend>
      <c:legendPos val="r"/>
      <c:layout>
        <c:manualLayout>
          <c:xMode val="edge"/>
          <c:yMode val="edge"/>
          <c:x val="0.80383606722756107"/>
          <c:y val="0.22371135899679492"/>
          <c:w val="0.17479699539498494"/>
          <c:h val="0.41858595800525333"/>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0933" l="0.70000000000000062" r="0.70000000000000062" t="0.750000000000009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Conducatance Profiles 3/28/2011</a:t>
            </a:r>
          </a:p>
        </c:rich>
      </c:tx>
      <c:overlay val="0"/>
    </c:title>
    <c:autoTitleDeleted val="0"/>
    <c:plotArea>
      <c:layout/>
      <c:lineChart>
        <c:grouping val="standard"/>
        <c:varyColors val="0"/>
        <c:ser>
          <c:idx val="1"/>
          <c:order val="0"/>
          <c:tx>
            <c:strRef>
              <c:f>'3-28-11'!$B$7</c:f>
              <c:strCache>
                <c:ptCount val="1"/>
                <c:pt idx="0">
                  <c:v>Site 40 (CP)</c:v>
                </c:pt>
              </c:strCache>
            </c:strRef>
          </c:tx>
          <c:marker>
            <c:symbol val="none"/>
          </c:marker>
          <c:cat>
            <c:strRef>
              <c:f>'3-28-11'!$A$8:$A$22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'3-28-11'!$C$8:$C$22</c:f>
              <c:numCache>
                <c:formatCode>General</c:formatCode>
                <c:ptCount val="15"/>
                <c:pt idx="0">
                  <c:v>0.57699999999999996</c:v>
                </c:pt>
                <c:pt idx="1">
                  <c:v>0.57799999999999996</c:v>
                </c:pt>
                <c:pt idx="2">
                  <c:v>0.57699999999999996</c:v>
                </c:pt>
                <c:pt idx="3">
                  <c:v>0.57699999999999996</c:v>
                </c:pt>
                <c:pt idx="4">
                  <c:v>0.57799999999999996</c:v>
                </c:pt>
                <c:pt idx="5">
                  <c:v>0.57799999999999996</c:v>
                </c:pt>
                <c:pt idx="6">
                  <c:v>0.57799999999999996</c:v>
                </c:pt>
                <c:pt idx="7">
                  <c:v>0.57799999999999996</c:v>
                </c:pt>
                <c:pt idx="8">
                  <c:v>0.57799999999999996</c:v>
                </c:pt>
                <c:pt idx="9">
                  <c:v>0.57799999999999996</c:v>
                </c:pt>
                <c:pt idx="10">
                  <c:v>0.57799999999999996</c:v>
                </c:pt>
                <c:pt idx="11">
                  <c:v>0.57799999999999996</c:v>
                </c:pt>
                <c:pt idx="12">
                  <c:v>0.57999999999999996</c:v>
                </c:pt>
                <c:pt idx="13">
                  <c:v>0.58499999999999996</c:v>
                </c:pt>
                <c:pt idx="14">
                  <c:v>0.60799999999999998</c:v>
                </c:pt>
              </c:numCache>
            </c:numRef>
          </c:val>
          <c:smooth val="0"/>
          <c:extLst>
            <c:ext xmlns:c16="http://schemas.microsoft.com/office/drawing/2014/chart" uri="{C3380CC4-5D6E-409C-BE32-E72D297353CC}">
              <c16:uniqueId val="{00000000-BA49-49DA-A633-E1D18D18BBB5}"/>
            </c:ext>
          </c:extLst>
        </c:ser>
        <c:ser>
          <c:idx val="0"/>
          <c:order val="1"/>
          <c:tx>
            <c:strRef>
              <c:f>'3-28-11'!$A$44</c:f>
              <c:strCache>
                <c:ptCount val="1"/>
                <c:pt idx="0">
                  <c:v>Site 41 (1)</c:v>
                </c:pt>
              </c:strCache>
            </c:strRef>
          </c:tx>
          <c:marker>
            <c:symbol val="none"/>
          </c:marker>
          <c:val>
            <c:numRef>
              <c:f>'3-28-11'!$C$45:$C$56</c:f>
              <c:numCache>
                <c:formatCode>General</c:formatCode>
                <c:ptCount val="12"/>
                <c:pt idx="0">
                  <c:v>0.57699999999999996</c:v>
                </c:pt>
                <c:pt idx="1">
                  <c:v>0.57599999999999996</c:v>
                </c:pt>
                <c:pt idx="2">
                  <c:v>0.57799999999999996</c:v>
                </c:pt>
                <c:pt idx="3">
                  <c:v>0.57799999999999996</c:v>
                </c:pt>
                <c:pt idx="4">
                  <c:v>0.57699999999999996</c:v>
                </c:pt>
                <c:pt idx="5">
                  <c:v>0.57799999999999996</c:v>
                </c:pt>
                <c:pt idx="6">
                  <c:v>0.57799999999999996</c:v>
                </c:pt>
                <c:pt idx="7">
                  <c:v>0.57799999999999996</c:v>
                </c:pt>
                <c:pt idx="8">
                  <c:v>0.57799999999999996</c:v>
                </c:pt>
                <c:pt idx="9">
                  <c:v>0.57799999999999996</c:v>
                </c:pt>
                <c:pt idx="10">
                  <c:v>0.57799999999999996</c:v>
                </c:pt>
                <c:pt idx="11">
                  <c:v>0.57799999999999996</c:v>
                </c:pt>
              </c:numCache>
            </c:numRef>
          </c:val>
          <c:smooth val="0"/>
          <c:extLst>
            <c:ext xmlns:c16="http://schemas.microsoft.com/office/drawing/2014/chart" uri="{C3380CC4-5D6E-409C-BE32-E72D297353CC}">
              <c16:uniqueId val="{00000001-BA49-49DA-A633-E1D18D18BBB5}"/>
            </c:ext>
          </c:extLst>
        </c:ser>
        <c:ser>
          <c:idx val="2"/>
          <c:order val="2"/>
          <c:tx>
            <c:strRef>
              <c:f>'3-28-11'!$A$58</c:f>
              <c:strCache>
                <c:ptCount val="1"/>
                <c:pt idx="0">
                  <c:v>Site 42 (3)</c:v>
                </c:pt>
              </c:strCache>
            </c:strRef>
          </c:tx>
          <c:marker>
            <c:symbol val="none"/>
          </c:marker>
          <c:val>
            <c:numRef>
              <c:f>'3-28-11'!$C$59:$C$67</c:f>
              <c:numCache>
                <c:formatCode>General</c:formatCode>
                <c:ptCount val="9"/>
                <c:pt idx="0">
                  <c:v>0.57699999999999996</c:v>
                </c:pt>
                <c:pt idx="1">
                  <c:v>0.57699999999999996</c:v>
                </c:pt>
                <c:pt idx="2">
                  <c:v>0.57699999999999996</c:v>
                </c:pt>
                <c:pt idx="3">
                  <c:v>0.57699999999999996</c:v>
                </c:pt>
                <c:pt idx="4">
                  <c:v>0.57699999999999996</c:v>
                </c:pt>
                <c:pt idx="5">
                  <c:v>0.57699999999999996</c:v>
                </c:pt>
                <c:pt idx="6">
                  <c:v>0.57699999999999996</c:v>
                </c:pt>
                <c:pt idx="7">
                  <c:v>0.57699999999999996</c:v>
                </c:pt>
                <c:pt idx="8">
                  <c:v>0.57899999999999996</c:v>
                </c:pt>
              </c:numCache>
            </c:numRef>
          </c:val>
          <c:smooth val="0"/>
          <c:extLst>
            <c:ext xmlns:c16="http://schemas.microsoft.com/office/drawing/2014/chart" uri="{C3380CC4-5D6E-409C-BE32-E72D297353CC}">
              <c16:uniqueId val="{00000002-BA49-49DA-A633-E1D18D18BBB5}"/>
            </c:ext>
          </c:extLst>
        </c:ser>
        <c:ser>
          <c:idx val="3"/>
          <c:order val="3"/>
          <c:tx>
            <c:strRef>
              <c:f>'3-28-11'!$A$72</c:f>
              <c:strCache>
                <c:ptCount val="1"/>
                <c:pt idx="0">
                  <c:v>Site 43 (4)</c:v>
                </c:pt>
              </c:strCache>
            </c:strRef>
          </c:tx>
          <c:marker>
            <c:symbol val="none"/>
          </c:marker>
          <c:val>
            <c:numRef>
              <c:f>'3-28-11'!$C$73:$C$79</c:f>
              <c:numCache>
                <c:formatCode>General</c:formatCode>
                <c:ptCount val="7"/>
                <c:pt idx="0">
                  <c:v>0.57799999999999996</c:v>
                </c:pt>
                <c:pt idx="1">
                  <c:v>0.57799999999999996</c:v>
                </c:pt>
                <c:pt idx="2">
                  <c:v>0.57899999999999996</c:v>
                </c:pt>
                <c:pt idx="3">
                  <c:v>0.57899999999999996</c:v>
                </c:pt>
                <c:pt idx="4">
                  <c:v>0.57999999999999996</c:v>
                </c:pt>
                <c:pt idx="5">
                  <c:v>0.58299999999999996</c:v>
                </c:pt>
                <c:pt idx="6">
                  <c:v>0.59499999999999997</c:v>
                </c:pt>
              </c:numCache>
            </c:numRef>
          </c:val>
          <c:smooth val="0"/>
          <c:extLst>
            <c:ext xmlns:c16="http://schemas.microsoft.com/office/drawing/2014/chart" uri="{C3380CC4-5D6E-409C-BE32-E72D297353CC}">
              <c16:uniqueId val="{00000003-BA49-49DA-A633-E1D18D18BBB5}"/>
            </c:ext>
          </c:extLst>
        </c:ser>
        <c:ser>
          <c:idx val="4"/>
          <c:order val="4"/>
          <c:tx>
            <c:strRef>
              <c:f>'3-28-11'!$A$83</c:f>
              <c:strCache>
                <c:ptCount val="1"/>
                <c:pt idx="0">
                  <c:v>Site 44 (5)</c:v>
                </c:pt>
              </c:strCache>
            </c:strRef>
          </c:tx>
          <c:marker>
            <c:symbol val="none"/>
          </c:marker>
          <c:val>
            <c:numRef>
              <c:f>'3-28-11'!$C$84:$C$93</c:f>
              <c:numCache>
                <c:formatCode>General</c:formatCode>
                <c:ptCount val="10"/>
                <c:pt idx="0">
                  <c:v>0.57799999999999996</c:v>
                </c:pt>
                <c:pt idx="1">
                  <c:v>0.57799999999999996</c:v>
                </c:pt>
                <c:pt idx="2">
                  <c:v>0.57799999999999996</c:v>
                </c:pt>
                <c:pt idx="3">
                  <c:v>0.57799999999999996</c:v>
                </c:pt>
                <c:pt idx="4">
                  <c:v>0.57799999999999996</c:v>
                </c:pt>
                <c:pt idx="5">
                  <c:v>0.57799999999999996</c:v>
                </c:pt>
                <c:pt idx="6">
                  <c:v>0.57799999999999996</c:v>
                </c:pt>
                <c:pt idx="7">
                  <c:v>0.57799999999999996</c:v>
                </c:pt>
                <c:pt idx="8">
                  <c:v>0.57799999999999996</c:v>
                </c:pt>
                <c:pt idx="9">
                  <c:v>0.57999999999999996</c:v>
                </c:pt>
              </c:numCache>
            </c:numRef>
          </c:val>
          <c:smooth val="0"/>
          <c:extLst>
            <c:ext xmlns:c16="http://schemas.microsoft.com/office/drawing/2014/chart" uri="{C3380CC4-5D6E-409C-BE32-E72D297353CC}">
              <c16:uniqueId val="{00000004-BA49-49DA-A633-E1D18D18BBB5}"/>
            </c:ext>
          </c:extLst>
        </c:ser>
        <c:dLbls>
          <c:showLegendKey val="0"/>
          <c:showVal val="0"/>
          <c:showCatName val="0"/>
          <c:showSerName val="0"/>
          <c:showPercent val="0"/>
          <c:showBubbleSize val="0"/>
        </c:dLbls>
        <c:smooth val="0"/>
        <c:axId val="138937472"/>
        <c:axId val="138939008"/>
      </c:lineChart>
      <c:catAx>
        <c:axId val="138937472"/>
        <c:scaling>
          <c:orientation val="minMax"/>
        </c:scaling>
        <c:delete val="0"/>
        <c:axPos val="b"/>
        <c:numFmt formatCode="General" sourceLinked="0"/>
        <c:majorTickMark val="none"/>
        <c:minorTickMark val="none"/>
        <c:tickLblPos val="nextTo"/>
        <c:crossAx val="138939008"/>
        <c:crosses val="autoZero"/>
        <c:auto val="1"/>
        <c:lblAlgn val="ctr"/>
        <c:lblOffset val="100"/>
        <c:noMultiLvlLbl val="0"/>
      </c:catAx>
      <c:valAx>
        <c:axId val="138939008"/>
        <c:scaling>
          <c:orientation val="minMax"/>
          <c:min val="0.55000000000000004"/>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38937472"/>
        <c:crosses val="autoZero"/>
        <c:crossBetween val="between"/>
        <c:majorUnit val="0.05"/>
        <c:minorUnit val="2.5000000000000012E-2"/>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933" l="0.70000000000000062" r="0.70000000000000062" t="0.75000000000000933"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3/28/2011</a:t>
            </a:r>
          </a:p>
        </c:rich>
      </c:tx>
      <c:overlay val="0"/>
    </c:title>
    <c:autoTitleDeleted val="0"/>
    <c:plotArea>
      <c:layout/>
      <c:lineChart>
        <c:grouping val="standard"/>
        <c:varyColors val="0"/>
        <c:ser>
          <c:idx val="0"/>
          <c:order val="0"/>
          <c:tx>
            <c:strRef>
              <c:f>'3-28-11'!$B$7</c:f>
              <c:strCache>
                <c:ptCount val="1"/>
                <c:pt idx="0">
                  <c:v>Site 40 (CP)</c:v>
                </c:pt>
              </c:strCache>
            </c:strRef>
          </c:tx>
          <c:marker>
            <c:symbol val="none"/>
          </c:marker>
          <c:cat>
            <c:strRef>
              <c:f>'3-28-11'!$A$8:$A$22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'3-28-11'!$F$8:$F$22</c:f>
              <c:numCache>
                <c:formatCode>General</c:formatCode>
                <c:ptCount val="15"/>
                <c:pt idx="0">
                  <c:v>8.15</c:v>
                </c:pt>
                <c:pt idx="1">
                  <c:v>8.08</c:v>
                </c:pt>
                <c:pt idx="2">
                  <c:v>8.01</c:v>
                </c:pt>
                <c:pt idx="3">
                  <c:v>8.0500000000000007</c:v>
                </c:pt>
                <c:pt idx="4">
                  <c:v>8.06</c:v>
                </c:pt>
                <c:pt idx="5">
                  <c:v>8.01</c:v>
                </c:pt>
                <c:pt idx="6">
                  <c:v>7.99</c:v>
                </c:pt>
                <c:pt idx="7">
                  <c:v>8.0299999999999994</c:v>
                </c:pt>
                <c:pt idx="8">
                  <c:v>8</c:v>
                </c:pt>
                <c:pt idx="9">
                  <c:v>7.99</c:v>
                </c:pt>
                <c:pt idx="10">
                  <c:v>7.96</c:v>
                </c:pt>
                <c:pt idx="11">
                  <c:v>7.99</c:v>
                </c:pt>
                <c:pt idx="12">
                  <c:v>8</c:v>
                </c:pt>
                <c:pt idx="13">
                  <c:v>8.01</c:v>
                </c:pt>
                <c:pt idx="14">
                  <c:v>7.93</c:v>
                </c:pt>
              </c:numCache>
            </c:numRef>
          </c:val>
          <c:smooth val="0"/>
          <c:extLst>
            <c:ext xmlns:c16="http://schemas.microsoft.com/office/drawing/2014/chart" uri="{C3380CC4-5D6E-409C-BE32-E72D297353CC}">
              <c16:uniqueId val="{00000000-56B8-452C-A112-47A02873D72F}"/>
            </c:ext>
          </c:extLst>
        </c:ser>
        <c:ser>
          <c:idx val="1"/>
          <c:order val="1"/>
          <c:tx>
            <c:strRef>
              <c:f>'3-28-11'!$A$44</c:f>
              <c:strCache>
                <c:ptCount val="1"/>
                <c:pt idx="0">
                  <c:v>Site 41 (1)</c:v>
                </c:pt>
              </c:strCache>
            </c:strRef>
          </c:tx>
          <c:marker>
            <c:symbol val="none"/>
          </c:marker>
          <c:val>
            <c:numRef>
              <c:f>'3-28-11'!$F$45:$F$56</c:f>
              <c:numCache>
                <c:formatCode>General</c:formatCode>
                <c:ptCount val="12"/>
                <c:pt idx="0">
                  <c:v>8.26</c:v>
                </c:pt>
                <c:pt idx="1">
                  <c:v>8.09</c:v>
                </c:pt>
                <c:pt idx="2">
                  <c:v>8.08</c:v>
                </c:pt>
                <c:pt idx="3">
                  <c:v>8.09</c:v>
                </c:pt>
                <c:pt idx="4">
                  <c:v>8.07</c:v>
                </c:pt>
                <c:pt idx="5">
                  <c:v>8.0299999999999994</c:v>
                </c:pt>
                <c:pt idx="6">
                  <c:v>8.02</c:v>
                </c:pt>
                <c:pt idx="7">
                  <c:v>8</c:v>
                </c:pt>
                <c:pt idx="8">
                  <c:v>7.95</c:v>
                </c:pt>
                <c:pt idx="9">
                  <c:v>7.94</c:v>
                </c:pt>
                <c:pt idx="10">
                  <c:v>7.94</c:v>
                </c:pt>
                <c:pt idx="11">
                  <c:v>7.93</c:v>
                </c:pt>
              </c:numCache>
            </c:numRef>
          </c:val>
          <c:smooth val="0"/>
          <c:extLst>
            <c:ext xmlns:c16="http://schemas.microsoft.com/office/drawing/2014/chart" uri="{C3380CC4-5D6E-409C-BE32-E72D297353CC}">
              <c16:uniqueId val="{00000001-56B8-452C-A112-47A02873D72F}"/>
            </c:ext>
          </c:extLst>
        </c:ser>
        <c:ser>
          <c:idx val="2"/>
          <c:order val="2"/>
          <c:tx>
            <c:strRef>
              <c:f>'3-28-11'!$A$58</c:f>
              <c:strCache>
                <c:ptCount val="1"/>
                <c:pt idx="0">
                  <c:v>Site 42 (3)</c:v>
                </c:pt>
              </c:strCache>
            </c:strRef>
          </c:tx>
          <c:marker>
            <c:symbol val="none"/>
          </c:marker>
          <c:val>
            <c:numRef>
              <c:f>'3-28-11'!$F$59:$F$67</c:f>
              <c:numCache>
                <c:formatCode>General</c:formatCode>
                <c:ptCount val="9"/>
                <c:pt idx="0">
                  <c:v>7.94</c:v>
                </c:pt>
                <c:pt idx="1">
                  <c:v>7.9</c:v>
                </c:pt>
                <c:pt idx="2">
                  <c:v>7.95</c:v>
                </c:pt>
                <c:pt idx="3">
                  <c:v>7.99</c:v>
                </c:pt>
                <c:pt idx="4">
                  <c:v>7.98</c:v>
                </c:pt>
                <c:pt idx="5">
                  <c:v>8.01</c:v>
                </c:pt>
                <c:pt idx="6">
                  <c:v>7.94</c:v>
                </c:pt>
                <c:pt idx="7">
                  <c:v>7.98</c:v>
                </c:pt>
                <c:pt idx="8">
                  <c:v>7.96</c:v>
                </c:pt>
              </c:numCache>
            </c:numRef>
          </c:val>
          <c:smooth val="0"/>
          <c:extLst>
            <c:ext xmlns:c16="http://schemas.microsoft.com/office/drawing/2014/chart" uri="{C3380CC4-5D6E-409C-BE32-E72D297353CC}">
              <c16:uniqueId val="{00000002-56B8-452C-A112-47A02873D72F}"/>
            </c:ext>
          </c:extLst>
        </c:ser>
        <c:ser>
          <c:idx val="3"/>
          <c:order val="3"/>
          <c:tx>
            <c:strRef>
              <c:f>'3-28-11'!$A$72</c:f>
              <c:strCache>
                <c:ptCount val="1"/>
                <c:pt idx="0">
                  <c:v>Site 43 (4)</c:v>
                </c:pt>
              </c:strCache>
            </c:strRef>
          </c:tx>
          <c:marker>
            <c:symbol val="none"/>
          </c:marker>
          <c:val>
            <c:numRef>
              <c:f>'3-28-11'!$F$73:$F$79</c:f>
              <c:numCache>
                <c:formatCode>General</c:formatCode>
                <c:ptCount val="7"/>
                <c:pt idx="0">
                  <c:v>8.1</c:v>
                </c:pt>
                <c:pt idx="1">
                  <c:v>8.06</c:v>
                </c:pt>
                <c:pt idx="2">
                  <c:v>8.0299999999999994</c:v>
                </c:pt>
                <c:pt idx="3">
                  <c:v>8.0500000000000007</c:v>
                </c:pt>
                <c:pt idx="4">
                  <c:v>7.98</c:v>
                </c:pt>
                <c:pt idx="5">
                  <c:v>8.0299999999999994</c:v>
                </c:pt>
                <c:pt idx="6">
                  <c:v>7.98</c:v>
                </c:pt>
              </c:numCache>
            </c:numRef>
          </c:val>
          <c:smooth val="0"/>
          <c:extLst>
            <c:ext xmlns:c16="http://schemas.microsoft.com/office/drawing/2014/chart" uri="{C3380CC4-5D6E-409C-BE32-E72D297353CC}">
              <c16:uniqueId val="{00000003-56B8-452C-A112-47A02873D72F}"/>
            </c:ext>
          </c:extLst>
        </c:ser>
        <c:ser>
          <c:idx val="4"/>
          <c:order val="4"/>
          <c:tx>
            <c:strRef>
              <c:f>'3-28-11'!$A$83</c:f>
              <c:strCache>
                <c:ptCount val="1"/>
                <c:pt idx="0">
                  <c:v>Site 44 (5)</c:v>
                </c:pt>
              </c:strCache>
            </c:strRef>
          </c:tx>
          <c:marker>
            <c:symbol val="none"/>
          </c:marker>
          <c:val>
            <c:numRef>
              <c:f>'3-28-11'!$F$84:$F$93</c:f>
              <c:numCache>
                <c:formatCode>0.00</c:formatCode>
                <c:ptCount val="10"/>
                <c:pt idx="0">
                  <c:v>8.07</c:v>
                </c:pt>
                <c:pt idx="1">
                  <c:v>8.07</c:v>
                </c:pt>
                <c:pt idx="2">
                  <c:v>8.0500000000000007</c:v>
                </c:pt>
                <c:pt idx="3">
                  <c:v>8.02</c:v>
                </c:pt>
                <c:pt idx="4">
                  <c:v>8.02</c:v>
                </c:pt>
                <c:pt idx="5">
                  <c:v>7.95</c:v>
                </c:pt>
                <c:pt idx="6">
                  <c:v>7.98</c:v>
                </c:pt>
                <c:pt idx="7">
                  <c:v>7.99</c:v>
                </c:pt>
                <c:pt idx="8">
                  <c:v>7.95</c:v>
                </c:pt>
                <c:pt idx="9">
                  <c:v>7.91</c:v>
                </c:pt>
              </c:numCache>
            </c:numRef>
          </c:val>
          <c:smooth val="0"/>
          <c:extLst>
            <c:ext xmlns:c16="http://schemas.microsoft.com/office/drawing/2014/chart" uri="{C3380CC4-5D6E-409C-BE32-E72D297353CC}">
              <c16:uniqueId val="{00000004-56B8-452C-A112-47A02873D72F}"/>
            </c:ext>
          </c:extLst>
        </c:ser>
        <c:dLbls>
          <c:showLegendKey val="0"/>
          <c:showVal val="0"/>
          <c:showCatName val="0"/>
          <c:showSerName val="0"/>
          <c:showPercent val="0"/>
          <c:showBubbleSize val="0"/>
        </c:dLbls>
        <c:smooth val="0"/>
        <c:axId val="138987392"/>
        <c:axId val="138988928"/>
      </c:lineChart>
      <c:catAx>
        <c:axId val="138987392"/>
        <c:scaling>
          <c:orientation val="minMax"/>
        </c:scaling>
        <c:delete val="0"/>
        <c:axPos val="b"/>
        <c:numFmt formatCode="General" sourceLinked="0"/>
        <c:majorTickMark val="none"/>
        <c:minorTickMark val="none"/>
        <c:tickLblPos val="nextTo"/>
        <c:crossAx val="138988928"/>
        <c:crosses val="autoZero"/>
        <c:auto val="1"/>
        <c:lblAlgn val="ctr"/>
        <c:lblOffset val="100"/>
        <c:noMultiLvlLbl val="0"/>
      </c:catAx>
      <c:valAx>
        <c:axId val="138988928"/>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38987392"/>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933" l="0.70000000000000062" r="0.70000000000000062" t="0.75000000000000933"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(4/25/2011)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833"/>
        </c:manualLayout>
      </c:layout>
      <c:lineChart>
        <c:grouping val="standard"/>
        <c:varyColors val="0"/>
        <c:ser>
          <c:idx val="0"/>
          <c:order val="0"/>
          <c:tx>
            <c:strRef>
              <c:f>'4-25-11'!$D$3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'4-25-11'!$D$8:$D$22</c:f>
              <c:numCache>
                <c:formatCode>General</c:formatCode>
                <c:ptCount val="15"/>
                <c:pt idx="0">
                  <c:v>10.02</c:v>
                </c:pt>
                <c:pt idx="1">
                  <c:v>10.14</c:v>
                </c:pt>
                <c:pt idx="2">
                  <c:v>10.3</c:v>
                </c:pt>
                <c:pt idx="3">
                  <c:v>10.24</c:v>
                </c:pt>
                <c:pt idx="4">
                  <c:v>10.26</c:v>
                </c:pt>
                <c:pt idx="5">
                  <c:v>10.26</c:v>
                </c:pt>
                <c:pt idx="6">
                  <c:v>10.220000000000001</c:v>
                </c:pt>
                <c:pt idx="7">
                  <c:v>10.16</c:v>
                </c:pt>
                <c:pt idx="8">
                  <c:v>10.1</c:v>
                </c:pt>
                <c:pt idx="9" formatCode="0.00">
                  <c:v>10.130000000000001</c:v>
                </c:pt>
                <c:pt idx="10" formatCode="0.00">
                  <c:v>10.17</c:v>
                </c:pt>
                <c:pt idx="11" formatCode="0.00">
                  <c:v>9.76</c:v>
                </c:pt>
                <c:pt idx="12" formatCode="0.00">
                  <c:v>9.57</c:v>
                </c:pt>
                <c:pt idx="13" formatCode="0.00">
                  <c:v>9.6199999999999992</c:v>
                </c:pt>
                <c:pt idx="14">
                  <c:v>9.43</c:v>
                </c:pt>
              </c:numCache>
            </c:numRef>
          </c:val>
          <c:smooth val="0"/>
          <c:extLst>
            <c:ext xmlns:c16="http://schemas.microsoft.com/office/drawing/2014/chart" uri="{C3380CC4-5D6E-409C-BE32-E72D297353CC}">
              <c16:uniqueId val="{00000000-A8B4-46A5-8385-E7EB7F539BD4}"/>
            </c:ext>
          </c:extLst>
        </c:ser>
        <c:ser>
          <c:idx val="1"/>
          <c:order val="1"/>
          <c:tx>
            <c:strRef>
              <c:f>'4-25-11'!$E$3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'4-25-11'!$E$8:$E$22</c:f>
              <c:numCache>
                <c:formatCode>General</c:formatCode>
                <c:ptCount val="15"/>
                <c:pt idx="0">
                  <c:v>11</c:v>
                </c:pt>
                <c:pt idx="1">
                  <c:v>10.9</c:v>
                </c:pt>
                <c:pt idx="2">
                  <c:v>10.8</c:v>
                </c:pt>
                <c:pt idx="3">
                  <c:v>10.8</c:v>
                </c:pt>
                <c:pt idx="4">
                  <c:v>10.8</c:v>
                </c:pt>
                <c:pt idx="5">
                  <c:v>10.8</c:v>
                </c:pt>
                <c:pt idx="6">
                  <c:v>10.8</c:v>
                </c:pt>
                <c:pt idx="7">
                  <c:v>10.8</c:v>
                </c:pt>
                <c:pt idx="8">
                  <c:v>10.7</c:v>
                </c:pt>
                <c:pt idx="9">
                  <c:v>10.7</c:v>
                </c:pt>
                <c:pt idx="10">
                  <c:v>10.7</c:v>
                </c:pt>
                <c:pt idx="11">
                  <c:v>10.7</c:v>
                </c:pt>
                <c:pt idx="12">
                  <c:v>10.6</c:v>
                </c:pt>
                <c:pt idx="13">
                  <c:v>10.5</c:v>
                </c:pt>
                <c:pt idx="14">
                  <c:v>10.1</c:v>
                </c:pt>
              </c:numCache>
            </c:numRef>
          </c:val>
          <c:smooth val="0"/>
          <c:extLst>
            <c:ext xmlns:c16="http://schemas.microsoft.com/office/drawing/2014/chart" uri="{C3380CC4-5D6E-409C-BE32-E72D297353CC}">
              <c16:uniqueId val="{00000001-A8B4-46A5-8385-E7EB7F539BD4}"/>
            </c:ext>
          </c:extLst>
        </c:ser>
        <c:dLbls>
          <c:showLegendKey val="0"/>
          <c:showVal val="0"/>
          <c:showCatName val="0"/>
          <c:showSerName val="0"/>
          <c:showPercent val="0"/>
          <c:showBubbleSize val="0"/>
        </c:dLbls>
        <c:smooth val="0"/>
        <c:axId val="139117312"/>
        <c:axId val="139118848"/>
      </c:lineChart>
      <c:catAx>
        <c:axId val="139117312"/>
        <c:scaling>
          <c:orientation val="minMax"/>
        </c:scaling>
        <c:delete val="0"/>
        <c:axPos val="b"/>
        <c:minorGridlines/>
        <c:numFmt formatCode="General" sourceLinked="0"/>
        <c:majorTickMark val="out"/>
        <c:minorTickMark val="none"/>
        <c:tickLblPos val="nextTo"/>
        <c:crossAx val="139118848"/>
        <c:crosses val="autoZero"/>
        <c:auto val="1"/>
        <c:lblAlgn val="ctr"/>
        <c:lblOffset val="100"/>
        <c:noMultiLvlLbl val="0"/>
      </c:catAx>
      <c:valAx>
        <c:axId val="139118848"/>
        <c:scaling>
          <c:orientation val="minMax"/>
        </c:scaling>
        <c:delete val="0"/>
        <c:axPos val="l"/>
        <c:majorGridlines/>
        <c:minorGridlines/>
        <c:numFmt formatCode="General" sourceLinked="1"/>
        <c:majorTickMark val="out"/>
        <c:minorTickMark val="none"/>
        <c:tickLblPos val="nextTo"/>
        <c:crossAx val="139117312"/>
        <c:crosses val="autoZero"/>
        <c:crossBetween val="midCat"/>
      </c:valAx>
    </c:plotArea>
    <c:legend>
      <c:legendPos val="r"/>
      <c:layout>
        <c:manualLayout>
          <c:xMode val="edge"/>
          <c:yMode val="edge"/>
          <c:x val="0.7798125636507186"/>
          <c:y val="0.12929410139522327"/>
          <c:w val="0.14748622047244841"/>
          <c:h val="0.15758530183727881"/>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4/25/2011</a:t>
            </a:r>
          </a:p>
        </c:rich>
      </c:tx>
      <c:overlay val="0"/>
    </c:title>
    <c:autoTitleDeleted val="0"/>
    <c:plotArea>
      <c:layout/>
      <c:lineChart>
        <c:grouping val="standard"/>
        <c:varyColors val="0"/>
        <c:ser>
          <c:idx val="2"/>
          <c:order val="0"/>
          <c:tx>
            <c:strRef>
              <c:f>'4-25-11'!$B$7</c:f>
              <c:strCache>
                <c:ptCount val="1"/>
                <c:pt idx="0">
                  <c:v>Site 40 (CP)</c:v>
                </c:pt>
              </c:strCache>
            </c:strRef>
          </c:tx>
          <c:marker>
            <c:symbol val="none"/>
          </c:marker>
          <c:cat>
            <c:strRef>
              <c:f>'4-25-11'!$A$8:$A$22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'4-25-11'!$D$8:$D$22</c:f>
              <c:numCache>
                <c:formatCode>General</c:formatCode>
                <c:ptCount val="15"/>
                <c:pt idx="0">
                  <c:v>10.02</c:v>
                </c:pt>
                <c:pt idx="1">
                  <c:v>10.14</c:v>
                </c:pt>
                <c:pt idx="2">
                  <c:v>10.3</c:v>
                </c:pt>
                <c:pt idx="3">
                  <c:v>10.24</c:v>
                </c:pt>
                <c:pt idx="4">
                  <c:v>10.26</c:v>
                </c:pt>
                <c:pt idx="5">
                  <c:v>10.26</c:v>
                </c:pt>
                <c:pt idx="6">
                  <c:v>10.220000000000001</c:v>
                </c:pt>
                <c:pt idx="7">
                  <c:v>10.16</c:v>
                </c:pt>
                <c:pt idx="8">
                  <c:v>10.1</c:v>
                </c:pt>
                <c:pt idx="9" formatCode="0.00">
                  <c:v>10.130000000000001</c:v>
                </c:pt>
                <c:pt idx="10" formatCode="0.00">
                  <c:v>10.17</c:v>
                </c:pt>
                <c:pt idx="11" formatCode="0.00">
                  <c:v>9.76</c:v>
                </c:pt>
                <c:pt idx="12" formatCode="0.00">
                  <c:v>9.57</c:v>
                </c:pt>
                <c:pt idx="13" formatCode="0.00">
                  <c:v>9.6199999999999992</c:v>
                </c:pt>
                <c:pt idx="14">
                  <c:v>9.43</c:v>
                </c:pt>
              </c:numCache>
            </c:numRef>
          </c:val>
          <c:smooth val="0"/>
          <c:extLst>
            <c:ext xmlns:c16="http://schemas.microsoft.com/office/drawing/2014/chart" uri="{C3380CC4-5D6E-409C-BE32-E72D297353CC}">
              <c16:uniqueId val="{00000000-2985-4802-BD72-02B83D3DE005}"/>
            </c:ext>
          </c:extLst>
        </c:ser>
        <c:ser>
          <c:idx val="0"/>
          <c:order val="1"/>
          <c:tx>
            <c:strRef>
              <c:f>'4-25-11'!$A$44</c:f>
              <c:strCache>
                <c:ptCount val="1"/>
                <c:pt idx="0">
                  <c:v>Site 41 (1)</c:v>
                </c:pt>
              </c:strCache>
            </c:strRef>
          </c:tx>
          <c:marker>
            <c:symbol val="none"/>
          </c:marker>
          <c:val>
            <c:numRef>
              <c:f>'4-25-11'!$D$45:$D$56</c:f>
              <c:numCache>
                <c:formatCode>General</c:formatCode>
                <c:ptCount val="12"/>
                <c:pt idx="0">
                  <c:v>10.89</c:v>
                </c:pt>
                <c:pt idx="1">
                  <c:v>10.72</c:v>
                </c:pt>
                <c:pt idx="2">
                  <c:v>10.85</c:v>
                </c:pt>
                <c:pt idx="3">
                  <c:v>10.9</c:v>
                </c:pt>
                <c:pt idx="4">
                  <c:v>10.72</c:v>
                </c:pt>
                <c:pt idx="5">
                  <c:v>10.7</c:v>
                </c:pt>
                <c:pt idx="6">
                  <c:v>10.7</c:v>
                </c:pt>
                <c:pt idx="7">
                  <c:v>10.68</c:v>
                </c:pt>
                <c:pt idx="8">
                  <c:v>10.62</c:v>
                </c:pt>
                <c:pt idx="9">
                  <c:v>10.27</c:v>
                </c:pt>
                <c:pt idx="10">
                  <c:v>10.26</c:v>
                </c:pt>
                <c:pt idx="11">
                  <c:v>9.82</c:v>
                </c:pt>
              </c:numCache>
            </c:numRef>
          </c:val>
          <c:smooth val="0"/>
          <c:extLst>
            <c:ext xmlns:c16="http://schemas.microsoft.com/office/drawing/2014/chart" uri="{C3380CC4-5D6E-409C-BE32-E72D297353CC}">
              <c16:uniqueId val="{00000001-2985-4802-BD72-02B83D3DE005}"/>
            </c:ext>
          </c:extLst>
        </c:ser>
        <c:ser>
          <c:idx val="1"/>
          <c:order val="2"/>
          <c:tx>
            <c:strRef>
              <c:f>'4-25-11'!$A$58</c:f>
              <c:strCache>
                <c:ptCount val="1"/>
                <c:pt idx="0">
                  <c:v>Site 42 (3)</c:v>
                </c:pt>
              </c:strCache>
            </c:strRef>
          </c:tx>
          <c:marker>
            <c:symbol val="none"/>
          </c:marker>
          <c:val>
            <c:numRef>
              <c:f>'4-25-11'!$D$59:$D$70</c:f>
              <c:numCache>
                <c:formatCode>General</c:formatCode>
                <c:ptCount val="12"/>
                <c:pt idx="0">
                  <c:v>10.31</c:v>
                </c:pt>
                <c:pt idx="1">
                  <c:v>10.72</c:v>
                </c:pt>
                <c:pt idx="2">
                  <c:v>10.82</c:v>
                </c:pt>
                <c:pt idx="3">
                  <c:v>10.85</c:v>
                </c:pt>
                <c:pt idx="4">
                  <c:v>10.81</c:v>
                </c:pt>
                <c:pt idx="5">
                  <c:v>10.76</c:v>
                </c:pt>
                <c:pt idx="6">
                  <c:v>10.78</c:v>
                </c:pt>
                <c:pt idx="7">
                  <c:v>10.71</c:v>
                </c:pt>
                <c:pt idx="8">
                  <c:v>10.65</c:v>
                </c:pt>
                <c:pt idx="9">
                  <c:v>10.6</c:v>
                </c:pt>
                <c:pt idx="10">
                  <c:v>10.43</c:v>
                </c:pt>
                <c:pt idx="11">
                  <c:v>9.33</c:v>
                </c:pt>
              </c:numCache>
            </c:numRef>
          </c:val>
          <c:smooth val="0"/>
          <c:extLst>
            <c:ext xmlns:c16="http://schemas.microsoft.com/office/drawing/2014/chart" uri="{C3380CC4-5D6E-409C-BE32-E72D297353CC}">
              <c16:uniqueId val="{00000002-2985-4802-BD72-02B83D3DE005}"/>
            </c:ext>
          </c:extLst>
        </c:ser>
        <c:ser>
          <c:idx val="3"/>
          <c:order val="3"/>
          <c:tx>
            <c:strRef>
              <c:f>'4-25-11'!$A$72</c:f>
              <c:strCache>
                <c:ptCount val="1"/>
                <c:pt idx="0">
                  <c:v>Site 43 (4)</c:v>
                </c:pt>
              </c:strCache>
            </c:strRef>
          </c:tx>
          <c:marker>
            <c:symbol val="none"/>
          </c:marker>
          <c:val>
            <c:numRef>
              <c:f>'4-25-11'!$D$73:$D$79</c:f>
              <c:numCache>
                <c:formatCode>General</c:formatCode>
                <c:ptCount val="7"/>
                <c:pt idx="0">
                  <c:v>10.63</c:v>
                </c:pt>
                <c:pt idx="1">
                  <c:v>10.87</c:v>
                </c:pt>
                <c:pt idx="2">
                  <c:v>10.96</c:v>
                </c:pt>
                <c:pt idx="3">
                  <c:v>10.97</c:v>
                </c:pt>
                <c:pt idx="4">
                  <c:v>11.22</c:v>
                </c:pt>
                <c:pt idx="5">
                  <c:v>11.32</c:v>
                </c:pt>
                <c:pt idx="6">
                  <c:v>11.32</c:v>
                </c:pt>
              </c:numCache>
            </c:numRef>
          </c:val>
          <c:smooth val="0"/>
          <c:extLst>
            <c:ext xmlns:c16="http://schemas.microsoft.com/office/drawing/2014/chart" uri="{C3380CC4-5D6E-409C-BE32-E72D297353CC}">
              <c16:uniqueId val="{00000003-2985-4802-BD72-02B83D3DE005}"/>
            </c:ext>
          </c:extLst>
        </c:ser>
        <c:ser>
          <c:idx val="4"/>
          <c:order val="4"/>
          <c:tx>
            <c:strRef>
              <c:f>'4-25-11'!$A$83</c:f>
              <c:strCache>
                <c:ptCount val="1"/>
                <c:pt idx="0">
                  <c:v>Site 44 (5)</c:v>
                </c:pt>
              </c:strCache>
            </c:strRef>
          </c:tx>
          <c:marker>
            <c:symbol val="none"/>
          </c:marker>
          <c:val>
            <c:numRef>
              <c:f>'4-25-11'!$D$84:$D$93</c:f>
              <c:numCache>
                <c:formatCode>0.00</c:formatCode>
                <c:ptCount val="10"/>
                <c:pt idx="0">
                  <c:v>10.98</c:v>
                </c:pt>
                <c:pt idx="1">
                  <c:v>11.11</c:v>
                </c:pt>
                <c:pt idx="2">
                  <c:v>11.17</c:v>
                </c:pt>
                <c:pt idx="3">
                  <c:v>11.26</c:v>
                </c:pt>
                <c:pt idx="4">
                  <c:v>10.86</c:v>
                </c:pt>
                <c:pt idx="5">
                  <c:v>10.199999999999999</c:v>
                </c:pt>
                <c:pt idx="6">
                  <c:v>10.86</c:v>
                </c:pt>
                <c:pt idx="7">
                  <c:v>10.96</c:v>
                </c:pt>
                <c:pt idx="8">
                  <c:v>10.82</c:v>
                </c:pt>
                <c:pt idx="9">
                  <c:v>10.9</c:v>
                </c:pt>
              </c:numCache>
            </c:numRef>
          </c:val>
          <c:smooth val="0"/>
          <c:extLst>
            <c:ext xmlns:c16="http://schemas.microsoft.com/office/drawing/2014/chart" uri="{C3380CC4-5D6E-409C-BE32-E72D297353CC}">
              <c16:uniqueId val="{00000004-2985-4802-BD72-02B83D3DE005}"/>
            </c:ext>
          </c:extLst>
        </c:ser>
        <c:dLbls>
          <c:showLegendKey val="0"/>
          <c:showVal val="0"/>
          <c:showCatName val="0"/>
          <c:showSerName val="0"/>
          <c:showPercent val="0"/>
          <c:showBubbleSize val="0"/>
        </c:dLbls>
        <c:smooth val="0"/>
        <c:axId val="139162752"/>
        <c:axId val="139164288"/>
      </c:lineChart>
      <c:catAx>
        <c:axId val="139162752"/>
        <c:scaling>
          <c:orientation val="minMax"/>
        </c:scaling>
        <c:delete val="0"/>
        <c:axPos val="b"/>
        <c:numFmt formatCode="General" sourceLinked="0"/>
        <c:majorTickMark val="none"/>
        <c:minorTickMark val="none"/>
        <c:tickLblPos val="nextTo"/>
        <c:crossAx val="139164288"/>
        <c:crosses val="autoZero"/>
        <c:auto val="1"/>
        <c:lblAlgn val="ctr"/>
        <c:lblOffset val="100"/>
        <c:noMultiLvlLbl val="0"/>
      </c:catAx>
      <c:valAx>
        <c:axId val="139164288"/>
        <c:scaling>
          <c:orientation val="minMax"/>
          <c:min val="8"/>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39162752"/>
        <c:crosses val="autoZero"/>
        <c:crossBetween val="between"/>
      </c:valAx>
    </c:plotArea>
    <c:legend>
      <c:legendPos val="r"/>
      <c:layout>
        <c:manualLayout>
          <c:xMode val="edge"/>
          <c:yMode val="edge"/>
          <c:x val="0.80383606722756107"/>
          <c:y val="0.22371135899679498"/>
          <c:w val="0.18230169504003776"/>
          <c:h val="0.418585958005253"/>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0955" l="0.70000000000000062" r="0.70000000000000062" t="0.750000000000009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Conducatance Profiles 4/25/2011</a:t>
            </a:r>
          </a:p>
        </c:rich>
      </c:tx>
      <c:overlay val="0"/>
    </c:title>
    <c:autoTitleDeleted val="0"/>
    <c:plotArea>
      <c:layout/>
      <c:lineChart>
        <c:grouping val="standard"/>
        <c:varyColors val="0"/>
        <c:ser>
          <c:idx val="1"/>
          <c:order val="0"/>
          <c:tx>
            <c:strRef>
              <c:f>'4-25-11'!$B$7</c:f>
              <c:strCache>
                <c:ptCount val="1"/>
                <c:pt idx="0">
                  <c:v>Site 40 (CP)</c:v>
                </c:pt>
              </c:strCache>
            </c:strRef>
          </c:tx>
          <c:marker>
            <c:symbol val="none"/>
          </c:marker>
          <c:cat>
            <c:strRef>
              <c:f>'4-25-11'!$A$8:$A$22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'4-25-11'!$C$8:$C$22</c:f>
              <c:numCache>
                <c:formatCode>General</c:formatCode>
                <c:ptCount val="15"/>
                <c:pt idx="0">
                  <c:v>0.61699999999999999</c:v>
                </c:pt>
                <c:pt idx="1">
                  <c:v>0.61799999999999999</c:v>
                </c:pt>
                <c:pt idx="2">
                  <c:v>0.61799999999999999</c:v>
                </c:pt>
                <c:pt idx="3">
                  <c:v>0.61799999999999999</c:v>
                </c:pt>
                <c:pt idx="4">
                  <c:v>0.61899999999999999</c:v>
                </c:pt>
                <c:pt idx="5">
                  <c:v>0.61899999999999999</c:v>
                </c:pt>
                <c:pt idx="6">
                  <c:v>0.61899999999999999</c:v>
                </c:pt>
                <c:pt idx="7">
                  <c:v>0.61899999999999999</c:v>
                </c:pt>
                <c:pt idx="8">
                  <c:v>0.61899999999999999</c:v>
                </c:pt>
                <c:pt idx="9">
                  <c:v>0.61899999999999999</c:v>
                </c:pt>
                <c:pt idx="10">
                  <c:v>0.621</c:v>
                </c:pt>
                <c:pt idx="11">
                  <c:v>0.622</c:v>
                </c:pt>
                <c:pt idx="12">
                  <c:v>0.629</c:v>
                </c:pt>
                <c:pt idx="13">
                  <c:v>0.64</c:v>
                </c:pt>
                <c:pt idx="14">
                  <c:v>0.66400000000000003</c:v>
                </c:pt>
              </c:numCache>
            </c:numRef>
          </c:val>
          <c:smooth val="0"/>
          <c:extLst>
            <c:ext xmlns:c16="http://schemas.microsoft.com/office/drawing/2014/chart" uri="{C3380CC4-5D6E-409C-BE32-E72D297353CC}">
              <c16:uniqueId val="{00000000-8921-4823-AD25-69264AEDB9AD}"/>
            </c:ext>
          </c:extLst>
        </c:ser>
        <c:ser>
          <c:idx val="0"/>
          <c:order val="1"/>
          <c:tx>
            <c:strRef>
              <c:f>'4-25-11'!$A$44</c:f>
              <c:strCache>
                <c:ptCount val="1"/>
                <c:pt idx="0">
                  <c:v>Site 41 (1)</c:v>
                </c:pt>
              </c:strCache>
            </c:strRef>
          </c:tx>
          <c:marker>
            <c:symbol val="none"/>
          </c:marker>
          <c:val>
            <c:numRef>
              <c:f>'4-25-11'!$C$45:$C$56</c:f>
              <c:numCache>
                <c:formatCode>General</c:formatCode>
                <c:ptCount val="12"/>
                <c:pt idx="0">
                  <c:v>0.61799999999999999</c:v>
                </c:pt>
                <c:pt idx="1">
                  <c:v>0.61799999999999999</c:v>
                </c:pt>
                <c:pt idx="2">
                  <c:v>0.61799999999999999</c:v>
                </c:pt>
                <c:pt idx="3">
                  <c:v>0.61799999999999999</c:v>
                </c:pt>
                <c:pt idx="4">
                  <c:v>0.61799999999999999</c:v>
                </c:pt>
                <c:pt idx="5">
                  <c:v>0.61899999999999999</c:v>
                </c:pt>
                <c:pt idx="6">
                  <c:v>0.61799999999999999</c:v>
                </c:pt>
                <c:pt idx="7">
                  <c:v>0.61799999999999999</c:v>
                </c:pt>
                <c:pt idx="8">
                  <c:v>0.61899999999999999</c:v>
                </c:pt>
                <c:pt idx="9">
                  <c:v>0.61899999999999999</c:v>
                </c:pt>
                <c:pt idx="10">
                  <c:v>0.62</c:v>
                </c:pt>
                <c:pt idx="11">
                  <c:v>0.622</c:v>
                </c:pt>
              </c:numCache>
            </c:numRef>
          </c:val>
          <c:smooth val="0"/>
          <c:extLst>
            <c:ext xmlns:c16="http://schemas.microsoft.com/office/drawing/2014/chart" uri="{C3380CC4-5D6E-409C-BE32-E72D297353CC}">
              <c16:uniqueId val="{00000001-8921-4823-AD25-69264AEDB9AD}"/>
            </c:ext>
          </c:extLst>
        </c:ser>
        <c:ser>
          <c:idx val="2"/>
          <c:order val="2"/>
          <c:tx>
            <c:strRef>
              <c:f>'4-25-11'!$A$58</c:f>
              <c:strCache>
                <c:ptCount val="1"/>
                <c:pt idx="0">
                  <c:v>Site 42 (3)</c:v>
                </c:pt>
              </c:strCache>
            </c:strRef>
          </c:tx>
          <c:marker>
            <c:symbol val="none"/>
          </c:marker>
          <c:val>
            <c:numRef>
              <c:f>'4-25-11'!$C$59:$C$70</c:f>
              <c:numCache>
                <c:formatCode>General</c:formatCode>
                <c:ptCount val="12"/>
                <c:pt idx="0">
                  <c:v>0.61699999999999999</c:v>
                </c:pt>
                <c:pt idx="1">
                  <c:v>0.61699999999999999</c:v>
                </c:pt>
                <c:pt idx="2">
                  <c:v>0.61699999999999999</c:v>
                </c:pt>
                <c:pt idx="3">
                  <c:v>0.61699999999999999</c:v>
                </c:pt>
                <c:pt idx="4">
                  <c:v>0.61799999999999999</c:v>
                </c:pt>
                <c:pt idx="5">
                  <c:v>0.61799999999999999</c:v>
                </c:pt>
                <c:pt idx="6">
                  <c:v>0.61899999999999999</c:v>
                </c:pt>
                <c:pt idx="7">
                  <c:v>0.61899999999999999</c:v>
                </c:pt>
                <c:pt idx="8">
                  <c:v>0.61899999999999999</c:v>
                </c:pt>
                <c:pt idx="9">
                  <c:v>0.62</c:v>
                </c:pt>
                <c:pt idx="10">
                  <c:v>0.621</c:v>
                </c:pt>
                <c:pt idx="11">
                  <c:v>0.624</c:v>
                </c:pt>
              </c:numCache>
            </c:numRef>
          </c:val>
          <c:smooth val="0"/>
          <c:extLst>
            <c:ext xmlns:c16="http://schemas.microsoft.com/office/drawing/2014/chart" uri="{C3380CC4-5D6E-409C-BE32-E72D297353CC}">
              <c16:uniqueId val="{00000002-8921-4823-AD25-69264AEDB9AD}"/>
            </c:ext>
          </c:extLst>
        </c:ser>
        <c:ser>
          <c:idx val="3"/>
          <c:order val="3"/>
          <c:tx>
            <c:strRef>
              <c:f>'4-25-11'!$A$72</c:f>
              <c:strCache>
                <c:ptCount val="1"/>
                <c:pt idx="0">
                  <c:v>Site 43 (4)</c:v>
                </c:pt>
              </c:strCache>
            </c:strRef>
          </c:tx>
          <c:marker>
            <c:symbol val="none"/>
          </c:marker>
          <c:val>
            <c:numRef>
              <c:f>'4-25-11'!$C$73:$C$79</c:f>
              <c:numCache>
                <c:formatCode>General</c:formatCode>
                <c:ptCount val="7"/>
                <c:pt idx="0">
                  <c:v>0.61699999999999999</c:v>
                </c:pt>
                <c:pt idx="1">
                  <c:v>0.61699999999999999</c:v>
                </c:pt>
                <c:pt idx="2">
                  <c:v>0.61799999999999999</c:v>
                </c:pt>
                <c:pt idx="3">
                  <c:v>0.61799999999999999</c:v>
                </c:pt>
                <c:pt idx="4">
                  <c:v>0.623</c:v>
                </c:pt>
                <c:pt idx="5">
                  <c:v>0.625</c:v>
                </c:pt>
                <c:pt idx="6">
                  <c:v>0.628</c:v>
                </c:pt>
              </c:numCache>
            </c:numRef>
          </c:val>
          <c:smooth val="0"/>
          <c:extLst>
            <c:ext xmlns:c16="http://schemas.microsoft.com/office/drawing/2014/chart" uri="{C3380CC4-5D6E-409C-BE32-E72D297353CC}">
              <c16:uniqueId val="{00000003-8921-4823-AD25-69264AEDB9AD}"/>
            </c:ext>
          </c:extLst>
        </c:ser>
        <c:ser>
          <c:idx val="4"/>
          <c:order val="4"/>
          <c:tx>
            <c:strRef>
              <c:f>'4-25-11'!$A$83</c:f>
              <c:strCache>
                <c:ptCount val="1"/>
                <c:pt idx="0">
                  <c:v>Site 44 (5)</c:v>
                </c:pt>
              </c:strCache>
            </c:strRef>
          </c:tx>
          <c:marker>
            <c:symbol val="none"/>
          </c:marker>
          <c:val>
            <c:numRef>
              <c:f>'4-25-11'!$C$84:$C$93</c:f>
              <c:numCache>
                <c:formatCode>General</c:formatCode>
                <c:ptCount val="10"/>
                <c:pt idx="0">
                  <c:v>0.61899999999999999</c:v>
                </c:pt>
                <c:pt idx="1">
                  <c:v>0.61699999999999999</c:v>
                </c:pt>
                <c:pt idx="2">
                  <c:v>0.61799999999999999</c:v>
                </c:pt>
                <c:pt idx="3">
                  <c:v>0.61799999999999999</c:v>
                </c:pt>
                <c:pt idx="4">
                  <c:v>0.61799999999999999</c:v>
                </c:pt>
                <c:pt idx="5">
                  <c:v>0.61799999999999999</c:v>
                </c:pt>
                <c:pt idx="6">
                  <c:v>0.61799999999999999</c:v>
                </c:pt>
                <c:pt idx="7">
                  <c:v>0.61799999999999999</c:v>
                </c:pt>
                <c:pt idx="8">
                  <c:v>0.61799999999999999</c:v>
                </c:pt>
                <c:pt idx="9">
                  <c:v>0.61099999999999999</c:v>
                </c:pt>
              </c:numCache>
            </c:numRef>
          </c:val>
          <c:smooth val="0"/>
          <c:extLst>
            <c:ext xmlns:c16="http://schemas.microsoft.com/office/drawing/2014/chart" uri="{C3380CC4-5D6E-409C-BE32-E72D297353CC}">
              <c16:uniqueId val="{00000004-8921-4823-AD25-69264AEDB9AD}"/>
            </c:ext>
          </c:extLst>
        </c:ser>
        <c:dLbls>
          <c:showLegendKey val="0"/>
          <c:showVal val="0"/>
          <c:showCatName val="0"/>
          <c:showSerName val="0"/>
          <c:showPercent val="0"/>
          <c:showBubbleSize val="0"/>
        </c:dLbls>
        <c:smooth val="0"/>
        <c:axId val="139204480"/>
        <c:axId val="139206016"/>
      </c:lineChart>
      <c:catAx>
        <c:axId val="139204480"/>
        <c:scaling>
          <c:orientation val="minMax"/>
        </c:scaling>
        <c:delete val="0"/>
        <c:axPos val="b"/>
        <c:numFmt formatCode="General" sourceLinked="0"/>
        <c:majorTickMark val="none"/>
        <c:minorTickMark val="none"/>
        <c:tickLblPos val="nextTo"/>
        <c:crossAx val="139206016"/>
        <c:crosses val="autoZero"/>
        <c:auto val="1"/>
        <c:lblAlgn val="ctr"/>
        <c:lblOffset val="100"/>
        <c:noMultiLvlLbl val="0"/>
      </c:catAx>
      <c:valAx>
        <c:axId val="139206016"/>
        <c:scaling>
          <c:orientation val="minMax"/>
          <c:min val="0.55000000000000004"/>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39204480"/>
        <c:crosses val="autoZero"/>
        <c:crossBetween val="between"/>
        <c:majorUnit val="0.05"/>
        <c:minorUnit val="2.5000000000000012E-2"/>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955" l="0.70000000000000062" r="0.70000000000000062" t="0.750000000000009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b="1"/>
              <a:t>Bear Creek Reservoir - Nitrate Trend</a:t>
            </a:r>
          </a:p>
        </c:rich>
      </c:tx>
      <c:layout>
        <c:manualLayout>
          <c:xMode val="edge"/>
          <c:yMode val="edge"/>
          <c:x val="0.28640000000000032"/>
          <c:y val="3.313253012048193E-2"/>
        </c:manualLayout>
      </c:layout>
      <c:overlay val="0"/>
      <c:spPr>
        <a:noFill/>
        <a:ln w="25400">
          <a:noFill/>
        </a:ln>
      </c:spPr>
    </c:title>
    <c:autoTitleDeleted val="0"/>
    <c:plotArea>
      <c:layout>
        <c:manualLayout>
          <c:layoutTarget val="inner"/>
          <c:xMode val="edge"/>
          <c:yMode val="edge"/>
          <c:x val="0.11752547235943372"/>
          <c:y val="0.11286681715575585"/>
          <c:w val="0.85395559250748021"/>
          <c:h val="0.68540893688598525"/>
        </c:manualLayout>
      </c:layout>
      <c:barChart>
        <c:barDir val="col"/>
        <c:grouping val="clustered"/>
        <c:varyColors val="0"/>
        <c:ser>
          <c:idx val="0"/>
          <c:order val="0"/>
          <c:tx>
            <c:strRef>
              <c:f>'Nitrate Trends'!$A$72</c:f>
              <c:strCache>
                <c:ptCount val="1"/>
                <c:pt idx="0">
                  <c:v>Reservoir Average</c:v>
                </c:pt>
              </c:strCache>
            </c:strRef>
          </c:tx>
          <c:spPr>
            <a:solidFill>
              <a:srgbClr val="9999FF"/>
            </a:solidFill>
            <a:ln w="12700">
              <a:solidFill>
                <a:srgbClr val="000000"/>
              </a:solidFill>
              <a:prstDash val="solid"/>
            </a:ln>
          </c:spPr>
          <c:invertIfNegative val="0"/>
          <c:trendline>
            <c:spPr>
              <a:ln w="25400">
                <a:solidFill>
                  <a:srgbClr val="000000"/>
                </a:solidFill>
                <a:prstDash val="solid"/>
              </a:ln>
            </c:spPr>
            <c:trendlineType val="poly"/>
            <c:order val="2"/>
            <c:dispRSqr val="0"/>
            <c:dispEq val="0"/>
          </c:trendline>
          <c:cat>
            <c:numRef>
              <c:f>'Nitrate Trends'!$B$73:$B$93</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'Nitrate Trends'!$C$73:$C$93</c:f>
              <c:numCache>
                <c:formatCode>0</c:formatCode>
                <c:ptCount val="21"/>
                <c:pt idx="0">
                  <c:v>388</c:v>
                </c:pt>
                <c:pt idx="1">
                  <c:v>266</c:v>
                </c:pt>
                <c:pt idx="2">
                  <c:v>429</c:v>
                </c:pt>
                <c:pt idx="3">
                  <c:v>348.66666666666669</c:v>
                </c:pt>
                <c:pt idx="4">
                  <c:v>493</c:v>
                </c:pt>
                <c:pt idx="5">
                  <c:v>575.97916666666663</c:v>
                </c:pt>
                <c:pt idx="6">
                  <c:v>366.34357142857152</c:v>
                </c:pt>
                <c:pt idx="7">
                  <c:v>367.33333333333331</c:v>
                </c:pt>
                <c:pt idx="8">
                  <c:v>225</c:v>
                </c:pt>
                <c:pt idx="9">
                  <c:v>452.33333333333331</c:v>
                </c:pt>
                <c:pt idx="10">
                  <c:v>395.33333333333331</c:v>
                </c:pt>
                <c:pt idx="11">
                  <c:v>281.66666666666669</c:v>
                </c:pt>
                <c:pt idx="12" formatCode="General">
                  <c:v>268</c:v>
                </c:pt>
                <c:pt idx="13" formatCode="General">
                  <c:v>247</c:v>
                </c:pt>
                <c:pt idx="14" formatCode="General">
                  <c:v>207</c:v>
                </c:pt>
                <c:pt idx="15" formatCode="General">
                  <c:v>153</c:v>
                </c:pt>
                <c:pt idx="16" formatCode="General">
                  <c:v>229</c:v>
                </c:pt>
                <c:pt idx="17" formatCode="General">
                  <c:v>232</c:v>
                </c:pt>
                <c:pt idx="18" formatCode="General">
                  <c:v>267</c:v>
                </c:pt>
                <c:pt idx="19" formatCode="General">
                  <c:v>254</c:v>
                </c:pt>
                <c:pt idx="20" formatCode="General">
                  <c:v>172</c:v>
                </c:pt>
              </c:numCache>
            </c:numRef>
          </c:val>
          <c:extLst>
            <c:ext xmlns:c16="http://schemas.microsoft.com/office/drawing/2014/chart" uri="{C3380CC4-5D6E-409C-BE32-E72D297353CC}">
              <c16:uniqueId val="{00000001-26C7-45F8-AAF5-32E5F40D3778}"/>
            </c:ext>
          </c:extLst>
        </c:ser>
        <c:dLbls>
          <c:showLegendKey val="0"/>
          <c:showVal val="0"/>
          <c:showCatName val="0"/>
          <c:showSerName val="0"/>
          <c:showPercent val="0"/>
          <c:showBubbleSize val="0"/>
        </c:dLbls>
        <c:gapWidth val="74"/>
        <c:axId val="86352256"/>
        <c:axId val="86353792"/>
      </c:barChart>
      <c:catAx>
        <c:axId val="86352256"/>
        <c:scaling>
          <c:orientation val="minMax"/>
        </c:scaling>
        <c:delete val="0"/>
        <c:axPos val="b"/>
        <c:numFmt formatCode="0" sourceLinked="0"/>
        <c:majorTickMark val="out"/>
        <c:minorTickMark val="none"/>
        <c:tickLblPos val="nextTo"/>
        <c:spPr>
          <a:ln w="3175">
            <a:solidFill>
              <a:srgbClr val="000000"/>
            </a:solidFill>
            <a:prstDash val="solid"/>
          </a:ln>
        </c:spPr>
        <c:txPr>
          <a:bodyPr rot="-2700000" vert="horz"/>
          <a:lstStyle/>
          <a:p>
            <a:pPr>
              <a:defRPr sz="800"/>
            </a:pPr>
            <a:endParaRPr lang="en-US"/>
          </a:p>
        </c:txPr>
        <c:crossAx val="86353792"/>
        <c:crosses val="autoZero"/>
        <c:auto val="1"/>
        <c:lblAlgn val="ctr"/>
        <c:lblOffset val="100"/>
        <c:tickLblSkip val="1"/>
        <c:tickMarkSkip val="1"/>
        <c:noMultiLvlLbl val="0"/>
      </c:catAx>
      <c:valAx>
        <c:axId val="86353792"/>
        <c:scaling>
          <c:orientation val="minMax"/>
        </c:scaling>
        <c:delete val="0"/>
        <c:axPos val="l"/>
        <c:majorGridlines>
          <c:spPr>
            <a:ln w="3175">
              <a:solidFill>
                <a:srgbClr val="000000"/>
              </a:solidFill>
              <a:prstDash val="solid"/>
            </a:ln>
          </c:spPr>
        </c:majorGridlines>
        <c:minorGridlines/>
        <c:title>
          <c:tx>
            <c:rich>
              <a:bodyPr/>
              <a:lstStyle/>
              <a:p>
                <a:pPr>
                  <a:defRPr/>
                </a:pPr>
                <a:r>
                  <a:rPr lang="en-US"/>
                  <a:t>Nitrate (ug/l)</a:t>
                </a:r>
              </a:p>
            </c:rich>
          </c:tx>
          <c:layout>
            <c:manualLayout>
              <c:xMode val="edge"/>
              <c:yMode val="edge"/>
              <c:x val="1.5633263233400172E-2"/>
              <c:y val="0.372045614987781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a:pPr>
            <a:endParaRPr lang="en-US"/>
          </a:p>
        </c:txPr>
        <c:crossAx val="86352256"/>
        <c:crosses val="autoZero"/>
        <c:crossBetween val="between"/>
      </c:valAx>
      <c:spPr>
        <a:solidFill>
          <a:srgbClr val="FFFFFF"/>
        </a:solidFill>
        <a:ln w="12700">
          <a:solidFill>
            <a:srgbClr val="808080"/>
          </a:solidFill>
          <a:prstDash val="solid"/>
        </a:ln>
      </c:spPr>
    </c:plotArea>
    <c:plotVisOnly val="1"/>
    <c:dispBlanksAs val="gap"/>
    <c:showDLblsOverMax val="0"/>
  </c:chart>
  <c:spPr>
    <a:gradFill>
      <a:gsLst>
        <a:gs pos="0">
          <a:srgbClr val="4F81BD">
            <a:tint val="66000"/>
            <a:satMod val="160000"/>
            <a:alpha val="51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verticalDpi="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4/25/2011</a:t>
            </a:r>
          </a:p>
        </c:rich>
      </c:tx>
      <c:overlay val="0"/>
    </c:title>
    <c:autoTitleDeleted val="0"/>
    <c:plotArea>
      <c:layout/>
      <c:lineChart>
        <c:grouping val="standard"/>
        <c:varyColors val="0"/>
        <c:ser>
          <c:idx val="0"/>
          <c:order val="0"/>
          <c:tx>
            <c:strRef>
              <c:f>'4-25-11'!$B$7</c:f>
              <c:strCache>
                <c:ptCount val="1"/>
                <c:pt idx="0">
                  <c:v>Site 40 (CP)</c:v>
                </c:pt>
              </c:strCache>
            </c:strRef>
          </c:tx>
          <c:marker>
            <c:symbol val="none"/>
          </c:marker>
          <c:cat>
            <c:strRef>
              <c:f>'3-28-11'!$A$8:$A$22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'4-25-11'!$F$8:$F$22</c:f>
              <c:numCache>
                <c:formatCode>General</c:formatCode>
                <c:ptCount val="15"/>
                <c:pt idx="0">
                  <c:v>8.41</c:v>
                </c:pt>
                <c:pt idx="1">
                  <c:v>8.2899999999999991</c:v>
                </c:pt>
                <c:pt idx="2">
                  <c:v>8.24</c:v>
                </c:pt>
                <c:pt idx="3">
                  <c:v>8.24</c:v>
                </c:pt>
                <c:pt idx="4">
                  <c:v>8.24</c:v>
                </c:pt>
                <c:pt idx="5">
                  <c:v>8.24</c:v>
                </c:pt>
                <c:pt idx="6">
                  <c:v>8.2200000000000006</c:v>
                </c:pt>
                <c:pt idx="7">
                  <c:v>8.23</c:v>
                </c:pt>
                <c:pt idx="8">
                  <c:v>8.2200000000000006</c:v>
                </c:pt>
                <c:pt idx="9">
                  <c:v>8.26</c:v>
                </c:pt>
                <c:pt idx="10">
                  <c:v>8.2200000000000006</c:v>
                </c:pt>
                <c:pt idx="11">
                  <c:v>8.18</c:v>
                </c:pt>
                <c:pt idx="12">
                  <c:v>8.15</c:v>
                </c:pt>
                <c:pt idx="13">
                  <c:v>8.15</c:v>
                </c:pt>
                <c:pt idx="14">
                  <c:v>8.0500000000000007</c:v>
                </c:pt>
              </c:numCache>
            </c:numRef>
          </c:val>
          <c:smooth val="0"/>
          <c:extLst>
            <c:ext xmlns:c16="http://schemas.microsoft.com/office/drawing/2014/chart" uri="{C3380CC4-5D6E-409C-BE32-E72D297353CC}">
              <c16:uniqueId val="{00000000-764A-4512-B1EF-1C449869699F}"/>
            </c:ext>
          </c:extLst>
        </c:ser>
        <c:ser>
          <c:idx val="1"/>
          <c:order val="1"/>
          <c:tx>
            <c:strRef>
              <c:f>'4-25-11'!$A$44</c:f>
              <c:strCache>
                <c:ptCount val="1"/>
                <c:pt idx="0">
                  <c:v>Site 41 (1)</c:v>
                </c:pt>
              </c:strCache>
            </c:strRef>
          </c:tx>
          <c:marker>
            <c:symbol val="none"/>
          </c:marker>
          <c:val>
            <c:numRef>
              <c:f>'4-25-11'!$F$45:$F$56</c:f>
              <c:numCache>
                <c:formatCode>General</c:formatCode>
                <c:ptCount val="12"/>
                <c:pt idx="0">
                  <c:v>8.1999999999999993</c:v>
                </c:pt>
                <c:pt idx="1">
                  <c:v>8.2200000000000006</c:v>
                </c:pt>
                <c:pt idx="2">
                  <c:v>8.26</c:v>
                </c:pt>
                <c:pt idx="3">
                  <c:v>8.27</c:v>
                </c:pt>
                <c:pt idx="4">
                  <c:v>8.24</c:v>
                </c:pt>
                <c:pt idx="5">
                  <c:v>8.24</c:v>
                </c:pt>
                <c:pt idx="6">
                  <c:v>8.2200000000000006</c:v>
                </c:pt>
                <c:pt idx="7">
                  <c:v>8.26</c:v>
                </c:pt>
                <c:pt idx="8">
                  <c:v>8.24</c:v>
                </c:pt>
                <c:pt idx="9">
                  <c:v>8.2200000000000006</c:v>
                </c:pt>
                <c:pt idx="10">
                  <c:v>8.2100000000000009</c:v>
                </c:pt>
                <c:pt idx="11">
                  <c:v>8.18</c:v>
                </c:pt>
              </c:numCache>
            </c:numRef>
          </c:val>
          <c:smooth val="0"/>
          <c:extLst>
            <c:ext xmlns:c16="http://schemas.microsoft.com/office/drawing/2014/chart" uri="{C3380CC4-5D6E-409C-BE32-E72D297353CC}">
              <c16:uniqueId val="{00000001-764A-4512-B1EF-1C449869699F}"/>
            </c:ext>
          </c:extLst>
        </c:ser>
        <c:ser>
          <c:idx val="2"/>
          <c:order val="2"/>
          <c:tx>
            <c:strRef>
              <c:f>'4-25-11'!$A$58</c:f>
              <c:strCache>
                <c:ptCount val="1"/>
                <c:pt idx="0">
                  <c:v>Site 42 (3)</c:v>
                </c:pt>
              </c:strCache>
            </c:strRef>
          </c:tx>
          <c:marker>
            <c:symbol val="none"/>
          </c:marker>
          <c:val>
            <c:numRef>
              <c:f>'4-25-11'!$F$59:$F$70</c:f>
              <c:numCache>
                <c:formatCode>General</c:formatCode>
                <c:ptCount val="12"/>
                <c:pt idx="0">
                  <c:v>8.42</c:v>
                </c:pt>
                <c:pt idx="1">
                  <c:v>8.42</c:v>
                </c:pt>
                <c:pt idx="2">
                  <c:v>8.36</c:v>
                </c:pt>
                <c:pt idx="3">
                  <c:v>8.35</c:v>
                </c:pt>
                <c:pt idx="4">
                  <c:v>8.3699999999999992</c:v>
                </c:pt>
                <c:pt idx="5">
                  <c:v>8.32</c:v>
                </c:pt>
                <c:pt idx="6">
                  <c:v>8.2799999999999994</c:v>
                </c:pt>
                <c:pt idx="7">
                  <c:v>8.3000000000000007</c:v>
                </c:pt>
                <c:pt idx="8">
                  <c:v>8.32</c:v>
                </c:pt>
                <c:pt idx="9">
                  <c:v>8.2799999999999994</c:v>
                </c:pt>
                <c:pt idx="10">
                  <c:v>8.2799999999999994</c:v>
                </c:pt>
                <c:pt idx="11">
                  <c:v>8.24</c:v>
                </c:pt>
              </c:numCache>
            </c:numRef>
          </c:val>
          <c:smooth val="0"/>
          <c:extLst>
            <c:ext xmlns:c16="http://schemas.microsoft.com/office/drawing/2014/chart" uri="{C3380CC4-5D6E-409C-BE32-E72D297353CC}">
              <c16:uniqueId val="{00000002-764A-4512-B1EF-1C449869699F}"/>
            </c:ext>
          </c:extLst>
        </c:ser>
        <c:ser>
          <c:idx val="3"/>
          <c:order val="3"/>
          <c:tx>
            <c:strRef>
              <c:f>'4-25-11'!$A$72</c:f>
              <c:strCache>
                <c:ptCount val="1"/>
                <c:pt idx="0">
                  <c:v>Site 43 (4)</c:v>
                </c:pt>
              </c:strCache>
            </c:strRef>
          </c:tx>
          <c:marker>
            <c:symbol val="none"/>
          </c:marker>
          <c:val>
            <c:numRef>
              <c:f>'4-25-11'!$F$73:$F$79</c:f>
              <c:numCache>
                <c:formatCode>General</c:formatCode>
                <c:ptCount val="7"/>
                <c:pt idx="0">
                  <c:v>8.42</c:v>
                </c:pt>
                <c:pt idx="1">
                  <c:v>8.44</c:v>
                </c:pt>
                <c:pt idx="2">
                  <c:v>8.41</c:v>
                </c:pt>
                <c:pt idx="3">
                  <c:v>8.3699999999999992</c:v>
                </c:pt>
                <c:pt idx="4">
                  <c:v>8.36</c:v>
                </c:pt>
                <c:pt idx="5">
                  <c:v>8.3699999999999992</c:v>
                </c:pt>
                <c:pt idx="6">
                  <c:v>8.33</c:v>
                </c:pt>
              </c:numCache>
            </c:numRef>
          </c:val>
          <c:smooth val="0"/>
          <c:extLst>
            <c:ext xmlns:c16="http://schemas.microsoft.com/office/drawing/2014/chart" uri="{C3380CC4-5D6E-409C-BE32-E72D297353CC}">
              <c16:uniqueId val="{00000003-764A-4512-B1EF-1C449869699F}"/>
            </c:ext>
          </c:extLst>
        </c:ser>
        <c:ser>
          <c:idx val="4"/>
          <c:order val="4"/>
          <c:tx>
            <c:strRef>
              <c:f>'4-25-11'!$A$83</c:f>
              <c:strCache>
                <c:ptCount val="1"/>
                <c:pt idx="0">
                  <c:v>Site 44 (5)</c:v>
                </c:pt>
              </c:strCache>
            </c:strRef>
          </c:tx>
          <c:marker>
            <c:symbol val="none"/>
          </c:marker>
          <c:val>
            <c:numRef>
              <c:f>'4-25-11'!$F$84:$F$93</c:f>
              <c:numCache>
                <c:formatCode>0.00</c:formatCode>
                <c:ptCount val="10"/>
                <c:pt idx="0">
                  <c:v>8.41</c:v>
                </c:pt>
                <c:pt idx="1">
                  <c:v>8.41</c:v>
                </c:pt>
                <c:pt idx="2">
                  <c:v>8.41</c:v>
                </c:pt>
                <c:pt idx="3">
                  <c:v>8.36</c:v>
                </c:pt>
                <c:pt idx="4">
                  <c:v>8.3800000000000008</c:v>
                </c:pt>
                <c:pt idx="5">
                  <c:v>8.36</c:v>
                </c:pt>
                <c:pt idx="6">
                  <c:v>8.32</c:v>
                </c:pt>
                <c:pt idx="7">
                  <c:v>8.36</c:v>
                </c:pt>
                <c:pt idx="8">
                  <c:v>8.36</c:v>
                </c:pt>
                <c:pt idx="9">
                  <c:v>8.2899999999999991</c:v>
                </c:pt>
              </c:numCache>
            </c:numRef>
          </c:val>
          <c:smooth val="0"/>
          <c:extLst>
            <c:ext xmlns:c16="http://schemas.microsoft.com/office/drawing/2014/chart" uri="{C3380CC4-5D6E-409C-BE32-E72D297353CC}">
              <c16:uniqueId val="{00000004-764A-4512-B1EF-1C449869699F}"/>
            </c:ext>
          </c:extLst>
        </c:ser>
        <c:dLbls>
          <c:showLegendKey val="0"/>
          <c:showVal val="0"/>
          <c:showCatName val="0"/>
          <c:showSerName val="0"/>
          <c:showPercent val="0"/>
          <c:showBubbleSize val="0"/>
        </c:dLbls>
        <c:smooth val="0"/>
        <c:axId val="139295360"/>
        <c:axId val="139301248"/>
      </c:lineChart>
      <c:catAx>
        <c:axId val="139295360"/>
        <c:scaling>
          <c:orientation val="minMax"/>
        </c:scaling>
        <c:delete val="0"/>
        <c:axPos val="b"/>
        <c:numFmt formatCode="General" sourceLinked="0"/>
        <c:majorTickMark val="none"/>
        <c:minorTickMark val="none"/>
        <c:tickLblPos val="nextTo"/>
        <c:crossAx val="139301248"/>
        <c:crosses val="autoZero"/>
        <c:auto val="1"/>
        <c:lblAlgn val="ctr"/>
        <c:lblOffset val="100"/>
        <c:noMultiLvlLbl val="0"/>
      </c:catAx>
      <c:valAx>
        <c:axId val="139301248"/>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39295360"/>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955" l="0.70000000000000062" r="0.70000000000000062" t="0.7500000000000095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(5/23/2011)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855"/>
        </c:manualLayout>
      </c:layout>
      <c:lineChart>
        <c:grouping val="standard"/>
        <c:varyColors val="0"/>
        <c:ser>
          <c:idx val="0"/>
          <c:order val="0"/>
          <c:tx>
            <c:strRef>
              <c:f>'5-23-11'!$D$3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'5-23-11'!$D$8:$D$22</c:f>
              <c:numCache>
                <c:formatCode>General</c:formatCode>
                <c:ptCount val="15"/>
                <c:pt idx="0">
                  <c:v>8.9</c:v>
                </c:pt>
                <c:pt idx="1">
                  <c:v>8.6999999999999993</c:v>
                </c:pt>
                <c:pt idx="2">
                  <c:v>8.5500000000000007</c:v>
                </c:pt>
                <c:pt idx="3">
                  <c:v>8.92</c:v>
                </c:pt>
                <c:pt idx="4">
                  <c:v>8.4700000000000006</c:v>
                </c:pt>
                <c:pt idx="5">
                  <c:v>8.4</c:v>
                </c:pt>
                <c:pt idx="6">
                  <c:v>8.2100000000000009</c:v>
                </c:pt>
                <c:pt idx="7">
                  <c:v>7.45</c:v>
                </c:pt>
                <c:pt idx="8">
                  <c:v>6.71</c:v>
                </c:pt>
                <c:pt idx="9" formatCode="0.00">
                  <c:v>6.27</c:v>
                </c:pt>
                <c:pt idx="10" formatCode="0.00">
                  <c:v>6.02</c:v>
                </c:pt>
                <c:pt idx="11" formatCode="0.00">
                  <c:v>5.59</c:v>
                </c:pt>
                <c:pt idx="12" formatCode="0.00">
                  <c:v>4.6100000000000003</c:v>
                </c:pt>
                <c:pt idx="13" formatCode="0.00">
                  <c:v>4.3499999999999996</c:v>
                </c:pt>
                <c:pt idx="14">
                  <c:v>3.74</c:v>
                </c:pt>
              </c:numCache>
            </c:numRef>
          </c:val>
          <c:smooth val="0"/>
          <c:extLst>
            <c:ext xmlns:c16="http://schemas.microsoft.com/office/drawing/2014/chart" uri="{C3380CC4-5D6E-409C-BE32-E72D297353CC}">
              <c16:uniqueId val="{00000000-EAD0-4C7E-8FEE-C034A477A7CF}"/>
            </c:ext>
          </c:extLst>
        </c:ser>
        <c:ser>
          <c:idx val="1"/>
          <c:order val="1"/>
          <c:tx>
            <c:strRef>
              <c:f>'5-23-11'!$E$3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'5-23-11'!$E$8:$E$22</c:f>
              <c:numCache>
                <c:formatCode>General</c:formatCode>
                <c:ptCount val="15"/>
                <c:pt idx="0">
                  <c:v>14.1</c:v>
                </c:pt>
                <c:pt idx="1">
                  <c:v>13.7</c:v>
                </c:pt>
                <c:pt idx="2">
                  <c:v>13.4</c:v>
                </c:pt>
                <c:pt idx="3">
                  <c:v>13.2</c:v>
                </c:pt>
                <c:pt idx="4">
                  <c:v>12.7</c:v>
                </c:pt>
                <c:pt idx="5">
                  <c:v>12.5</c:v>
                </c:pt>
                <c:pt idx="6">
                  <c:v>12.5</c:v>
                </c:pt>
                <c:pt idx="7">
                  <c:v>12.2</c:v>
                </c:pt>
                <c:pt idx="8">
                  <c:v>12</c:v>
                </c:pt>
                <c:pt idx="9">
                  <c:v>11.6</c:v>
                </c:pt>
                <c:pt idx="10">
                  <c:v>11.6</c:v>
                </c:pt>
                <c:pt idx="11">
                  <c:v>11.3</c:v>
                </c:pt>
                <c:pt idx="12">
                  <c:v>11.2</c:v>
                </c:pt>
                <c:pt idx="13">
                  <c:v>11.1</c:v>
                </c:pt>
                <c:pt idx="14">
                  <c:v>11</c:v>
                </c:pt>
              </c:numCache>
            </c:numRef>
          </c:val>
          <c:smooth val="0"/>
          <c:extLst>
            <c:ext xmlns:c16="http://schemas.microsoft.com/office/drawing/2014/chart" uri="{C3380CC4-5D6E-409C-BE32-E72D297353CC}">
              <c16:uniqueId val="{00000001-EAD0-4C7E-8FEE-C034A477A7CF}"/>
            </c:ext>
          </c:extLst>
        </c:ser>
        <c:dLbls>
          <c:showLegendKey val="0"/>
          <c:showVal val="0"/>
          <c:showCatName val="0"/>
          <c:showSerName val="0"/>
          <c:showPercent val="0"/>
          <c:showBubbleSize val="0"/>
        </c:dLbls>
        <c:smooth val="0"/>
        <c:axId val="139376512"/>
        <c:axId val="139378048"/>
      </c:lineChart>
      <c:catAx>
        <c:axId val="139376512"/>
        <c:scaling>
          <c:orientation val="minMax"/>
        </c:scaling>
        <c:delete val="0"/>
        <c:axPos val="b"/>
        <c:minorGridlines/>
        <c:numFmt formatCode="General" sourceLinked="0"/>
        <c:majorTickMark val="out"/>
        <c:minorTickMark val="none"/>
        <c:tickLblPos val="nextTo"/>
        <c:crossAx val="139378048"/>
        <c:crosses val="autoZero"/>
        <c:auto val="1"/>
        <c:lblAlgn val="ctr"/>
        <c:lblOffset val="100"/>
        <c:noMultiLvlLbl val="0"/>
      </c:catAx>
      <c:valAx>
        <c:axId val="139378048"/>
        <c:scaling>
          <c:orientation val="minMax"/>
        </c:scaling>
        <c:delete val="0"/>
        <c:axPos val="l"/>
        <c:majorGridlines/>
        <c:minorGridlines/>
        <c:numFmt formatCode="General" sourceLinked="1"/>
        <c:majorTickMark val="out"/>
        <c:minorTickMark val="none"/>
        <c:tickLblPos val="nextTo"/>
        <c:crossAx val="139376512"/>
        <c:crosses val="autoZero"/>
        <c:crossBetween val="midCat"/>
      </c:valAx>
    </c:plotArea>
    <c:legend>
      <c:legendPos val="r"/>
      <c:layout>
        <c:manualLayout>
          <c:xMode val="edge"/>
          <c:yMode val="edge"/>
          <c:x val="0.7798125636507186"/>
          <c:y val="0.12929410139522338"/>
          <c:w val="0.14748622047244847"/>
          <c:h val="0.15758530183727895"/>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5/23/2011</a:t>
            </a:r>
          </a:p>
        </c:rich>
      </c:tx>
      <c:overlay val="0"/>
    </c:title>
    <c:autoTitleDeleted val="0"/>
    <c:plotArea>
      <c:layout/>
      <c:lineChart>
        <c:grouping val="standard"/>
        <c:varyColors val="0"/>
        <c:ser>
          <c:idx val="0"/>
          <c:order val="0"/>
          <c:tx>
            <c:strRef>
              <c:f>'5-23-11'!$B$7</c:f>
              <c:strCache>
                <c:ptCount val="1"/>
                <c:pt idx="0">
                  <c:v>Site 40 (CP)</c:v>
                </c:pt>
              </c:strCache>
            </c:strRef>
          </c:tx>
          <c:marker>
            <c:symbol val="none"/>
          </c:marker>
          <c:cat>
            <c:strRef>
              <c:f>'5-23-11'!$A$45:$A$56</c:f>
              <c:strCache>
                <c:ptCount val="12"/>
                <c:pt idx="0">
                  <c:v>1/2m</c:v>
                </c:pt>
                <c:pt idx="1">
                  <c:v>1m</c:v>
                </c:pt>
                <c:pt idx="2">
                  <c:v>1 1/2m</c:v>
                </c:pt>
                <c:pt idx="3">
                  <c:v>2m</c:v>
                </c:pt>
                <c:pt idx="4">
                  <c:v>2 1/2m</c:v>
                </c:pt>
                <c:pt idx="5">
                  <c:v>3m</c:v>
                </c:pt>
                <c:pt idx="6">
                  <c:v>3 1/2m</c:v>
                </c:pt>
                <c:pt idx="7">
                  <c:v>4m</c:v>
                </c:pt>
                <c:pt idx="8">
                  <c:v>5m</c:v>
                </c:pt>
                <c:pt idx="9">
                  <c:v>6m</c:v>
                </c:pt>
                <c:pt idx="10">
                  <c:v>7m</c:v>
                </c:pt>
                <c:pt idx="11">
                  <c:v>8m</c:v>
                </c:pt>
              </c:strCache>
            </c:strRef>
          </c:cat>
          <c:val>
            <c:numRef>
              <c:f>'5-23-11'!$D$8:$D$22</c:f>
              <c:numCache>
                <c:formatCode>General</c:formatCode>
                <c:ptCount val="15"/>
                <c:pt idx="0">
                  <c:v>8.9</c:v>
                </c:pt>
                <c:pt idx="1">
                  <c:v>8.6999999999999993</c:v>
                </c:pt>
                <c:pt idx="2">
                  <c:v>8.5500000000000007</c:v>
                </c:pt>
                <c:pt idx="3">
                  <c:v>8.92</c:v>
                </c:pt>
                <c:pt idx="4">
                  <c:v>8.4700000000000006</c:v>
                </c:pt>
                <c:pt idx="5">
                  <c:v>8.4</c:v>
                </c:pt>
                <c:pt idx="6">
                  <c:v>8.2100000000000009</c:v>
                </c:pt>
                <c:pt idx="7">
                  <c:v>7.45</c:v>
                </c:pt>
                <c:pt idx="8">
                  <c:v>6.71</c:v>
                </c:pt>
                <c:pt idx="9" formatCode="0.00">
                  <c:v>6.27</c:v>
                </c:pt>
                <c:pt idx="10" formatCode="0.00">
                  <c:v>6.02</c:v>
                </c:pt>
                <c:pt idx="11" formatCode="0.00">
                  <c:v>5.59</c:v>
                </c:pt>
                <c:pt idx="12" formatCode="0.00">
                  <c:v>4.6100000000000003</c:v>
                </c:pt>
                <c:pt idx="13" formatCode="0.00">
                  <c:v>4.3499999999999996</c:v>
                </c:pt>
                <c:pt idx="14">
                  <c:v>3.74</c:v>
                </c:pt>
              </c:numCache>
            </c:numRef>
          </c:val>
          <c:smooth val="0"/>
          <c:extLst>
            <c:ext xmlns:c16="http://schemas.microsoft.com/office/drawing/2014/chart" uri="{C3380CC4-5D6E-409C-BE32-E72D297353CC}">
              <c16:uniqueId val="{00000000-045D-438C-B996-59F08D6EEC0A}"/>
            </c:ext>
          </c:extLst>
        </c:ser>
        <c:ser>
          <c:idx val="1"/>
          <c:order val="1"/>
          <c:tx>
            <c:strRef>
              <c:f>'5-23-11'!$A$44</c:f>
              <c:strCache>
                <c:ptCount val="1"/>
                <c:pt idx="0">
                  <c:v>Site 41 (1)</c:v>
                </c:pt>
              </c:strCache>
            </c:strRef>
          </c:tx>
          <c:marker>
            <c:symbol val="none"/>
          </c:marker>
          <c:cat>
            <c:strRef>
              <c:f>'5-23-11'!$A$45:$A$56</c:f>
              <c:strCache>
                <c:ptCount val="12"/>
                <c:pt idx="0">
                  <c:v>1/2m</c:v>
                </c:pt>
                <c:pt idx="1">
                  <c:v>1m</c:v>
                </c:pt>
                <c:pt idx="2">
                  <c:v>1 1/2m</c:v>
                </c:pt>
                <c:pt idx="3">
                  <c:v>2m</c:v>
                </c:pt>
                <c:pt idx="4">
                  <c:v>2 1/2m</c:v>
                </c:pt>
                <c:pt idx="5">
                  <c:v>3m</c:v>
                </c:pt>
                <c:pt idx="6">
                  <c:v>3 1/2m</c:v>
                </c:pt>
                <c:pt idx="7">
                  <c:v>4m</c:v>
                </c:pt>
                <c:pt idx="8">
                  <c:v>5m</c:v>
                </c:pt>
                <c:pt idx="9">
                  <c:v>6m</c:v>
                </c:pt>
                <c:pt idx="10">
                  <c:v>7m</c:v>
                </c:pt>
                <c:pt idx="11">
                  <c:v>8m</c:v>
                </c:pt>
              </c:strCache>
            </c:strRef>
          </c:cat>
          <c:val>
            <c:numRef>
              <c:f>'5-23-11'!$D$45:$D$56</c:f>
              <c:numCache>
                <c:formatCode>General</c:formatCode>
                <c:ptCount val="12"/>
                <c:pt idx="0">
                  <c:v>8.34</c:v>
                </c:pt>
                <c:pt idx="1">
                  <c:v>8.58</c:v>
                </c:pt>
                <c:pt idx="2">
                  <c:v>8.5299999999999994</c:v>
                </c:pt>
                <c:pt idx="3">
                  <c:v>8.61</c:v>
                </c:pt>
                <c:pt idx="4">
                  <c:v>8.6</c:v>
                </c:pt>
                <c:pt idx="5">
                  <c:v>8.3000000000000007</c:v>
                </c:pt>
                <c:pt idx="6">
                  <c:v>7.52</c:v>
                </c:pt>
                <c:pt idx="7">
                  <c:v>7.25</c:v>
                </c:pt>
                <c:pt idx="8">
                  <c:v>6.87</c:v>
                </c:pt>
                <c:pt idx="9">
                  <c:v>6.36</c:v>
                </c:pt>
                <c:pt idx="10">
                  <c:v>6.36</c:v>
                </c:pt>
                <c:pt idx="11">
                  <c:v>4.8499999999999996</c:v>
                </c:pt>
              </c:numCache>
            </c:numRef>
          </c:val>
          <c:smooth val="0"/>
          <c:extLst>
            <c:ext xmlns:c16="http://schemas.microsoft.com/office/drawing/2014/chart" uri="{C3380CC4-5D6E-409C-BE32-E72D297353CC}">
              <c16:uniqueId val="{00000001-045D-438C-B996-59F08D6EEC0A}"/>
            </c:ext>
          </c:extLst>
        </c:ser>
        <c:ser>
          <c:idx val="2"/>
          <c:order val="2"/>
          <c:tx>
            <c:strRef>
              <c:f>'5-23-11'!$A$58</c:f>
              <c:strCache>
                <c:ptCount val="1"/>
                <c:pt idx="0">
                  <c:v>Site 42 (3)</c:v>
                </c:pt>
              </c:strCache>
            </c:strRef>
          </c:tx>
          <c:marker>
            <c:symbol val="none"/>
          </c:marker>
          <c:val>
            <c:numRef>
              <c:f>'5-23-11'!$D$59:$D$67</c:f>
              <c:numCache>
                <c:formatCode>General</c:formatCode>
                <c:ptCount val="9"/>
                <c:pt idx="0">
                  <c:v>8.25</c:v>
                </c:pt>
                <c:pt idx="1">
                  <c:v>8.6199999999999992</c:v>
                </c:pt>
                <c:pt idx="2">
                  <c:v>8.86</c:v>
                </c:pt>
                <c:pt idx="3">
                  <c:v>8.8699999999999992</c:v>
                </c:pt>
                <c:pt idx="4">
                  <c:v>8.7200000000000006</c:v>
                </c:pt>
                <c:pt idx="5">
                  <c:v>8.11</c:v>
                </c:pt>
                <c:pt idx="6">
                  <c:v>7.95</c:v>
                </c:pt>
                <c:pt idx="7">
                  <c:v>7.7</c:v>
                </c:pt>
                <c:pt idx="8">
                  <c:v>6.22</c:v>
                </c:pt>
              </c:numCache>
            </c:numRef>
          </c:val>
          <c:smooth val="0"/>
          <c:extLst>
            <c:ext xmlns:c16="http://schemas.microsoft.com/office/drawing/2014/chart" uri="{C3380CC4-5D6E-409C-BE32-E72D297353CC}">
              <c16:uniqueId val="{00000002-045D-438C-B996-59F08D6EEC0A}"/>
            </c:ext>
          </c:extLst>
        </c:ser>
        <c:ser>
          <c:idx val="3"/>
          <c:order val="3"/>
          <c:tx>
            <c:strRef>
              <c:f>'5-23-11'!$A$72</c:f>
              <c:strCache>
                <c:ptCount val="1"/>
                <c:pt idx="0">
                  <c:v>Site 43 (4)</c:v>
                </c:pt>
              </c:strCache>
            </c:strRef>
          </c:tx>
          <c:marker>
            <c:symbol val="none"/>
          </c:marker>
          <c:val>
            <c:numRef>
              <c:f>'5-23-11'!$D$73:$D$79</c:f>
              <c:numCache>
                <c:formatCode>General</c:formatCode>
                <c:ptCount val="7"/>
                <c:pt idx="0">
                  <c:v>8.8000000000000007</c:v>
                </c:pt>
                <c:pt idx="1">
                  <c:v>8.7200000000000006</c:v>
                </c:pt>
                <c:pt idx="2">
                  <c:v>8.73</c:v>
                </c:pt>
                <c:pt idx="3">
                  <c:v>8.83</c:v>
                </c:pt>
                <c:pt idx="4">
                  <c:v>8.7200000000000006</c:v>
                </c:pt>
                <c:pt idx="5">
                  <c:v>8.6199999999999992</c:v>
                </c:pt>
                <c:pt idx="6">
                  <c:v>8.73</c:v>
                </c:pt>
              </c:numCache>
            </c:numRef>
          </c:val>
          <c:smooth val="0"/>
          <c:extLst>
            <c:ext xmlns:c16="http://schemas.microsoft.com/office/drawing/2014/chart" uri="{C3380CC4-5D6E-409C-BE32-E72D297353CC}">
              <c16:uniqueId val="{00000003-045D-438C-B996-59F08D6EEC0A}"/>
            </c:ext>
          </c:extLst>
        </c:ser>
        <c:ser>
          <c:idx val="4"/>
          <c:order val="4"/>
          <c:tx>
            <c:strRef>
              <c:f>'5-23-11'!$A$83</c:f>
              <c:strCache>
                <c:ptCount val="1"/>
                <c:pt idx="0">
                  <c:v>Site 44 (5)</c:v>
                </c:pt>
              </c:strCache>
            </c:strRef>
          </c:tx>
          <c:marker>
            <c:symbol val="none"/>
          </c:marker>
          <c:val>
            <c:numRef>
              <c:f>'5-23-11'!$D$84:$D$93</c:f>
              <c:numCache>
                <c:formatCode>0.00</c:formatCode>
                <c:ptCount val="10"/>
                <c:pt idx="0">
                  <c:v>8.64</c:v>
                </c:pt>
                <c:pt idx="1">
                  <c:v>8.74</c:v>
                </c:pt>
                <c:pt idx="2">
                  <c:v>8.91</c:v>
                </c:pt>
                <c:pt idx="3">
                  <c:v>8.86</c:v>
                </c:pt>
                <c:pt idx="4">
                  <c:v>8.66</c:v>
                </c:pt>
                <c:pt idx="5">
                  <c:v>8.6199999999999992</c:v>
                </c:pt>
                <c:pt idx="6">
                  <c:v>8.32</c:v>
                </c:pt>
                <c:pt idx="7">
                  <c:v>8.36</c:v>
                </c:pt>
                <c:pt idx="8">
                  <c:v>7.19</c:v>
                </c:pt>
                <c:pt idx="9">
                  <c:v>6.6</c:v>
                </c:pt>
              </c:numCache>
            </c:numRef>
          </c:val>
          <c:smooth val="0"/>
          <c:extLst>
            <c:ext xmlns:c16="http://schemas.microsoft.com/office/drawing/2014/chart" uri="{C3380CC4-5D6E-409C-BE32-E72D297353CC}">
              <c16:uniqueId val="{00000004-045D-438C-B996-59F08D6EEC0A}"/>
            </c:ext>
          </c:extLst>
        </c:ser>
        <c:dLbls>
          <c:showLegendKey val="0"/>
          <c:showVal val="0"/>
          <c:showCatName val="0"/>
          <c:showSerName val="0"/>
          <c:showPercent val="0"/>
          <c:showBubbleSize val="0"/>
        </c:dLbls>
        <c:smooth val="0"/>
        <c:axId val="139589504"/>
        <c:axId val="139591040"/>
      </c:lineChart>
      <c:catAx>
        <c:axId val="139589504"/>
        <c:scaling>
          <c:orientation val="minMax"/>
        </c:scaling>
        <c:delete val="0"/>
        <c:axPos val="b"/>
        <c:numFmt formatCode="General" sourceLinked="0"/>
        <c:majorTickMark val="none"/>
        <c:minorTickMark val="none"/>
        <c:tickLblPos val="nextTo"/>
        <c:crossAx val="139591040"/>
        <c:crosses val="autoZero"/>
        <c:auto val="1"/>
        <c:lblAlgn val="ctr"/>
        <c:lblOffset val="100"/>
        <c:noMultiLvlLbl val="0"/>
      </c:catAx>
      <c:valAx>
        <c:axId val="139591040"/>
        <c:scaling>
          <c:orientation val="minMax"/>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39589504"/>
        <c:crosses val="autoZero"/>
        <c:crossBetween val="between"/>
      </c:valAx>
    </c:plotArea>
    <c:legend>
      <c:legendPos val="r"/>
      <c:layout>
        <c:manualLayout>
          <c:xMode val="edge"/>
          <c:yMode val="edge"/>
          <c:x val="0.80383606722756107"/>
          <c:y val="0.22371135899679503"/>
          <c:w val="0.18321943083609038"/>
          <c:h val="0.4342678526855612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0977" l="0.70000000000000062" r="0.70000000000000062" t="0.75000000000000977"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Conductance Profiles 5/23/2011</a:t>
            </a:r>
          </a:p>
        </c:rich>
      </c:tx>
      <c:overlay val="0"/>
    </c:title>
    <c:autoTitleDeleted val="0"/>
    <c:plotArea>
      <c:layout/>
      <c:lineChart>
        <c:grouping val="standard"/>
        <c:varyColors val="0"/>
        <c:ser>
          <c:idx val="0"/>
          <c:order val="0"/>
          <c:tx>
            <c:strRef>
              <c:f>'5-23-11'!$B$7</c:f>
              <c:strCache>
                <c:ptCount val="1"/>
                <c:pt idx="0">
                  <c:v>Site 40 (CP)</c:v>
                </c:pt>
              </c:strCache>
            </c:strRef>
          </c:tx>
          <c:marker>
            <c:symbol val="none"/>
          </c:marker>
          <c:cat>
            <c:strRef>
              <c:f>'5-23-11'!$A$8:$A$22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'5-23-11'!$C$8:$C$22</c:f>
              <c:numCache>
                <c:formatCode>General</c:formatCode>
                <c:ptCount val="15"/>
                <c:pt idx="0">
                  <c:v>0.60299999999999998</c:v>
                </c:pt>
                <c:pt idx="1">
                  <c:v>0.60299999999999998</c:v>
                </c:pt>
                <c:pt idx="2">
                  <c:v>0.60299999999999998</c:v>
                </c:pt>
                <c:pt idx="3">
                  <c:v>0.60299999999999998</c:v>
                </c:pt>
                <c:pt idx="4">
                  <c:v>0.60299999999999998</c:v>
                </c:pt>
                <c:pt idx="5">
                  <c:v>0.60299999999999998</c:v>
                </c:pt>
                <c:pt idx="6">
                  <c:v>0.60299999999999998</c:v>
                </c:pt>
                <c:pt idx="7">
                  <c:v>0.60599999999999998</c:v>
                </c:pt>
                <c:pt idx="8">
                  <c:v>0.61</c:v>
                </c:pt>
                <c:pt idx="9">
                  <c:v>0.61499999999999999</c:v>
                </c:pt>
                <c:pt idx="10">
                  <c:v>0.61799999999999999</c:v>
                </c:pt>
                <c:pt idx="11">
                  <c:v>0.62</c:v>
                </c:pt>
                <c:pt idx="12">
                  <c:v>0.622</c:v>
                </c:pt>
                <c:pt idx="13">
                  <c:v>0.625</c:v>
                </c:pt>
                <c:pt idx="14">
                  <c:v>0.63</c:v>
                </c:pt>
              </c:numCache>
            </c:numRef>
          </c:val>
          <c:smooth val="0"/>
          <c:extLst>
            <c:ext xmlns:c16="http://schemas.microsoft.com/office/drawing/2014/chart" uri="{C3380CC4-5D6E-409C-BE32-E72D297353CC}">
              <c16:uniqueId val="{00000000-ED4C-4238-BF69-2DC6E59F3D38}"/>
            </c:ext>
          </c:extLst>
        </c:ser>
        <c:ser>
          <c:idx val="1"/>
          <c:order val="1"/>
          <c:tx>
            <c:strRef>
              <c:f>'5-23-11'!$A$44</c:f>
              <c:strCache>
                <c:ptCount val="1"/>
                <c:pt idx="0">
                  <c:v>Site 41 (1)</c:v>
                </c:pt>
              </c:strCache>
            </c:strRef>
          </c:tx>
          <c:marker>
            <c:symbol val="none"/>
          </c:marker>
          <c:val>
            <c:numRef>
              <c:f>'5-23-11'!$C$45:$C$56</c:f>
              <c:numCache>
                <c:formatCode>General</c:formatCode>
                <c:ptCount val="12"/>
                <c:pt idx="0">
                  <c:v>0.60299999999999998</c:v>
                </c:pt>
                <c:pt idx="1">
                  <c:v>0.60399999999999998</c:v>
                </c:pt>
                <c:pt idx="2">
                  <c:v>0.60299999999999998</c:v>
                </c:pt>
                <c:pt idx="3">
                  <c:v>0.60199999999999998</c:v>
                </c:pt>
                <c:pt idx="4">
                  <c:v>0.60399999999999998</c:v>
                </c:pt>
                <c:pt idx="5">
                  <c:v>0.60699999999999998</c:v>
                </c:pt>
                <c:pt idx="6">
                  <c:v>0.60799999999999998</c:v>
                </c:pt>
                <c:pt idx="7">
                  <c:v>0.60599999999999998</c:v>
                </c:pt>
                <c:pt idx="8">
                  <c:v>0.61</c:v>
                </c:pt>
                <c:pt idx="9">
                  <c:v>0.61299999999999999</c:v>
                </c:pt>
                <c:pt idx="10">
                  <c:v>0.61599999999999999</c:v>
                </c:pt>
                <c:pt idx="11">
                  <c:v>0.62</c:v>
                </c:pt>
              </c:numCache>
            </c:numRef>
          </c:val>
          <c:smooth val="0"/>
          <c:extLst>
            <c:ext xmlns:c16="http://schemas.microsoft.com/office/drawing/2014/chart" uri="{C3380CC4-5D6E-409C-BE32-E72D297353CC}">
              <c16:uniqueId val="{00000001-ED4C-4238-BF69-2DC6E59F3D38}"/>
            </c:ext>
          </c:extLst>
        </c:ser>
        <c:ser>
          <c:idx val="2"/>
          <c:order val="2"/>
          <c:tx>
            <c:strRef>
              <c:f>'5-23-11'!$A$58</c:f>
              <c:strCache>
                <c:ptCount val="1"/>
                <c:pt idx="0">
                  <c:v>Site 42 (3)</c:v>
                </c:pt>
              </c:strCache>
            </c:strRef>
          </c:tx>
          <c:marker>
            <c:symbol val="none"/>
          </c:marker>
          <c:val>
            <c:numRef>
              <c:f>'5-23-11'!$C$59:$C$67</c:f>
              <c:numCache>
                <c:formatCode>General</c:formatCode>
                <c:ptCount val="9"/>
                <c:pt idx="0">
                  <c:v>0.60299999999999998</c:v>
                </c:pt>
                <c:pt idx="1">
                  <c:v>0.60399999999999998</c:v>
                </c:pt>
                <c:pt idx="2">
                  <c:v>0.60299999999999998</c:v>
                </c:pt>
                <c:pt idx="3">
                  <c:v>0.60199999999999998</c:v>
                </c:pt>
                <c:pt idx="4">
                  <c:v>0.60299999999999998</c:v>
                </c:pt>
                <c:pt idx="5">
                  <c:v>0.60299999999999998</c:v>
                </c:pt>
                <c:pt idx="6">
                  <c:v>0.60299999999999998</c:v>
                </c:pt>
                <c:pt idx="7">
                  <c:v>0.60299999999999998</c:v>
                </c:pt>
                <c:pt idx="8">
                  <c:v>0.61099999999999999</c:v>
                </c:pt>
              </c:numCache>
            </c:numRef>
          </c:val>
          <c:smooth val="0"/>
          <c:extLst>
            <c:ext xmlns:c16="http://schemas.microsoft.com/office/drawing/2014/chart" uri="{C3380CC4-5D6E-409C-BE32-E72D297353CC}">
              <c16:uniqueId val="{00000002-ED4C-4238-BF69-2DC6E59F3D38}"/>
            </c:ext>
          </c:extLst>
        </c:ser>
        <c:ser>
          <c:idx val="3"/>
          <c:order val="3"/>
          <c:tx>
            <c:strRef>
              <c:f>'5-23-11'!$A$72</c:f>
              <c:strCache>
                <c:ptCount val="1"/>
                <c:pt idx="0">
                  <c:v>Site 43 (4)</c:v>
                </c:pt>
              </c:strCache>
            </c:strRef>
          </c:tx>
          <c:marker>
            <c:symbol val="none"/>
          </c:marker>
          <c:val>
            <c:numRef>
              <c:f>'5-23-11'!$C$73:$C$79</c:f>
              <c:numCache>
                <c:formatCode>General</c:formatCode>
                <c:ptCount val="7"/>
                <c:pt idx="0">
                  <c:v>0.59</c:v>
                </c:pt>
                <c:pt idx="1">
                  <c:v>0.57699999999999996</c:v>
                </c:pt>
                <c:pt idx="2">
                  <c:v>0.58699999999999997</c:v>
                </c:pt>
                <c:pt idx="3">
                  <c:v>0.55400000000000005</c:v>
                </c:pt>
                <c:pt idx="4">
                  <c:v>0.56499999999999995</c:v>
                </c:pt>
                <c:pt idx="5">
                  <c:v>0.58799999999999997</c:v>
                </c:pt>
                <c:pt idx="6">
                  <c:v>0.64300000000000002</c:v>
                </c:pt>
              </c:numCache>
            </c:numRef>
          </c:val>
          <c:smooth val="0"/>
          <c:extLst>
            <c:ext xmlns:c16="http://schemas.microsoft.com/office/drawing/2014/chart" uri="{C3380CC4-5D6E-409C-BE32-E72D297353CC}">
              <c16:uniqueId val="{00000003-ED4C-4238-BF69-2DC6E59F3D38}"/>
            </c:ext>
          </c:extLst>
        </c:ser>
        <c:ser>
          <c:idx val="4"/>
          <c:order val="4"/>
          <c:tx>
            <c:strRef>
              <c:f>'5-23-11'!$A$83</c:f>
              <c:strCache>
                <c:ptCount val="1"/>
                <c:pt idx="0">
                  <c:v>Site 44 (5)</c:v>
                </c:pt>
              </c:strCache>
            </c:strRef>
          </c:tx>
          <c:marker>
            <c:symbol val="none"/>
          </c:marker>
          <c:val>
            <c:numRef>
              <c:f>'5-23-11'!$C$84:$C$93</c:f>
              <c:numCache>
                <c:formatCode>General</c:formatCode>
                <c:ptCount val="10"/>
                <c:pt idx="0">
                  <c:v>0.60299999999999998</c:v>
                </c:pt>
                <c:pt idx="1">
                  <c:v>0.59899999999999998</c:v>
                </c:pt>
                <c:pt idx="2">
                  <c:v>0.59699999999999998</c:v>
                </c:pt>
                <c:pt idx="3">
                  <c:v>0.57999999999999996</c:v>
                </c:pt>
                <c:pt idx="4">
                  <c:v>0.58099999999999996</c:v>
                </c:pt>
                <c:pt idx="5">
                  <c:v>0.59399999999999997</c:v>
                </c:pt>
                <c:pt idx="6">
                  <c:v>0.57799999999999996</c:v>
                </c:pt>
                <c:pt idx="7">
                  <c:v>0.59199999999999997</c:v>
                </c:pt>
                <c:pt idx="8">
                  <c:v>0.61</c:v>
                </c:pt>
                <c:pt idx="9">
                  <c:v>0.61299999999999999</c:v>
                </c:pt>
              </c:numCache>
            </c:numRef>
          </c:val>
          <c:smooth val="0"/>
          <c:extLst>
            <c:ext xmlns:c16="http://schemas.microsoft.com/office/drawing/2014/chart" uri="{C3380CC4-5D6E-409C-BE32-E72D297353CC}">
              <c16:uniqueId val="{00000004-ED4C-4238-BF69-2DC6E59F3D38}"/>
            </c:ext>
          </c:extLst>
        </c:ser>
        <c:dLbls>
          <c:showLegendKey val="0"/>
          <c:showVal val="0"/>
          <c:showCatName val="0"/>
          <c:showSerName val="0"/>
          <c:showPercent val="0"/>
          <c:showBubbleSize val="0"/>
        </c:dLbls>
        <c:smooth val="0"/>
        <c:axId val="139831936"/>
        <c:axId val="139846016"/>
      </c:lineChart>
      <c:catAx>
        <c:axId val="139831936"/>
        <c:scaling>
          <c:orientation val="minMax"/>
        </c:scaling>
        <c:delete val="0"/>
        <c:axPos val="b"/>
        <c:numFmt formatCode="General" sourceLinked="0"/>
        <c:majorTickMark val="none"/>
        <c:minorTickMark val="none"/>
        <c:tickLblPos val="nextTo"/>
        <c:crossAx val="139846016"/>
        <c:crosses val="autoZero"/>
        <c:auto val="1"/>
        <c:lblAlgn val="ctr"/>
        <c:lblOffset val="100"/>
        <c:noMultiLvlLbl val="0"/>
      </c:catAx>
      <c:valAx>
        <c:axId val="139846016"/>
        <c:scaling>
          <c:orientation val="minMax"/>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39831936"/>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977" l="0.70000000000000062" r="0.70000000000000062" t="0.75000000000000977"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5/23/2011</a:t>
            </a:r>
          </a:p>
        </c:rich>
      </c:tx>
      <c:overlay val="0"/>
    </c:title>
    <c:autoTitleDeleted val="0"/>
    <c:plotArea>
      <c:layout/>
      <c:lineChart>
        <c:grouping val="standard"/>
        <c:varyColors val="0"/>
        <c:ser>
          <c:idx val="0"/>
          <c:order val="0"/>
          <c:tx>
            <c:strRef>
              <c:f>'5-23-11'!$B$7</c:f>
              <c:strCache>
                <c:ptCount val="1"/>
                <c:pt idx="0">
                  <c:v>Site 40 (CP)</c:v>
                </c:pt>
              </c:strCache>
            </c:strRef>
          </c:tx>
          <c:marker>
            <c:symbol val="none"/>
          </c:marker>
          <c:cat>
            <c:strRef>
              <c:f>'5-23-11'!$A$8:$A$22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'5-23-11'!$F$8:$F$22</c:f>
              <c:numCache>
                <c:formatCode>General</c:formatCode>
                <c:ptCount val="15"/>
                <c:pt idx="0">
                  <c:v>8.61</c:v>
                </c:pt>
                <c:pt idx="1">
                  <c:v>8.61</c:v>
                </c:pt>
                <c:pt idx="2">
                  <c:v>8.61</c:v>
                </c:pt>
                <c:pt idx="3">
                  <c:v>8.6</c:v>
                </c:pt>
                <c:pt idx="4">
                  <c:v>8.59</c:v>
                </c:pt>
                <c:pt idx="5">
                  <c:v>8.57</c:v>
                </c:pt>
                <c:pt idx="6">
                  <c:v>8.5299999999999994</c:v>
                </c:pt>
                <c:pt idx="7">
                  <c:v>8.35</c:v>
                </c:pt>
                <c:pt idx="8">
                  <c:v>8.15</c:v>
                </c:pt>
                <c:pt idx="9">
                  <c:v>8.0299999999999994</c:v>
                </c:pt>
                <c:pt idx="10">
                  <c:v>8</c:v>
                </c:pt>
                <c:pt idx="11">
                  <c:v>7.88</c:v>
                </c:pt>
                <c:pt idx="12">
                  <c:v>7.76</c:v>
                </c:pt>
                <c:pt idx="13">
                  <c:v>7.73</c:v>
                </c:pt>
                <c:pt idx="14">
                  <c:v>7.64</c:v>
                </c:pt>
              </c:numCache>
            </c:numRef>
          </c:val>
          <c:smooth val="0"/>
          <c:extLst>
            <c:ext xmlns:c16="http://schemas.microsoft.com/office/drawing/2014/chart" uri="{C3380CC4-5D6E-409C-BE32-E72D297353CC}">
              <c16:uniqueId val="{00000000-BE50-4A71-802F-98CA06878998}"/>
            </c:ext>
          </c:extLst>
        </c:ser>
        <c:ser>
          <c:idx val="1"/>
          <c:order val="1"/>
          <c:tx>
            <c:strRef>
              <c:f>'5-23-11'!$A$44</c:f>
              <c:strCache>
                <c:ptCount val="1"/>
                <c:pt idx="0">
                  <c:v>Site 41 (1)</c:v>
                </c:pt>
              </c:strCache>
            </c:strRef>
          </c:tx>
          <c:marker>
            <c:symbol val="none"/>
          </c:marker>
          <c:val>
            <c:numRef>
              <c:f>'5-23-11'!$F$45:$F$56</c:f>
              <c:numCache>
                <c:formatCode>General</c:formatCode>
                <c:ptCount val="12"/>
                <c:pt idx="0">
                  <c:v>8.6300000000000008</c:v>
                </c:pt>
                <c:pt idx="1">
                  <c:v>8.6300000000000008</c:v>
                </c:pt>
                <c:pt idx="2">
                  <c:v>8.6300000000000008</c:v>
                </c:pt>
                <c:pt idx="3">
                  <c:v>8.6199999999999992</c:v>
                </c:pt>
                <c:pt idx="4">
                  <c:v>8.61</c:v>
                </c:pt>
                <c:pt idx="5">
                  <c:v>8.58</c:v>
                </c:pt>
                <c:pt idx="6">
                  <c:v>8.34</c:v>
                </c:pt>
                <c:pt idx="7">
                  <c:v>8.2799999999999994</c:v>
                </c:pt>
                <c:pt idx="8">
                  <c:v>8.1999999999999993</c:v>
                </c:pt>
                <c:pt idx="9">
                  <c:v>8.06</c:v>
                </c:pt>
                <c:pt idx="10">
                  <c:v>7.91</c:v>
                </c:pt>
                <c:pt idx="11">
                  <c:v>7.84</c:v>
                </c:pt>
              </c:numCache>
            </c:numRef>
          </c:val>
          <c:smooth val="0"/>
          <c:extLst>
            <c:ext xmlns:c16="http://schemas.microsoft.com/office/drawing/2014/chart" uri="{C3380CC4-5D6E-409C-BE32-E72D297353CC}">
              <c16:uniqueId val="{00000001-BE50-4A71-802F-98CA06878998}"/>
            </c:ext>
          </c:extLst>
        </c:ser>
        <c:ser>
          <c:idx val="2"/>
          <c:order val="2"/>
          <c:tx>
            <c:strRef>
              <c:f>'5-23-11'!$A$58</c:f>
              <c:strCache>
                <c:ptCount val="1"/>
                <c:pt idx="0">
                  <c:v>Site 42 (3)</c:v>
                </c:pt>
              </c:strCache>
            </c:strRef>
          </c:tx>
          <c:marker>
            <c:symbol val="none"/>
          </c:marker>
          <c:val>
            <c:numRef>
              <c:f>'5-23-11'!$F$59:$F$67</c:f>
              <c:numCache>
                <c:formatCode>General</c:formatCode>
                <c:ptCount val="9"/>
                <c:pt idx="0">
                  <c:v>8.6</c:v>
                </c:pt>
                <c:pt idx="1">
                  <c:v>8.67</c:v>
                </c:pt>
                <c:pt idx="2">
                  <c:v>8.67</c:v>
                </c:pt>
                <c:pt idx="3">
                  <c:v>8.6300000000000008</c:v>
                </c:pt>
                <c:pt idx="4">
                  <c:v>8.57</c:v>
                </c:pt>
                <c:pt idx="5">
                  <c:v>8.4700000000000006</c:v>
                </c:pt>
                <c:pt idx="6">
                  <c:v>8.33</c:v>
                </c:pt>
                <c:pt idx="7">
                  <c:v>8.31</c:v>
                </c:pt>
                <c:pt idx="8">
                  <c:v>8.0399999999999991</c:v>
                </c:pt>
              </c:numCache>
            </c:numRef>
          </c:val>
          <c:smooth val="0"/>
          <c:extLst>
            <c:ext xmlns:c16="http://schemas.microsoft.com/office/drawing/2014/chart" uri="{C3380CC4-5D6E-409C-BE32-E72D297353CC}">
              <c16:uniqueId val="{00000002-BE50-4A71-802F-98CA06878998}"/>
            </c:ext>
          </c:extLst>
        </c:ser>
        <c:ser>
          <c:idx val="3"/>
          <c:order val="3"/>
          <c:tx>
            <c:strRef>
              <c:f>'5-23-11'!$A$72</c:f>
              <c:strCache>
                <c:ptCount val="1"/>
                <c:pt idx="0">
                  <c:v>Site 43 (4)</c:v>
                </c:pt>
              </c:strCache>
            </c:strRef>
          </c:tx>
          <c:marker>
            <c:symbol val="none"/>
          </c:marker>
          <c:val>
            <c:numRef>
              <c:f>'5-23-11'!$F$73:$F$79</c:f>
              <c:numCache>
                <c:formatCode>General</c:formatCode>
                <c:ptCount val="7"/>
                <c:pt idx="0">
                  <c:v>8.57</c:v>
                </c:pt>
                <c:pt idx="1">
                  <c:v>8.59</c:v>
                </c:pt>
                <c:pt idx="2">
                  <c:v>8.61</c:v>
                </c:pt>
                <c:pt idx="3">
                  <c:v>8.6300000000000008</c:v>
                </c:pt>
                <c:pt idx="4">
                  <c:v>8.59</c:v>
                </c:pt>
                <c:pt idx="5">
                  <c:v>8.59</c:v>
                </c:pt>
                <c:pt idx="6">
                  <c:v>8.51</c:v>
                </c:pt>
              </c:numCache>
            </c:numRef>
          </c:val>
          <c:smooth val="0"/>
          <c:extLst>
            <c:ext xmlns:c16="http://schemas.microsoft.com/office/drawing/2014/chart" uri="{C3380CC4-5D6E-409C-BE32-E72D297353CC}">
              <c16:uniqueId val="{00000003-BE50-4A71-802F-98CA06878998}"/>
            </c:ext>
          </c:extLst>
        </c:ser>
        <c:ser>
          <c:idx val="4"/>
          <c:order val="4"/>
          <c:tx>
            <c:strRef>
              <c:f>'5-23-11'!$A$83</c:f>
              <c:strCache>
                <c:ptCount val="1"/>
                <c:pt idx="0">
                  <c:v>Site 44 (5)</c:v>
                </c:pt>
              </c:strCache>
            </c:strRef>
          </c:tx>
          <c:marker>
            <c:symbol val="none"/>
          </c:marker>
          <c:val>
            <c:numRef>
              <c:f>'5-23-11'!$F$84:$F$93</c:f>
              <c:numCache>
                <c:formatCode>0.00</c:formatCode>
                <c:ptCount val="10"/>
                <c:pt idx="0">
                  <c:v>8.65</c:v>
                </c:pt>
                <c:pt idx="1">
                  <c:v>8.6300000000000008</c:v>
                </c:pt>
                <c:pt idx="2">
                  <c:v>8.64</c:v>
                </c:pt>
                <c:pt idx="3">
                  <c:v>8.66</c:v>
                </c:pt>
                <c:pt idx="4">
                  <c:v>8.6300000000000008</c:v>
                </c:pt>
                <c:pt idx="5">
                  <c:v>8.59</c:v>
                </c:pt>
                <c:pt idx="6">
                  <c:v>8.59</c:v>
                </c:pt>
                <c:pt idx="7">
                  <c:v>8.5299999999999994</c:v>
                </c:pt>
                <c:pt idx="8">
                  <c:v>8.26</c:v>
                </c:pt>
                <c:pt idx="9">
                  <c:v>8.1199999999999992</c:v>
                </c:pt>
              </c:numCache>
            </c:numRef>
          </c:val>
          <c:smooth val="0"/>
          <c:extLst>
            <c:ext xmlns:c16="http://schemas.microsoft.com/office/drawing/2014/chart" uri="{C3380CC4-5D6E-409C-BE32-E72D297353CC}">
              <c16:uniqueId val="{00000004-BE50-4A71-802F-98CA06878998}"/>
            </c:ext>
          </c:extLst>
        </c:ser>
        <c:dLbls>
          <c:showLegendKey val="0"/>
          <c:showVal val="0"/>
          <c:showCatName val="0"/>
          <c:showSerName val="0"/>
          <c:showPercent val="0"/>
          <c:showBubbleSize val="0"/>
        </c:dLbls>
        <c:smooth val="0"/>
        <c:axId val="140459392"/>
        <c:axId val="140465280"/>
      </c:lineChart>
      <c:catAx>
        <c:axId val="140459392"/>
        <c:scaling>
          <c:orientation val="minMax"/>
        </c:scaling>
        <c:delete val="0"/>
        <c:axPos val="b"/>
        <c:numFmt formatCode="General" sourceLinked="0"/>
        <c:majorTickMark val="none"/>
        <c:minorTickMark val="none"/>
        <c:tickLblPos val="nextTo"/>
        <c:crossAx val="140465280"/>
        <c:crosses val="autoZero"/>
        <c:auto val="1"/>
        <c:lblAlgn val="ctr"/>
        <c:lblOffset val="100"/>
        <c:noMultiLvlLbl val="0"/>
      </c:catAx>
      <c:valAx>
        <c:axId val="140465280"/>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40459392"/>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977" l="0.70000000000000062" r="0.70000000000000062" t="0.750000000000009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(6/27/2011)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878"/>
        </c:manualLayout>
      </c:layout>
      <c:lineChart>
        <c:grouping val="standard"/>
        <c:varyColors val="0"/>
        <c:ser>
          <c:idx val="0"/>
          <c:order val="0"/>
          <c:tx>
            <c:strRef>
              <c:f>'6-27-11'!$D$3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'6-27-11'!$D$8:$D$22</c:f>
              <c:numCache>
                <c:formatCode>General</c:formatCode>
                <c:ptCount val="15"/>
                <c:pt idx="0">
                  <c:v>8.11</c:v>
                </c:pt>
                <c:pt idx="1">
                  <c:v>8.2899999999999991</c:v>
                </c:pt>
                <c:pt idx="2">
                  <c:v>7.72</c:v>
                </c:pt>
                <c:pt idx="3">
                  <c:v>8.06</c:v>
                </c:pt>
                <c:pt idx="4">
                  <c:v>8.01</c:v>
                </c:pt>
                <c:pt idx="5">
                  <c:v>7.8</c:v>
                </c:pt>
                <c:pt idx="6">
                  <c:v>7.82</c:v>
                </c:pt>
                <c:pt idx="7">
                  <c:v>7.59</c:v>
                </c:pt>
                <c:pt idx="8">
                  <c:v>7.28</c:v>
                </c:pt>
                <c:pt idx="9" formatCode="0.00">
                  <c:v>7.15</c:v>
                </c:pt>
                <c:pt idx="10" formatCode="0.00">
                  <c:v>7.07</c:v>
                </c:pt>
                <c:pt idx="11" formatCode="0.00">
                  <c:v>6.54</c:v>
                </c:pt>
                <c:pt idx="12" formatCode="0.00">
                  <c:v>6.4</c:v>
                </c:pt>
                <c:pt idx="13" formatCode="0.00">
                  <c:v>5.91</c:v>
                </c:pt>
                <c:pt idx="14">
                  <c:v>4.8499999999999996</c:v>
                </c:pt>
              </c:numCache>
            </c:numRef>
          </c:val>
          <c:smooth val="0"/>
          <c:extLst>
            <c:ext xmlns:c16="http://schemas.microsoft.com/office/drawing/2014/chart" uri="{C3380CC4-5D6E-409C-BE32-E72D297353CC}">
              <c16:uniqueId val="{00000000-16BA-4A21-A65C-9460ECB3B6BF}"/>
            </c:ext>
          </c:extLst>
        </c:ser>
        <c:ser>
          <c:idx val="1"/>
          <c:order val="1"/>
          <c:tx>
            <c:strRef>
              <c:f>'6-27-11'!$E$3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'6-27-11'!$E$8:$E$22</c:f>
              <c:numCache>
                <c:formatCode>General</c:formatCode>
                <c:ptCount val="15"/>
                <c:pt idx="0">
                  <c:v>20.5</c:v>
                </c:pt>
                <c:pt idx="1">
                  <c:v>20.5</c:v>
                </c:pt>
                <c:pt idx="2">
                  <c:v>20.399999999999999</c:v>
                </c:pt>
                <c:pt idx="3">
                  <c:v>20.100000000000001</c:v>
                </c:pt>
                <c:pt idx="4">
                  <c:v>20</c:v>
                </c:pt>
                <c:pt idx="5">
                  <c:v>20</c:v>
                </c:pt>
                <c:pt idx="6">
                  <c:v>19.899999999999999</c:v>
                </c:pt>
                <c:pt idx="7">
                  <c:v>19.899999999999999</c:v>
                </c:pt>
                <c:pt idx="8">
                  <c:v>19.600000000000001</c:v>
                </c:pt>
                <c:pt idx="9">
                  <c:v>19.5</c:v>
                </c:pt>
                <c:pt idx="10">
                  <c:v>19.3</c:v>
                </c:pt>
                <c:pt idx="11">
                  <c:v>19.100000000000001</c:v>
                </c:pt>
                <c:pt idx="12">
                  <c:v>19</c:v>
                </c:pt>
                <c:pt idx="13">
                  <c:v>18.5</c:v>
                </c:pt>
                <c:pt idx="14">
                  <c:v>18.3</c:v>
                </c:pt>
              </c:numCache>
            </c:numRef>
          </c:val>
          <c:smooth val="0"/>
          <c:extLst>
            <c:ext xmlns:c16="http://schemas.microsoft.com/office/drawing/2014/chart" uri="{C3380CC4-5D6E-409C-BE32-E72D297353CC}">
              <c16:uniqueId val="{00000001-16BA-4A21-A65C-9460ECB3B6BF}"/>
            </c:ext>
          </c:extLst>
        </c:ser>
        <c:dLbls>
          <c:showLegendKey val="0"/>
          <c:showVal val="0"/>
          <c:showCatName val="0"/>
          <c:showSerName val="0"/>
          <c:showPercent val="0"/>
          <c:showBubbleSize val="0"/>
        </c:dLbls>
        <c:smooth val="0"/>
        <c:axId val="140581120"/>
        <c:axId val="140607488"/>
      </c:lineChart>
      <c:catAx>
        <c:axId val="140581120"/>
        <c:scaling>
          <c:orientation val="minMax"/>
        </c:scaling>
        <c:delete val="0"/>
        <c:axPos val="b"/>
        <c:minorGridlines/>
        <c:numFmt formatCode="General" sourceLinked="0"/>
        <c:majorTickMark val="out"/>
        <c:minorTickMark val="none"/>
        <c:tickLblPos val="nextTo"/>
        <c:crossAx val="140607488"/>
        <c:crosses val="autoZero"/>
        <c:auto val="1"/>
        <c:lblAlgn val="ctr"/>
        <c:lblOffset val="100"/>
        <c:noMultiLvlLbl val="0"/>
      </c:catAx>
      <c:valAx>
        <c:axId val="140607488"/>
        <c:scaling>
          <c:orientation val="minMax"/>
        </c:scaling>
        <c:delete val="0"/>
        <c:axPos val="l"/>
        <c:majorGridlines/>
        <c:minorGridlines/>
        <c:numFmt formatCode="General" sourceLinked="1"/>
        <c:majorTickMark val="out"/>
        <c:minorTickMark val="none"/>
        <c:tickLblPos val="nextTo"/>
        <c:crossAx val="140581120"/>
        <c:crosses val="autoZero"/>
        <c:crossBetween val="midCat"/>
      </c:valAx>
    </c:plotArea>
    <c:legend>
      <c:legendPos val="r"/>
      <c:layout>
        <c:manualLayout>
          <c:xMode val="edge"/>
          <c:yMode val="edge"/>
          <c:x val="0.7798125636507186"/>
          <c:y val="0.12929410139522346"/>
          <c:w val="0.14748622047244858"/>
          <c:h val="0.15758530183727906"/>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6/27/2011</a:t>
            </a:r>
          </a:p>
        </c:rich>
      </c:tx>
      <c:overlay val="0"/>
    </c:title>
    <c:autoTitleDeleted val="0"/>
    <c:plotArea>
      <c:layout/>
      <c:lineChart>
        <c:grouping val="standard"/>
        <c:varyColors val="0"/>
        <c:ser>
          <c:idx val="0"/>
          <c:order val="0"/>
          <c:tx>
            <c:strRef>
              <c:f>'5-23-11'!$B$7</c:f>
              <c:strCache>
                <c:ptCount val="1"/>
                <c:pt idx="0">
                  <c:v>Site 40 (CP)</c:v>
                </c:pt>
              </c:strCache>
            </c:strRef>
          </c:tx>
          <c:marker>
            <c:symbol val="none"/>
          </c:marker>
          <c:cat>
            <c:strRef>
              <c:f>'5-23-11'!$A$45:$A$56</c:f>
              <c:strCache>
                <c:ptCount val="12"/>
                <c:pt idx="0">
                  <c:v>1/2m</c:v>
                </c:pt>
                <c:pt idx="1">
                  <c:v>1m</c:v>
                </c:pt>
                <c:pt idx="2">
                  <c:v>1 1/2m</c:v>
                </c:pt>
                <c:pt idx="3">
                  <c:v>2m</c:v>
                </c:pt>
                <c:pt idx="4">
                  <c:v>2 1/2m</c:v>
                </c:pt>
                <c:pt idx="5">
                  <c:v>3m</c:v>
                </c:pt>
                <c:pt idx="6">
                  <c:v>3 1/2m</c:v>
                </c:pt>
                <c:pt idx="7">
                  <c:v>4m</c:v>
                </c:pt>
                <c:pt idx="8">
                  <c:v>5m</c:v>
                </c:pt>
                <c:pt idx="9">
                  <c:v>6m</c:v>
                </c:pt>
                <c:pt idx="10">
                  <c:v>7m</c:v>
                </c:pt>
                <c:pt idx="11">
                  <c:v>8m</c:v>
                </c:pt>
              </c:strCache>
            </c:strRef>
          </c:cat>
          <c:val>
            <c:numRef>
              <c:f>'6-27-11'!$D$8:$D$22</c:f>
              <c:numCache>
                <c:formatCode>General</c:formatCode>
                <c:ptCount val="15"/>
                <c:pt idx="0">
                  <c:v>8.11</c:v>
                </c:pt>
                <c:pt idx="1">
                  <c:v>8.2899999999999991</c:v>
                </c:pt>
                <c:pt idx="2">
                  <c:v>7.72</c:v>
                </c:pt>
                <c:pt idx="3">
                  <c:v>8.06</c:v>
                </c:pt>
                <c:pt idx="4">
                  <c:v>8.01</c:v>
                </c:pt>
                <c:pt idx="5">
                  <c:v>7.8</c:v>
                </c:pt>
                <c:pt idx="6">
                  <c:v>7.82</c:v>
                </c:pt>
                <c:pt idx="7">
                  <c:v>7.59</c:v>
                </c:pt>
                <c:pt idx="8">
                  <c:v>7.28</c:v>
                </c:pt>
                <c:pt idx="9" formatCode="0.00">
                  <c:v>7.15</c:v>
                </c:pt>
                <c:pt idx="10" formatCode="0.00">
                  <c:v>7.07</c:v>
                </c:pt>
                <c:pt idx="11" formatCode="0.00">
                  <c:v>6.54</c:v>
                </c:pt>
                <c:pt idx="12" formatCode="0.00">
                  <c:v>6.4</c:v>
                </c:pt>
                <c:pt idx="13" formatCode="0.00">
                  <c:v>5.91</c:v>
                </c:pt>
                <c:pt idx="14">
                  <c:v>4.8499999999999996</c:v>
                </c:pt>
              </c:numCache>
            </c:numRef>
          </c:val>
          <c:smooth val="0"/>
          <c:extLst>
            <c:ext xmlns:c16="http://schemas.microsoft.com/office/drawing/2014/chart" uri="{C3380CC4-5D6E-409C-BE32-E72D297353CC}">
              <c16:uniqueId val="{00000000-5324-4649-9209-772E7DAAA761}"/>
            </c:ext>
          </c:extLst>
        </c:ser>
        <c:ser>
          <c:idx val="1"/>
          <c:order val="1"/>
          <c:tx>
            <c:strRef>
              <c:f>'5-23-11'!$A$44</c:f>
              <c:strCache>
                <c:ptCount val="1"/>
                <c:pt idx="0">
                  <c:v>Site 41 (1)</c:v>
                </c:pt>
              </c:strCache>
            </c:strRef>
          </c:tx>
          <c:marker>
            <c:symbol val="none"/>
          </c:marker>
          <c:cat>
            <c:strRef>
              <c:f>'5-23-11'!$A$45:$A$56</c:f>
              <c:strCache>
                <c:ptCount val="12"/>
                <c:pt idx="0">
                  <c:v>1/2m</c:v>
                </c:pt>
                <c:pt idx="1">
                  <c:v>1m</c:v>
                </c:pt>
                <c:pt idx="2">
                  <c:v>1 1/2m</c:v>
                </c:pt>
                <c:pt idx="3">
                  <c:v>2m</c:v>
                </c:pt>
                <c:pt idx="4">
                  <c:v>2 1/2m</c:v>
                </c:pt>
                <c:pt idx="5">
                  <c:v>3m</c:v>
                </c:pt>
                <c:pt idx="6">
                  <c:v>3 1/2m</c:v>
                </c:pt>
                <c:pt idx="7">
                  <c:v>4m</c:v>
                </c:pt>
                <c:pt idx="8">
                  <c:v>5m</c:v>
                </c:pt>
                <c:pt idx="9">
                  <c:v>6m</c:v>
                </c:pt>
                <c:pt idx="10">
                  <c:v>7m</c:v>
                </c:pt>
                <c:pt idx="11">
                  <c:v>8m</c:v>
                </c:pt>
              </c:strCache>
            </c:strRef>
          </c:cat>
          <c:val>
            <c:numRef>
              <c:f>'6-27-11'!$D$45:$D$56</c:f>
              <c:numCache>
                <c:formatCode>General</c:formatCode>
                <c:ptCount val="12"/>
                <c:pt idx="0">
                  <c:v>8.34</c:v>
                </c:pt>
                <c:pt idx="1">
                  <c:v>7.99</c:v>
                </c:pt>
                <c:pt idx="2">
                  <c:v>8.1300000000000008</c:v>
                </c:pt>
                <c:pt idx="3">
                  <c:v>7.93</c:v>
                </c:pt>
                <c:pt idx="4">
                  <c:v>8.02</c:v>
                </c:pt>
                <c:pt idx="5">
                  <c:v>7.71</c:v>
                </c:pt>
                <c:pt idx="6">
                  <c:v>7.92</c:v>
                </c:pt>
                <c:pt idx="7">
                  <c:v>7.56</c:v>
                </c:pt>
                <c:pt idx="8">
                  <c:v>7.46</c:v>
                </c:pt>
                <c:pt idx="9">
                  <c:v>6.98</c:v>
                </c:pt>
                <c:pt idx="10">
                  <c:v>6.77</c:v>
                </c:pt>
                <c:pt idx="11">
                  <c:v>4.46</c:v>
                </c:pt>
              </c:numCache>
            </c:numRef>
          </c:val>
          <c:smooth val="0"/>
          <c:extLst>
            <c:ext xmlns:c16="http://schemas.microsoft.com/office/drawing/2014/chart" uri="{C3380CC4-5D6E-409C-BE32-E72D297353CC}">
              <c16:uniqueId val="{00000001-5324-4649-9209-772E7DAAA761}"/>
            </c:ext>
          </c:extLst>
        </c:ser>
        <c:ser>
          <c:idx val="2"/>
          <c:order val="2"/>
          <c:tx>
            <c:strRef>
              <c:f>'5-23-11'!$A$58</c:f>
              <c:strCache>
                <c:ptCount val="1"/>
                <c:pt idx="0">
                  <c:v>Site 42 (3)</c:v>
                </c:pt>
              </c:strCache>
            </c:strRef>
          </c:tx>
          <c:marker>
            <c:symbol val="none"/>
          </c:marker>
          <c:val>
            <c:numRef>
              <c:f>'6-27-11'!$D$59:$D$67</c:f>
              <c:numCache>
                <c:formatCode>General</c:formatCode>
                <c:ptCount val="9"/>
                <c:pt idx="0">
                  <c:v>7.55</c:v>
                </c:pt>
                <c:pt idx="1">
                  <c:v>7.84</c:v>
                </c:pt>
                <c:pt idx="2">
                  <c:v>8.0299999999999994</c:v>
                </c:pt>
                <c:pt idx="3">
                  <c:v>8.2100000000000009</c:v>
                </c:pt>
                <c:pt idx="4">
                  <c:v>7.79</c:v>
                </c:pt>
                <c:pt idx="5">
                  <c:v>7.56</c:v>
                </c:pt>
                <c:pt idx="6">
                  <c:v>7.4</c:v>
                </c:pt>
                <c:pt idx="7">
                  <c:v>7.04</c:v>
                </c:pt>
                <c:pt idx="8">
                  <c:v>7.27</c:v>
                </c:pt>
              </c:numCache>
            </c:numRef>
          </c:val>
          <c:smooth val="0"/>
          <c:extLst>
            <c:ext xmlns:c16="http://schemas.microsoft.com/office/drawing/2014/chart" uri="{C3380CC4-5D6E-409C-BE32-E72D297353CC}">
              <c16:uniqueId val="{00000002-5324-4649-9209-772E7DAAA761}"/>
            </c:ext>
          </c:extLst>
        </c:ser>
        <c:ser>
          <c:idx val="3"/>
          <c:order val="3"/>
          <c:tx>
            <c:strRef>
              <c:f>'5-23-11'!$A$72</c:f>
              <c:strCache>
                <c:ptCount val="1"/>
                <c:pt idx="0">
                  <c:v>Site 43 (4)</c:v>
                </c:pt>
              </c:strCache>
            </c:strRef>
          </c:tx>
          <c:marker>
            <c:symbol val="none"/>
          </c:marker>
          <c:val>
            <c:numRef>
              <c:f>'6-27-11'!$D$73:$D$80</c:f>
              <c:numCache>
                <c:formatCode>General</c:formatCode>
                <c:ptCount val="8"/>
                <c:pt idx="0">
                  <c:v>7.97</c:v>
                </c:pt>
                <c:pt idx="1">
                  <c:v>7.81</c:v>
                </c:pt>
                <c:pt idx="2">
                  <c:v>7.61</c:v>
                </c:pt>
                <c:pt idx="3">
                  <c:v>7.86</c:v>
                </c:pt>
                <c:pt idx="4">
                  <c:v>7.55</c:v>
                </c:pt>
                <c:pt idx="5">
                  <c:v>7.45</c:v>
                </c:pt>
                <c:pt idx="6">
                  <c:v>7.38</c:v>
                </c:pt>
                <c:pt idx="7">
                  <c:v>6.9</c:v>
                </c:pt>
              </c:numCache>
            </c:numRef>
          </c:val>
          <c:smooth val="0"/>
          <c:extLst>
            <c:ext xmlns:c16="http://schemas.microsoft.com/office/drawing/2014/chart" uri="{C3380CC4-5D6E-409C-BE32-E72D297353CC}">
              <c16:uniqueId val="{00000003-5324-4649-9209-772E7DAAA761}"/>
            </c:ext>
          </c:extLst>
        </c:ser>
        <c:ser>
          <c:idx val="4"/>
          <c:order val="4"/>
          <c:tx>
            <c:strRef>
              <c:f>'5-23-11'!$A$83</c:f>
              <c:strCache>
                <c:ptCount val="1"/>
                <c:pt idx="0">
                  <c:v>Site 44 (5)</c:v>
                </c:pt>
              </c:strCache>
            </c:strRef>
          </c:tx>
          <c:marker>
            <c:symbol val="none"/>
          </c:marker>
          <c:val>
            <c:numRef>
              <c:f>'6-27-11'!$D$84:$D$93</c:f>
              <c:numCache>
                <c:formatCode>0.00</c:formatCode>
                <c:ptCount val="10"/>
                <c:pt idx="0">
                  <c:v>7.89</c:v>
                </c:pt>
                <c:pt idx="1">
                  <c:v>7.78</c:v>
                </c:pt>
                <c:pt idx="2">
                  <c:v>7.86</c:v>
                </c:pt>
                <c:pt idx="3">
                  <c:v>7.57</c:v>
                </c:pt>
                <c:pt idx="4">
                  <c:v>7.84</c:v>
                </c:pt>
                <c:pt idx="5">
                  <c:v>7.68</c:v>
                </c:pt>
                <c:pt idx="6">
                  <c:v>7.61</c:v>
                </c:pt>
                <c:pt idx="7">
                  <c:v>7.48</c:v>
                </c:pt>
                <c:pt idx="8">
                  <c:v>7.37</c:v>
                </c:pt>
                <c:pt idx="9">
                  <c:v>6.64</c:v>
                </c:pt>
              </c:numCache>
            </c:numRef>
          </c:val>
          <c:smooth val="0"/>
          <c:extLst>
            <c:ext xmlns:c16="http://schemas.microsoft.com/office/drawing/2014/chart" uri="{C3380CC4-5D6E-409C-BE32-E72D297353CC}">
              <c16:uniqueId val="{00000004-5324-4649-9209-772E7DAAA761}"/>
            </c:ext>
          </c:extLst>
        </c:ser>
        <c:dLbls>
          <c:showLegendKey val="0"/>
          <c:showVal val="0"/>
          <c:showCatName val="0"/>
          <c:showSerName val="0"/>
          <c:showPercent val="0"/>
          <c:showBubbleSize val="0"/>
        </c:dLbls>
        <c:smooth val="0"/>
        <c:axId val="140634752"/>
        <c:axId val="145084800"/>
      </c:lineChart>
      <c:catAx>
        <c:axId val="140634752"/>
        <c:scaling>
          <c:orientation val="minMax"/>
        </c:scaling>
        <c:delete val="0"/>
        <c:axPos val="b"/>
        <c:numFmt formatCode="General" sourceLinked="0"/>
        <c:majorTickMark val="none"/>
        <c:minorTickMark val="none"/>
        <c:tickLblPos val="nextTo"/>
        <c:crossAx val="145084800"/>
        <c:crosses val="autoZero"/>
        <c:auto val="1"/>
        <c:lblAlgn val="ctr"/>
        <c:lblOffset val="100"/>
        <c:noMultiLvlLbl val="0"/>
      </c:catAx>
      <c:valAx>
        <c:axId val="145084800"/>
        <c:scaling>
          <c:orientation val="minMax"/>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40634752"/>
        <c:crosses val="autoZero"/>
        <c:crossBetween val="between"/>
      </c:valAx>
    </c:plotArea>
    <c:legend>
      <c:legendPos val="r"/>
      <c:layout>
        <c:manualLayout>
          <c:xMode val="edge"/>
          <c:yMode val="edge"/>
          <c:x val="0.80383606722756107"/>
          <c:y val="0.22371135899679509"/>
          <c:w val="0.18321943083609057"/>
          <c:h val="0.4342678526855612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0999" l="0.70000000000000062" r="0.70000000000000062" t="0.75000000000000999"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Conductance Profiles 6/27/2011</a:t>
            </a:r>
          </a:p>
        </c:rich>
      </c:tx>
      <c:layout>
        <c:manualLayout>
          <c:xMode val="edge"/>
          <c:yMode val="edge"/>
          <c:x val="0.14230270671238793"/>
          <c:y val="2.4084778420038592E-2"/>
        </c:manualLayout>
      </c:layout>
      <c:overlay val="0"/>
    </c:title>
    <c:autoTitleDeleted val="0"/>
    <c:plotArea>
      <c:layout/>
      <c:lineChart>
        <c:grouping val="standard"/>
        <c:varyColors val="0"/>
        <c:ser>
          <c:idx val="0"/>
          <c:order val="0"/>
          <c:tx>
            <c:strRef>
              <c:f>'5-23-11'!$B$7</c:f>
              <c:strCache>
                <c:ptCount val="1"/>
                <c:pt idx="0">
                  <c:v>Site 40 (CP)</c:v>
                </c:pt>
              </c:strCache>
            </c:strRef>
          </c:tx>
          <c:marker>
            <c:symbol val="none"/>
          </c:marker>
          <c:cat>
            <c:strRef>
              <c:f>'5-23-11'!$A$8:$A$22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'6-27-11'!$C$8:$C$22</c:f>
              <c:numCache>
                <c:formatCode>General</c:formatCode>
                <c:ptCount val="15"/>
                <c:pt idx="0">
                  <c:v>0.13300000000000001</c:v>
                </c:pt>
                <c:pt idx="1">
                  <c:v>0.13500000000000001</c:v>
                </c:pt>
                <c:pt idx="2">
                  <c:v>0.13600000000000001</c:v>
                </c:pt>
                <c:pt idx="3">
                  <c:v>0.13600000000000001</c:v>
                </c:pt>
                <c:pt idx="4">
                  <c:v>0.13700000000000001</c:v>
                </c:pt>
                <c:pt idx="5">
                  <c:v>0.13700000000000001</c:v>
                </c:pt>
                <c:pt idx="6">
                  <c:v>0.13700000000000001</c:v>
                </c:pt>
                <c:pt idx="7">
                  <c:v>0.13600000000000001</c:v>
                </c:pt>
                <c:pt idx="8">
                  <c:v>0.13800000000000001</c:v>
                </c:pt>
                <c:pt idx="9">
                  <c:v>0.13900000000000001</c:v>
                </c:pt>
                <c:pt idx="10">
                  <c:v>0.14000000000000001</c:v>
                </c:pt>
                <c:pt idx="11">
                  <c:v>0.14099999999999999</c:v>
                </c:pt>
                <c:pt idx="12">
                  <c:v>0.14000000000000001</c:v>
                </c:pt>
                <c:pt idx="13">
                  <c:v>0.14099999999999999</c:v>
                </c:pt>
                <c:pt idx="14">
                  <c:v>0.14199999999999999</c:v>
                </c:pt>
              </c:numCache>
            </c:numRef>
          </c:val>
          <c:smooth val="0"/>
          <c:extLst>
            <c:ext xmlns:c16="http://schemas.microsoft.com/office/drawing/2014/chart" uri="{C3380CC4-5D6E-409C-BE32-E72D297353CC}">
              <c16:uniqueId val="{00000000-6884-48C9-973F-8CBF06850E68}"/>
            </c:ext>
          </c:extLst>
        </c:ser>
        <c:ser>
          <c:idx val="1"/>
          <c:order val="1"/>
          <c:tx>
            <c:strRef>
              <c:f>'6-27-11'!$A$44</c:f>
              <c:strCache>
                <c:ptCount val="1"/>
                <c:pt idx="0">
                  <c:v>Site 41 (1)</c:v>
                </c:pt>
              </c:strCache>
            </c:strRef>
          </c:tx>
          <c:marker>
            <c:symbol val="none"/>
          </c:marker>
          <c:val>
            <c:numRef>
              <c:f>'6-27-11'!$C$45:$C$56</c:f>
              <c:numCache>
                <c:formatCode>General</c:formatCode>
                <c:ptCount val="12"/>
                <c:pt idx="0">
                  <c:v>0.13900000000000001</c:v>
                </c:pt>
                <c:pt idx="1">
                  <c:v>0.13400000000000001</c:v>
                </c:pt>
                <c:pt idx="2">
                  <c:v>0.13600000000000001</c:v>
                </c:pt>
                <c:pt idx="3">
                  <c:v>0.13600000000000001</c:v>
                </c:pt>
                <c:pt idx="4">
                  <c:v>0.13700000000000001</c:v>
                </c:pt>
                <c:pt idx="5">
                  <c:v>0.13700000000000001</c:v>
                </c:pt>
                <c:pt idx="6">
                  <c:v>0.13700000000000001</c:v>
                </c:pt>
                <c:pt idx="7">
                  <c:v>0.13800000000000001</c:v>
                </c:pt>
                <c:pt idx="8">
                  <c:v>0.13900000000000001</c:v>
                </c:pt>
                <c:pt idx="9">
                  <c:v>0.13900000000000001</c:v>
                </c:pt>
                <c:pt idx="10">
                  <c:v>0.14099999999999999</c:v>
                </c:pt>
                <c:pt idx="11">
                  <c:v>0.14099999999999999</c:v>
                </c:pt>
              </c:numCache>
            </c:numRef>
          </c:val>
          <c:smooth val="0"/>
          <c:extLst>
            <c:ext xmlns:c16="http://schemas.microsoft.com/office/drawing/2014/chart" uri="{C3380CC4-5D6E-409C-BE32-E72D297353CC}">
              <c16:uniqueId val="{00000001-6884-48C9-973F-8CBF06850E68}"/>
            </c:ext>
          </c:extLst>
        </c:ser>
        <c:ser>
          <c:idx val="2"/>
          <c:order val="2"/>
          <c:tx>
            <c:strRef>
              <c:f>'5-23-11'!$A$58</c:f>
              <c:strCache>
                <c:ptCount val="1"/>
                <c:pt idx="0">
                  <c:v>Site 42 (3)</c:v>
                </c:pt>
              </c:strCache>
            </c:strRef>
          </c:tx>
          <c:marker>
            <c:symbol val="none"/>
          </c:marker>
          <c:val>
            <c:numRef>
              <c:f>'6-27-11'!$C$59:$C$67</c:f>
              <c:numCache>
                <c:formatCode>General</c:formatCode>
                <c:ptCount val="9"/>
                <c:pt idx="0">
                  <c:v>0.46600000000000003</c:v>
                </c:pt>
                <c:pt idx="1">
                  <c:v>0.46600000000000003</c:v>
                </c:pt>
                <c:pt idx="2">
                  <c:v>0.46400000000000002</c:v>
                </c:pt>
                <c:pt idx="3">
                  <c:v>0.46600000000000003</c:v>
                </c:pt>
                <c:pt idx="4">
                  <c:v>0.46600000000000003</c:v>
                </c:pt>
                <c:pt idx="5">
                  <c:v>0.46500000000000002</c:v>
                </c:pt>
                <c:pt idx="6">
                  <c:v>0.46400000000000002</c:v>
                </c:pt>
                <c:pt idx="7">
                  <c:v>0.46400000000000002</c:v>
                </c:pt>
                <c:pt idx="8">
                  <c:v>0.46400000000000002</c:v>
                </c:pt>
              </c:numCache>
            </c:numRef>
          </c:val>
          <c:smooth val="0"/>
          <c:extLst>
            <c:ext xmlns:c16="http://schemas.microsoft.com/office/drawing/2014/chart" uri="{C3380CC4-5D6E-409C-BE32-E72D297353CC}">
              <c16:uniqueId val="{00000002-6884-48C9-973F-8CBF06850E68}"/>
            </c:ext>
          </c:extLst>
        </c:ser>
        <c:ser>
          <c:idx val="3"/>
          <c:order val="3"/>
          <c:tx>
            <c:strRef>
              <c:f>'5-23-11'!$A$72</c:f>
              <c:strCache>
                <c:ptCount val="1"/>
                <c:pt idx="0">
                  <c:v>Site 43 (4)</c:v>
                </c:pt>
              </c:strCache>
            </c:strRef>
          </c:tx>
          <c:marker>
            <c:symbol val="none"/>
          </c:marker>
          <c:val>
            <c:numRef>
              <c:f>'6-27-11'!$C$73:$C$80</c:f>
              <c:numCache>
                <c:formatCode>General</c:formatCode>
                <c:ptCount val="8"/>
                <c:pt idx="0">
                  <c:v>0.13300000000000001</c:v>
                </c:pt>
                <c:pt idx="1">
                  <c:v>0.13300000000000001</c:v>
                </c:pt>
                <c:pt idx="2">
                  <c:v>0.13400000000000001</c:v>
                </c:pt>
                <c:pt idx="3">
                  <c:v>0.13400000000000001</c:v>
                </c:pt>
                <c:pt idx="4">
                  <c:v>0.13600000000000001</c:v>
                </c:pt>
                <c:pt idx="5">
                  <c:v>0.14000000000000001</c:v>
                </c:pt>
                <c:pt idx="6">
                  <c:v>0.13800000000000001</c:v>
                </c:pt>
                <c:pt idx="7">
                  <c:v>0.14399999999999999</c:v>
                </c:pt>
              </c:numCache>
            </c:numRef>
          </c:val>
          <c:smooth val="0"/>
          <c:extLst>
            <c:ext xmlns:c16="http://schemas.microsoft.com/office/drawing/2014/chart" uri="{C3380CC4-5D6E-409C-BE32-E72D297353CC}">
              <c16:uniqueId val="{00000003-6884-48C9-973F-8CBF06850E68}"/>
            </c:ext>
          </c:extLst>
        </c:ser>
        <c:ser>
          <c:idx val="4"/>
          <c:order val="4"/>
          <c:tx>
            <c:strRef>
              <c:f>'5-23-11'!$A$83</c:f>
              <c:strCache>
                <c:ptCount val="1"/>
                <c:pt idx="0">
                  <c:v>Site 44 (5)</c:v>
                </c:pt>
              </c:strCache>
            </c:strRef>
          </c:tx>
          <c:marker>
            <c:symbol val="none"/>
          </c:marker>
          <c:val>
            <c:numRef>
              <c:f>'6-27-11'!$C$84:$C$93</c:f>
              <c:numCache>
                <c:formatCode>General</c:formatCode>
                <c:ptCount val="10"/>
                <c:pt idx="0">
                  <c:v>0.13300000000000001</c:v>
                </c:pt>
                <c:pt idx="1">
                  <c:v>0.13300000000000001</c:v>
                </c:pt>
                <c:pt idx="2">
                  <c:v>0.13300000000000001</c:v>
                </c:pt>
                <c:pt idx="3">
                  <c:v>0.46300000000000002</c:v>
                </c:pt>
                <c:pt idx="4">
                  <c:v>0.46300000000000002</c:v>
                </c:pt>
                <c:pt idx="5">
                  <c:v>0.45900000000000002</c:v>
                </c:pt>
                <c:pt idx="6">
                  <c:v>0.45</c:v>
                </c:pt>
                <c:pt idx="7">
                  <c:v>0.45900000000000002</c:v>
                </c:pt>
                <c:pt idx="8">
                  <c:v>0.45600000000000002</c:v>
                </c:pt>
                <c:pt idx="9">
                  <c:v>0.441</c:v>
                </c:pt>
              </c:numCache>
            </c:numRef>
          </c:val>
          <c:smooth val="0"/>
          <c:extLst>
            <c:ext xmlns:c16="http://schemas.microsoft.com/office/drawing/2014/chart" uri="{C3380CC4-5D6E-409C-BE32-E72D297353CC}">
              <c16:uniqueId val="{00000004-6884-48C9-973F-8CBF06850E68}"/>
            </c:ext>
          </c:extLst>
        </c:ser>
        <c:dLbls>
          <c:showLegendKey val="0"/>
          <c:showVal val="0"/>
          <c:showCatName val="0"/>
          <c:showSerName val="0"/>
          <c:showPercent val="0"/>
          <c:showBubbleSize val="0"/>
        </c:dLbls>
        <c:smooth val="0"/>
        <c:axId val="149826944"/>
        <c:axId val="149841024"/>
      </c:lineChart>
      <c:catAx>
        <c:axId val="149826944"/>
        <c:scaling>
          <c:orientation val="minMax"/>
        </c:scaling>
        <c:delete val="0"/>
        <c:axPos val="b"/>
        <c:numFmt formatCode="General" sourceLinked="0"/>
        <c:majorTickMark val="none"/>
        <c:minorTickMark val="none"/>
        <c:tickLblPos val="nextTo"/>
        <c:crossAx val="149841024"/>
        <c:crosses val="autoZero"/>
        <c:auto val="1"/>
        <c:lblAlgn val="ctr"/>
        <c:lblOffset val="100"/>
        <c:noMultiLvlLbl val="0"/>
      </c:catAx>
      <c:valAx>
        <c:axId val="149841024"/>
        <c:scaling>
          <c:orientation val="minMax"/>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49826944"/>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999" l="0.70000000000000062" r="0.70000000000000062" t="0.75000000000000999"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6/27/2011</a:t>
            </a:r>
          </a:p>
        </c:rich>
      </c:tx>
      <c:overlay val="0"/>
    </c:title>
    <c:autoTitleDeleted val="0"/>
    <c:plotArea>
      <c:layout/>
      <c:lineChart>
        <c:grouping val="standard"/>
        <c:varyColors val="0"/>
        <c:ser>
          <c:idx val="0"/>
          <c:order val="0"/>
          <c:tx>
            <c:strRef>
              <c:f>'5-23-11'!$B$7</c:f>
              <c:strCache>
                <c:ptCount val="1"/>
                <c:pt idx="0">
                  <c:v>Site 40 (CP)</c:v>
                </c:pt>
              </c:strCache>
            </c:strRef>
          </c:tx>
          <c:marker>
            <c:symbol val="none"/>
          </c:marker>
          <c:cat>
            <c:strRef>
              <c:f>'5-23-11'!$A$8:$A$22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'6-27-11'!$F$8:$F$22</c:f>
              <c:numCache>
                <c:formatCode>General</c:formatCode>
                <c:ptCount val="15"/>
                <c:pt idx="0">
                  <c:v>8.84</c:v>
                </c:pt>
                <c:pt idx="1">
                  <c:v>8.82</c:v>
                </c:pt>
                <c:pt idx="2">
                  <c:v>8.81</c:v>
                </c:pt>
                <c:pt idx="3">
                  <c:v>8.75</c:v>
                </c:pt>
                <c:pt idx="4">
                  <c:v>8.81</c:v>
                </c:pt>
                <c:pt idx="5">
                  <c:v>8.8000000000000007</c:v>
                </c:pt>
                <c:pt idx="6">
                  <c:v>8.76</c:v>
                </c:pt>
                <c:pt idx="7">
                  <c:v>8.74</c:v>
                </c:pt>
                <c:pt idx="8">
                  <c:v>8.61</c:v>
                </c:pt>
                <c:pt idx="9">
                  <c:v>8.58</c:v>
                </c:pt>
                <c:pt idx="10">
                  <c:v>8.52</c:v>
                </c:pt>
                <c:pt idx="11">
                  <c:v>8.4499999999999993</c:v>
                </c:pt>
                <c:pt idx="12">
                  <c:v>8.36</c:v>
                </c:pt>
                <c:pt idx="13">
                  <c:v>8.16</c:v>
                </c:pt>
                <c:pt idx="14">
                  <c:v>8.0500000000000007</c:v>
                </c:pt>
              </c:numCache>
            </c:numRef>
          </c:val>
          <c:smooth val="0"/>
          <c:extLst>
            <c:ext xmlns:c16="http://schemas.microsoft.com/office/drawing/2014/chart" uri="{C3380CC4-5D6E-409C-BE32-E72D297353CC}">
              <c16:uniqueId val="{00000000-C2E3-464C-A4AA-D74B7E45B066}"/>
            </c:ext>
          </c:extLst>
        </c:ser>
        <c:ser>
          <c:idx val="1"/>
          <c:order val="1"/>
          <c:tx>
            <c:strRef>
              <c:f>'5-23-11'!$A$44</c:f>
              <c:strCache>
                <c:ptCount val="1"/>
                <c:pt idx="0">
                  <c:v>Site 41 (1)</c:v>
                </c:pt>
              </c:strCache>
            </c:strRef>
          </c:tx>
          <c:marker>
            <c:symbol val="none"/>
          </c:marker>
          <c:val>
            <c:numRef>
              <c:f>'6-27-11'!$F$45:$F$56</c:f>
              <c:numCache>
                <c:formatCode>General</c:formatCode>
                <c:ptCount val="12"/>
                <c:pt idx="0">
                  <c:v>8.83</c:v>
                </c:pt>
                <c:pt idx="1">
                  <c:v>8.85</c:v>
                </c:pt>
                <c:pt idx="2">
                  <c:v>8.86</c:v>
                </c:pt>
                <c:pt idx="3">
                  <c:v>8.82</c:v>
                </c:pt>
                <c:pt idx="4">
                  <c:v>8.81</c:v>
                </c:pt>
                <c:pt idx="5">
                  <c:v>8.77</c:v>
                </c:pt>
                <c:pt idx="6">
                  <c:v>8.76</c:v>
                </c:pt>
                <c:pt idx="7">
                  <c:v>8.69</c:v>
                </c:pt>
                <c:pt idx="8">
                  <c:v>8.6300000000000008</c:v>
                </c:pt>
                <c:pt idx="9">
                  <c:v>8.5399999999999991</c:v>
                </c:pt>
                <c:pt idx="10">
                  <c:v>8.3000000000000007</c:v>
                </c:pt>
                <c:pt idx="11">
                  <c:v>8.06</c:v>
                </c:pt>
              </c:numCache>
            </c:numRef>
          </c:val>
          <c:smooth val="0"/>
          <c:extLst>
            <c:ext xmlns:c16="http://schemas.microsoft.com/office/drawing/2014/chart" uri="{C3380CC4-5D6E-409C-BE32-E72D297353CC}">
              <c16:uniqueId val="{00000001-C2E3-464C-A4AA-D74B7E45B066}"/>
            </c:ext>
          </c:extLst>
        </c:ser>
        <c:ser>
          <c:idx val="2"/>
          <c:order val="2"/>
          <c:tx>
            <c:strRef>
              <c:f>'5-23-11'!$A$58</c:f>
              <c:strCache>
                <c:ptCount val="1"/>
                <c:pt idx="0">
                  <c:v>Site 42 (3)</c:v>
                </c:pt>
              </c:strCache>
            </c:strRef>
          </c:tx>
          <c:marker>
            <c:symbol val="none"/>
          </c:marker>
          <c:val>
            <c:numRef>
              <c:f>'6-27-11'!$F$59:$F$67</c:f>
              <c:numCache>
                <c:formatCode>General</c:formatCode>
                <c:ptCount val="9"/>
                <c:pt idx="0">
                  <c:v>8.81</c:v>
                </c:pt>
                <c:pt idx="1">
                  <c:v>8.81</c:v>
                </c:pt>
                <c:pt idx="2">
                  <c:v>8.83</c:v>
                </c:pt>
                <c:pt idx="3">
                  <c:v>8.77</c:v>
                </c:pt>
                <c:pt idx="4">
                  <c:v>8.7799999999999994</c:v>
                </c:pt>
                <c:pt idx="5">
                  <c:v>8.77</c:v>
                </c:pt>
                <c:pt idx="6">
                  <c:v>8.73</c:v>
                </c:pt>
                <c:pt idx="7">
                  <c:v>8.7100000000000009</c:v>
                </c:pt>
                <c:pt idx="8">
                  <c:v>8.61</c:v>
                </c:pt>
              </c:numCache>
            </c:numRef>
          </c:val>
          <c:smooth val="0"/>
          <c:extLst>
            <c:ext xmlns:c16="http://schemas.microsoft.com/office/drawing/2014/chart" uri="{C3380CC4-5D6E-409C-BE32-E72D297353CC}">
              <c16:uniqueId val="{00000002-C2E3-464C-A4AA-D74B7E45B066}"/>
            </c:ext>
          </c:extLst>
        </c:ser>
        <c:ser>
          <c:idx val="3"/>
          <c:order val="3"/>
          <c:tx>
            <c:strRef>
              <c:f>'6-27-11'!$A$72</c:f>
              <c:strCache>
                <c:ptCount val="1"/>
                <c:pt idx="0">
                  <c:v>Site 43 (4)</c:v>
                </c:pt>
              </c:strCache>
            </c:strRef>
          </c:tx>
          <c:marker>
            <c:symbol val="none"/>
          </c:marker>
          <c:val>
            <c:numRef>
              <c:f>'6-27-11'!$F$73:$F$80</c:f>
              <c:numCache>
                <c:formatCode>General</c:formatCode>
                <c:ptCount val="8"/>
                <c:pt idx="0">
                  <c:v>8.81</c:v>
                </c:pt>
                <c:pt idx="1">
                  <c:v>8.81</c:v>
                </c:pt>
                <c:pt idx="2">
                  <c:v>8.82</c:v>
                </c:pt>
                <c:pt idx="3">
                  <c:v>8.81</c:v>
                </c:pt>
                <c:pt idx="4">
                  <c:v>8.81</c:v>
                </c:pt>
                <c:pt idx="5">
                  <c:v>8.7799999999999994</c:v>
                </c:pt>
                <c:pt idx="6">
                  <c:v>8.68</c:v>
                </c:pt>
                <c:pt idx="7">
                  <c:v>8.49</c:v>
                </c:pt>
              </c:numCache>
            </c:numRef>
          </c:val>
          <c:smooth val="0"/>
          <c:extLst>
            <c:ext xmlns:c16="http://schemas.microsoft.com/office/drawing/2014/chart" uri="{C3380CC4-5D6E-409C-BE32-E72D297353CC}">
              <c16:uniqueId val="{00000003-C2E3-464C-A4AA-D74B7E45B066}"/>
            </c:ext>
          </c:extLst>
        </c:ser>
        <c:ser>
          <c:idx val="4"/>
          <c:order val="4"/>
          <c:tx>
            <c:strRef>
              <c:f>'5-23-11'!$A$83</c:f>
              <c:strCache>
                <c:ptCount val="1"/>
                <c:pt idx="0">
                  <c:v>Site 44 (5)</c:v>
                </c:pt>
              </c:strCache>
            </c:strRef>
          </c:tx>
          <c:marker>
            <c:symbol val="none"/>
          </c:marker>
          <c:val>
            <c:numRef>
              <c:f>'6-27-11'!$F$84:$F$93</c:f>
              <c:numCache>
                <c:formatCode>0.00</c:formatCode>
                <c:ptCount val="10"/>
                <c:pt idx="0">
                  <c:v>8.8000000000000007</c:v>
                </c:pt>
                <c:pt idx="1">
                  <c:v>8.81</c:v>
                </c:pt>
                <c:pt idx="2">
                  <c:v>8.81</c:v>
                </c:pt>
                <c:pt idx="3">
                  <c:v>8.8000000000000007</c:v>
                </c:pt>
                <c:pt idx="4">
                  <c:v>8.82</c:v>
                </c:pt>
                <c:pt idx="5">
                  <c:v>8.82</c:v>
                </c:pt>
                <c:pt idx="6">
                  <c:v>8.81</c:v>
                </c:pt>
                <c:pt idx="7">
                  <c:v>8.7799999999999994</c:v>
                </c:pt>
                <c:pt idx="8">
                  <c:v>8.76</c:v>
                </c:pt>
                <c:pt idx="9">
                  <c:v>8.4499999999999993</c:v>
                </c:pt>
              </c:numCache>
            </c:numRef>
          </c:val>
          <c:smooth val="0"/>
          <c:extLst>
            <c:ext xmlns:c16="http://schemas.microsoft.com/office/drawing/2014/chart" uri="{C3380CC4-5D6E-409C-BE32-E72D297353CC}">
              <c16:uniqueId val="{00000004-C2E3-464C-A4AA-D74B7E45B066}"/>
            </c:ext>
          </c:extLst>
        </c:ser>
        <c:dLbls>
          <c:showLegendKey val="0"/>
          <c:showVal val="0"/>
          <c:showCatName val="0"/>
          <c:showSerName val="0"/>
          <c:showPercent val="0"/>
          <c:showBubbleSize val="0"/>
        </c:dLbls>
        <c:smooth val="0"/>
        <c:axId val="153481600"/>
        <c:axId val="153483136"/>
      </c:lineChart>
      <c:catAx>
        <c:axId val="153481600"/>
        <c:scaling>
          <c:orientation val="minMax"/>
        </c:scaling>
        <c:delete val="0"/>
        <c:axPos val="b"/>
        <c:numFmt formatCode="General" sourceLinked="0"/>
        <c:majorTickMark val="none"/>
        <c:minorTickMark val="none"/>
        <c:tickLblPos val="nextTo"/>
        <c:crossAx val="153483136"/>
        <c:crosses val="autoZero"/>
        <c:auto val="1"/>
        <c:lblAlgn val="ctr"/>
        <c:lblOffset val="100"/>
        <c:noMultiLvlLbl val="0"/>
      </c:catAx>
      <c:valAx>
        <c:axId val="153483136"/>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53481600"/>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0999" l="0.70000000000000062" r="0.70000000000000062" t="0.75000000000000999"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(7/19/2011)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9"/>
        </c:manualLayout>
      </c:layout>
      <c:lineChart>
        <c:grouping val="standard"/>
        <c:varyColors val="0"/>
        <c:ser>
          <c:idx val="0"/>
          <c:order val="0"/>
          <c:tx>
            <c:strRef>
              <c:f>'7-19-11'!$D$3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'7-19-11'!$D$8:$D$22</c:f>
              <c:numCache>
                <c:formatCode>General</c:formatCode>
                <c:ptCount val="15"/>
                <c:pt idx="0">
                  <c:v>6.03</c:v>
                </c:pt>
                <c:pt idx="1">
                  <c:v>6.03</c:v>
                </c:pt>
                <c:pt idx="2">
                  <c:v>5.84</c:v>
                </c:pt>
                <c:pt idx="3">
                  <c:v>5.51</c:v>
                </c:pt>
                <c:pt idx="4">
                  <c:v>5.44</c:v>
                </c:pt>
                <c:pt idx="5">
                  <c:v>5.18</c:v>
                </c:pt>
                <c:pt idx="6">
                  <c:v>5.52</c:v>
                </c:pt>
                <c:pt idx="7">
                  <c:v>5.2</c:v>
                </c:pt>
                <c:pt idx="8">
                  <c:v>4.71</c:v>
                </c:pt>
                <c:pt idx="9" formatCode="0.00">
                  <c:v>4.7</c:v>
                </c:pt>
                <c:pt idx="10" formatCode="0.00">
                  <c:v>4.33</c:v>
                </c:pt>
                <c:pt idx="11" formatCode="0.00">
                  <c:v>4.04</c:v>
                </c:pt>
                <c:pt idx="12" formatCode="0.00">
                  <c:v>3.89</c:v>
                </c:pt>
                <c:pt idx="13" formatCode="0.00">
                  <c:v>3.02</c:v>
                </c:pt>
                <c:pt idx="14">
                  <c:v>0.2</c:v>
                </c:pt>
              </c:numCache>
            </c:numRef>
          </c:val>
          <c:smooth val="0"/>
          <c:extLst>
            <c:ext xmlns:c16="http://schemas.microsoft.com/office/drawing/2014/chart" uri="{C3380CC4-5D6E-409C-BE32-E72D297353CC}">
              <c16:uniqueId val="{00000000-41CE-4021-83A5-66D739DC7A19}"/>
            </c:ext>
          </c:extLst>
        </c:ser>
        <c:ser>
          <c:idx val="1"/>
          <c:order val="1"/>
          <c:tx>
            <c:strRef>
              <c:f>'7-19-11'!$E$3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'7-19-11'!$E$8:$E$22</c:f>
              <c:numCache>
                <c:formatCode>General</c:formatCode>
                <c:ptCount val="15"/>
                <c:pt idx="0">
                  <c:v>23.3</c:v>
                </c:pt>
                <c:pt idx="1">
                  <c:v>23</c:v>
                </c:pt>
                <c:pt idx="2">
                  <c:v>22.6</c:v>
                </c:pt>
                <c:pt idx="3">
                  <c:v>22.5</c:v>
                </c:pt>
                <c:pt idx="4">
                  <c:v>22.2</c:v>
                </c:pt>
                <c:pt idx="5">
                  <c:v>22.3</c:v>
                </c:pt>
                <c:pt idx="6">
                  <c:v>22.2</c:v>
                </c:pt>
                <c:pt idx="7">
                  <c:v>22.2</c:v>
                </c:pt>
                <c:pt idx="8">
                  <c:v>21.9</c:v>
                </c:pt>
                <c:pt idx="9">
                  <c:v>21.7</c:v>
                </c:pt>
                <c:pt idx="10">
                  <c:v>21.6</c:v>
                </c:pt>
                <c:pt idx="11">
                  <c:v>21.4</c:v>
                </c:pt>
                <c:pt idx="12">
                  <c:v>21.2</c:v>
                </c:pt>
                <c:pt idx="13">
                  <c:v>20.9</c:v>
                </c:pt>
                <c:pt idx="14">
                  <c:v>20.5</c:v>
                </c:pt>
              </c:numCache>
            </c:numRef>
          </c:val>
          <c:smooth val="0"/>
          <c:extLst>
            <c:ext xmlns:c16="http://schemas.microsoft.com/office/drawing/2014/chart" uri="{C3380CC4-5D6E-409C-BE32-E72D297353CC}">
              <c16:uniqueId val="{00000001-41CE-4021-83A5-66D739DC7A19}"/>
            </c:ext>
          </c:extLst>
        </c:ser>
        <c:dLbls>
          <c:showLegendKey val="0"/>
          <c:showVal val="0"/>
          <c:showCatName val="0"/>
          <c:showSerName val="0"/>
          <c:showPercent val="0"/>
          <c:showBubbleSize val="0"/>
        </c:dLbls>
        <c:smooth val="0"/>
        <c:axId val="153545728"/>
        <c:axId val="153756416"/>
      </c:lineChart>
      <c:catAx>
        <c:axId val="153545728"/>
        <c:scaling>
          <c:orientation val="minMax"/>
        </c:scaling>
        <c:delete val="0"/>
        <c:axPos val="b"/>
        <c:minorGridlines/>
        <c:numFmt formatCode="General" sourceLinked="0"/>
        <c:majorTickMark val="out"/>
        <c:minorTickMark val="none"/>
        <c:tickLblPos val="nextTo"/>
        <c:crossAx val="153756416"/>
        <c:crosses val="autoZero"/>
        <c:auto val="1"/>
        <c:lblAlgn val="ctr"/>
        <c:lblOffset val="100"/>
        <c:noMultiLvlLbl val="0"/>
      </c:catAx>
      <c:valAx>
        <c:axId val="153756416"/>
        <c:scaling>
          <c:orientation val="minMax"/>
        </c:scaling>
        <c:delete val="0"/>
        <c:axPos val="l"/>
        <c:majorGridlines/>
        <c:minorGridlines/>
        <c:numFmt formatCode="General" sourceLinked="1"/>
        <c:majorTickMark val="out"/>
        <c:minorTickMark val="none"/>
        <c:tickLblPos val="nextTo"/>
        <c:crossAx val="153545728"/>
        <c:crosses val="autoZero"/>
        <c:crossBetween val="midCat"/>
      </c:valAx>
    </c:plotArea>
    <c:legend>
      <c:legendPos val="r"/>
      <c:layout>
        <c:manualLayout>
          <c:xMode val="edge"/>
          <c:yMode val="edge"/>
          <c:x val="0.77242150182863822"/>
          <c:y val="0.40010934242554169"/>
          <c:w val="0.14748622047244869"/>
          <c:h val="0.1575853018372792"/>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Bear Creek Watershed - Nitrate Inflow Trend </a:t>
            </a:r>
          </a:p>
        </c:rich>
      </c:tx>
      <c:layout>
        <c:manualLayout>
          <c:xMode val="edge"/>
          <c:yMode val="edge"/>
          <c:x val="0.23296354992076071"/>
          <c:y val="3.3846153846153845E-2"/>
        </c:manualLayout>
      </c:layout>
      <c:overlay val="0"/>
      <c:spPr>
        <a:noFill/>
        <a:ln w="25400">
          <a:noFill/>
        </a:ln>
      </c:spPr>
    </c:title>
    <c:autoTitleDeleted val="0"/>
    <c:plotArea>
      <c:layout>
        <c:manualLayout>
          <c:layoutTarget val="inner"/>
          <c:xMode val="edge"/>
          <c:yMode val="edge"/>
          <c:x val="0.14616781237433921"/>
          <c:y val="0.14247349229643408"/>
          <c:w val="0.82709591392313064"/>
          <c:h val="0.72580835698180834"/>
        </c:manualLayout>
      </c:layout>
      <c:barChart>
        <c:barDir val="col"/>
        <c:grouping val="clustered"/>
        <c:varyColors val="0"/>
        <c:ser>
          <c:idx val="0"/>
          <c:order val="0"/>
          <c:tx>
            <c:strRef>
              <c:f>'Nitrate Trends'!$A$3</c:f>
              <c:strCache>
                <c:ptCount val="1"/>
                <c:pt idx="0">
                  <c:v>Bear Creek Inflow</c:v>
                </c:pt>
              </c:strCache>
            </c:strRef>
          </c:tx>
          <c:spPr>
            <a:solidFill>
              <a:srgbClr val="9999FF"/>
            </a:solidFill>
            <a:ln w="12700">
              <a:solidFill>
                <a:srgbClr val="000000"/>
              </a:solidFill>
              <a:prstDash val="solid"/>
            </a:ln>
          </c:spPr>
          <c:invertIfNegative val="0"/>
          <c:cat>
            <c:numRef>
              <c:f>'Nitrate Trends'!$B$3:$B$24</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'Nitrate Trends'!$C$3:$C$24</c:f>
              <c:numCache>
                <c:formatCode>0</c:formatCode>
                <c:ptCount val="22"/>
                <c:pt idx="0">
                  <c:v>773</c:v>
                </c:pt>
                <c:pt idx="1">
                  <c:v>1078</c:v>
                </c:pt>
                <c:pt idx="2">
                  <c:v>931</c:v>
                </c:pt>
                <c:pt idx="3">
                  <c:v>1253</c:v>
                </c:pt>
                <c:pt idx="4">
                  <c:v>1472</c:v>
                </c:pt>
                <c:pt idx="5">
                  <c:v>1932</c:v>
                </c:pt>
                <c:pt idx="6">
                  <c:v>1367.4375</c:v>
                </c:pt>
                <c:pt idx="7">
                  <c:v>798.58375000000012</c:v>
                </c:pt>
                <c:pt idx="8">
                  <c:v>525</c:v>
                </c:pt>
                <c:pt idx="9">
                  <c:v>521</c:v>
                </c:pt>
                <c:pt idx="10">
                  <c:v>1483</c:v>
                </c:pt>
                <c:pt idx="11">
                  <c:v>974</c:v>
                </c:pt>
                <c:pt idx="12">
                  <c:v>4314</c:v>
                </c:pt>
                <c:pt idx="13" formatCode="General">
                  <c:v>1757</c:v>
                </c:pt>
                <c:pt idx="14" formatCode="General">
                  <c:v>444</c:v>
                </c:pt>
                <c:pt idx="15" formatCode="General">
                  <c:v>1100</c:v>
                </c:pt>
                <c:pt idx="16" formatCode="General">
                  <c:v>1570</c:v>
                </c:pt>
                <c:pt idx="17" formatCode="General">
                  <c:v>747</c:v>
                </c:pt>
                <c:pt idx="18" formatCode="General">
                  <c:v>1093</c:v>
                </c:pt>
                <c:pt idx="19" formatCode="General">
                  <c:v>322</c:v>
                </c:pt>
                <c:pt idx="20" formatCode="General">
                  <c:v>1296</c:v>
                </c:pt>
                <c:pt idx="21" formatCode="General">
                  <c:v>760</c:v>
                </c:pt>
              </c:numCache>
            </c:numRef>
          </c:val>
          <c:extLst>
            <c:ext xmlns:c16="http://schemas.microsoft.com/office/drawing/2014/chart" uri="{C3380CC4-5D6E-409C-BE32-E72D297353CC}">
              <c16:uniqueId val="{00000000-7E29-4D2F-86DF-79B7A6D4466C}"/>
            </c:ext>
          </c:extLst>
        </c:ser>
        <c:ser>
          <c:idx val="1"/>
          <c:order val="1"/>
          <c:tx>
            <c:strRef>
              <c:f>'Nitrate Trends'!$A$47</c:f>
              <c:strCache>
                <c:ptCount val="1"/>
                <c:pt idx="0">
                  <c:v>Turkey Creek Inflow</c:v>
                </c:pt>
              </c:strCache>
            </c:strRef>
          </c:tx>
          <c:spPr>
            <a:solidFill>
              <a:srgbClr val="993366"/>
            </a:solidFill>
            <a:ln w="12700">
              <a:solidFill>
                <a:srgbClr val="000000"/>
              </a:solidFill>
              <a:prstDash val="solid"/>
            </a:ln>
          </c:spPr>
          <c:invertIfNegative val="0"/>
          <c:cat>
            <c:numRef>
              <c:f>'Nitrate Trends'!$B$3:$B$24</c:f>
              <c:numCache>
                <c:formatCode>General</c:formatCode>
                <c:ptCount val="2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numCache>
            </c:numRef>
          </c:cat>
          <c:val>
            <c:numRef>
              <c:f>'Nitrate Trends'!$C$47:$C$68</c:f>
              <c:numCache>
                <c:formatCode>0</c:formatCode>
                <c:ptCount val="22"/>
                <c:pt idx="0">
                  <c:v>1121</c:v>
                </c:pt>
                <c:pt idx="1">
                  <c:v>1590</c:v>
                </c:pt>
                <c:pt idx="2">
                  <c:v>2941</c:v>
                </c:pt>
                <c:pt idx="3">
                  <c:v>1224</c:v>
                </c:pt>
                <c:pt idx="4">
                  <c:v>963</c:v>
                </c:pt>
                <c:pt idx="5">
                  <c:v>476</c:v>
                </c:pt>
                <c:pt idx="6">
                  <c:v>618.3125</c:v>
                </c:pt>
                <c:pt idx="7">
                  <c:v>419.54062500000003</c:v>
                </c:pt>
                <c:pt idx="8">
                  <c:v>536</c:v>
                </c:pt>
                <c:pt idx="9">
                  <c:v>192</c:v>
                </c:pt>
                <c:pt idx="10">
                  <c:v>803</c:v>
                </c:pt>
                <c:pt idx="11">
                  <c:v>486</c:v>
                </c:pt>
                <c:pt idx="12">
                  <c:v>686</c:v>
                </c:pt>
                <c:pt idx="13" formatCode="General">
                  <c:v>764</c:v>
                </c:pt>
                <c:pt idx="14" formatCode="General">
                  <c:v>385</c:v>
                </c:pt>
                <c:pt idx="15" formatCode="General">
                  <c:v>481</c:v>
                </c:pt>
                <c:pt idx="16" formatCode="General">
                  <c:v>419</c:v>
                </c:pt>
                <c:pt idx="17" formatCode="General">
                  <c:v>410</c:v>
                </c:pt>
                <c:pt idx="18" formatCode="General">
                  <c:v>671</c:v>
                </c:pt>
                <c:pt idx="19" formatCode="General">
                  <c:v>1018</c:v>
                </c:pt>
                <c:pt idx="20" formatCode="General">
                  <c:v>569</c:v>
                </c:pt>
                <c:pt idx="21" formatCode="General">
                  <c:v>433</c:v>
                </c:pt>
              </c:numCache>
            </c:numRef>
          </c:val>
          <c:extLst>
            <c:ext xmlns:c16="http://schemas.microsoft.com/office/drawing/2014/chart" uri="{C3380CC4-5D6E-409C-BE32-E72D297353CC}">
              <c16:uniqueId val="{00000001-7E29-4D2F-86DF-79B7A6D4466C}"/>
            </c:ext>
          </c:extLst>
        </c:ser>
        <c:dLbls>
          <c:showLegendKey val="0"/>
          <c:showVal val="0"/>
          <c:showCatName val="0"/>
          <c:showSerName val="0"/>
          <c:showPercent val="0"/>
          <c:showBubbleSize val="0"/>
        </c:dLbls>
        <c:gapWidth val="150"/>
        <c:axId val="86371328"/>
        <c:axId val="88081152"/>
      </c:barChart>
      <c:catAx>
        <c:axId val="86371328"/>
        <c:scaling>
          <c:orientation val="minMax"/>
        </c:scaling>
        <c:delete val="0"/>
        <c:axPos val="b"/>
        <c:numFmt formatCode="0" sourceLinked="0"/>
        <c:majorTickMark val="out"/>
        <c:minorTickMark val="none"/>
        <c:tickLblPos val="nextTo"/>
        <c:spPr>
          <a:ln w="3175">
            <a:solidFill>
              <a:srgbClr val="000000"/>
            </a:solidFill>
            <a:prstDash val="solid"/>
          </a:ln>
        </c:spPr>
        <c:txPr>
          <a:bodyPr rot="-2700000" vert="horz"/>
          <a:lstStyle/>
          <a:p>
            <a:pPr>
              <a:defRPr sz="800" b="1" i="0" u="none" strike="noStrike" baseline="0">
                <a:solidFill>
                  <a:srgbClr val="000000"/>
                </a:solidFill>
                <a:latin typeface="Arial"/>
                <a:ea typeface="Arial"/>
                <a:cs typeface="Arial"/>
              </a:defRPr>
            </a:pPr>
            <a:endParaRPr lang="en-US"/>
          </a:p>
        </c:txPr>
        <c:crossAx val="88081152"/>
        <c:crosses val="autoZero"/>
        <c:auto val="1"/>
        <c:lblAlgn val="ctr"/>
        <c:lblOffset val="100"/>
        <c:tickLblSkip val="1"/>
        <c:tickMarkSkip val="1"/>
        <c:noMultiLvlLbl val="0"/>
      </c:catAx>
      <c:valAx>
        <c:axId val="88081152"/>
        <c:scaling>
          <c:orientation val="minMax"/>
        </c:scaling>
        <c:delete val="0"/>
        <c:axPos val="l"/>
        <c:majorGridlines>
          <c:spPr>
            <a:ln w="3175">
              <a:solidFill>
                <a:srgbClr val="000000"/>
              </a:solidFill>
              <a:prstDash val="solid"/>
            </a:ln>
          </c:spPr>
        </c:majorGridlines>
        <c:minorGridlines/>
        <c:title>
          <c:tx>
            <c:rich>
              <a:bodyPr/>
              <a:lstStyle/>
              <a:p>
                <a:pPr>
                  <a:defRPr sz="1200" b="1" i="0" u="none" strike="noStrike" baseline="0">
                    <a:solidFill>
                      <a:srgbClr val="000000"/>
                    </a:solidFill>
                    <a:latin typeface="Arial"/>
                    <a:ea typeface="Arial"/>
                    <a:cs typeface="Arial"/>
                  </a:defRPr>
                </a:pPr>
                <a:r>
                  <a:rPr lang="en-US"/>
                  <a:t>Nitrate (ug/l)</a:t>
                </a:r>
              </a:p>
            </c:rich>
          </c:tx>
          <c:layout>
            <c:manualLayout>
              <c:xMode val="edge"/>
              <c:yMode val="edge"/>
              <c:x val="1.6042859935693463E-2"/>
              <c:y val="0.373656692913385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86371328"/>
        <c:crosses val="autoZero"/>
        <c:crossBetween val="between"/>
      </c:valAx>
      <c:spPr>
        <a:gradFill>
          <a:gsLst>
            <a:gs pos="0">
              <a:srgbClr val="4F81BD">
                <a:tint val="66000"/>
                <a:satMod val="160000"/>
                <a:alpha val="44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plotArea>
    <c:legend>
      <c:legendPos val="r"/>
      <c:layout>
        <c:manualLayout>
          <c:xMode val="edge"/>
          <c:yMode val="edge"/>
          <c:x val="0.71593679157775647"/>
          <c:y val="0.16975840215095078"/>
          <c:w val="0.229155903847996"/>
          <c:h val="0.1643685760653964"/>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7/19/2011</a:t>
            </a:r>
          </a:p>
        </c:rich>
      </c:tx>
      <c:overlay val="0"/>
    </c:title>
    <c:autoTitleDeleted val="0"/>
    <c:plotArea>
      <c:layout/>
      <c:lineChart>
        <c:grouping val="standard"/>
        <c:varyColors val="0"/>
        <c:ser>
          <c:idx val="0"/>
          <c:order val="0"/>
          <c:tx>
            <c:strRef>
              <c:f>'7-19-11'!$B$7</c:f>
              <c:strCache>
                <c:ptCount val="1"/>
                <c:pt idx="0">
                  <c:v>Site 40 (CP)</c:v>
                </c:pt>
              </c:strCache>
            </c:strRef>
          </c:tx>
          <c:cat>
            <c:strRef>
              <c:f>'7-19-11'!$A$8:$A$22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'7-19-11'!$D$8:$D$22</c:f>
              <c:numCache>
                <c:formatCode>General</c:formatCode>
                <c:ptCount val="15"/>
                <c:pt idx="0">
                  <c:v>6.03</c:v>
                </c:pt>
                <c:pt idx="1">
                  <c:v>6.03</c:v>
                </c:pt>
                <c:pt idx="2">
                  <c:v>5.84</c:v>
                </c:pt>
                <c:pt idx="3">
                  <c:v>5.51</c:v>
                </c:pt>
                <c:pt idx="4">
                  <c:v>5.44</c:v>
                </c:pt>
                <c:pt idx="5">
                  <c:v>5.18</c:v>
                </c:pt>
                <c:pt idx="6">
                  <c:v>5.52</c:v>
                </c:pt>
                <c:pt idx="7">
                  <c:v>5.2</c:v>
                </c:pt>
                <c:pt idx="8">
                  <c:v>4.71</c:v>
                </c:pt>
                <c:pt idx="9" formatCode="0.00">
                  <c:v>4.7</c:v>
                </c:pt>
                <c:pt idx="10" formatCode="0.00">
                  <c:v>4.33</c:v>
                </c:pt>
                <c:pt idx="11" formatCode="0.00">
                  <c:v>4.04</c:v>
                </c:pt>
                <c:pt idx="12" formatCode="0.00">
                  <c:v>3.89</c:v>
                </c:pt>
                <c:pt idx="13" formatCode="0.00">
                  <c:v>3.02</c:v>
                </c:pt>
                <c:pt idx="14">
                  <c:v>0.2</c:v>
                </c:pt>
              </c:numCache>
            </c:numRef>
          </c:val>
          <c:smooth val="0"/>
          <c:extLst>
            <c:ext xmlns:c16="http://schemas.microsoft.com/office/drawing/2014/chart" uri="{C3380CC4-5D6E-409C-BE32-E72D297353CC}">
              <c16:uniqueId val="{00000000-A989-4639-A06A-2D9239D06D0F}"/>
            </c:ext>
          </c:extLst>
        </c:ser>
        <c:ser>
          <c:idx val="1"/>
          <c:order val="1"/>
          <c:tx>
            <c:strRef>
              <c:f>'7-19-11'!$A$44</c:f>
              <c:strCache>
                <c:ptCount val="1"/>
                <c:pt idx="0">
                  <c:v>Site 41 (1)</c:v>
                </c:pt>
              </c:strCache>
            </c:strRef>
          </c:tx>
          <c:cat>
            <c:strRef>
              <c:f>'7-19-11'!$A$8:$A$22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'7-19-11'!$D$45:$D$56</c:f>
              <c:numCache>
                <c:formatCode>General</c:formatCode>
                <c:ptCount val="12"/>
                <c:pt idx="0">
                  <c:v>5.7</c:v>
                </c:pt>
                <c:pt idx="1">
                  <c:v>5.38</c:v>
                </c:pt>
                <c:pt idx="2">
                  <c:v>5.5</c:v>
                </c:pt>
                <c:pt idx="3">
                  <c:v>5.18</c:v>
                </c:pt>
                <c:pt idx="4">
                  <c:v>5.32</c:v>
                </c:pt>
                <c:pt idx="5">
                  <c:v>5.32</c:v>
                </c:pt>
                <c:pt idx="6">
                  <c:v>4.95</c:v>
                </c:pt>
                <c:pt idx="7">
                  <c:v>4.63</c:v>
                </c:pt>
                <c:pt idx="8">
                  <c:v>4.67</c:v>
                </c:pt>
                <c:pt idx="9">
                  <c:v>4.53</c:v>
                </c:pt>
                <c:pt idx="10">
                  <c:v>2.98</c:v>
                </c:pt>
                <c:pt idx="11">
                  <c:v>2.7</c:v>
                </c:pt>
              </c:numCache>
            </c:numRef>
          </c:val>
          <c:smooth val="0"/>
          <c:extLst>
            <c:ext xmlns:c16="http://schemas.microsoft.com/office/drawing/2014/chart" uri="{C3380CC4-5D6E-409C-BE32-E72D297353CC}">
              <c16:uniqueId val="{00000001-A989-4639-A06A-2D9239D06D0F}"/>
            </c:ext>
          </c:extLst>
        </c:ser>
        <c:ser>
          <c:idx val="2"/>
          <c:order val="2"/>
          <c:tx>
            <c:strRef>
              <c:f>'7-19-11'!$A$58</c:f>
              <c:strCache>
                <c:ptCount val="1"/>
                <c:pt idx="0">
                  <c:v>Site 42 (3)</c:v>
                </c:pt>
              </c:strCache>
            </c:strRef>
          </c:tx>
          <c:cat>
            <c:strRef>
              <c:f>'7-19-11'!$A$8:$A$22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'7-19-11'!$D$59:$D$67</c:f>
              <c:numCache>
                <c:formatCode>General</c:formatCode>
                <c:ptCount val="9"/>
                <c:pt idx="0">
                  <c:v>5.72</c:v>
                </c:pt>
                <c:pt idx="1">
                  <c:v>5.62</c:v>
                </c:pt>
                <c:pt idx="2">
                  <c:v>5.56</c:v>
                </c:pt>
                <c:pt idx="3">
                  <c:v>5.78</c:v>
                </c:pt>
                <c:pt idx="4">
                  <c:v>5.43</c:v>
                </c:pt>
                <c:pt idx="5">
                  <c:v>5</c:v>
                </c:pt>
                <c:pt idx="6">
                  <c:v>5.16</c:v>
                </c:pt>
                <c:pt idx="7">
                  <c:v>4.8099999999999996</c:v>
                </c:pt>
                <c:pt idx="8">
                  <c:v>4.58</c:v>
                </c:pt>
              </c:numCache>
            </c:numRef>
          </c:val>
          <c:smooth val="0"/>
          <c:extLst>
            <c:ext xmlns:c16="http://schemas.microsoft.com/office/drawing/2014/chart" uri="{C3380CC4-5D6E-409C-BE32-E72D297353CC}">
              <c16:uniqueId val="{00000002-A989-4639-A06A-2D9239D06D0F}"/>
            </c:ext>
          </c:extLst>
        </c:ser>
        <c:ser>
          <c:idx val="3"/>
          <c:order val="3"/>
          <c:tx>
            <c:strRef>
              <c:f>'7-19-11'!$A$72</c:f>
              <c:strCache>
                <c:ptCount val="1"/>
                <c:pt idx="0">
                  <c:v>Site 43 (4)</c:v>
                </c:pt>
              </c:strCache>
            </c:strRef>
          </c:tx>
          <c:cat>
            <c:strRef>
              <c:f>'7-19-11'!$A$8:$A$22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'7-19-11'!$D$73:$D$79</c:f>
              <c:numCache>
                <c:formatCode>General</c:formatCode>
                <c:ptCount val="7"/>
                <c:pt idx="0">
                  <c:v>6.16</c:v>
                </c:pt>
                <c:pt idx="1">
                  <c:v>6</c:v>
                </c:pt>
                <c:pt idx="2">
                  <c:v>5.82</c:v>
                </c:pt>
                <c:pt idx="3">
                  <c:v>5.65</c:v>
                </c:pt>
                <c:pt idx="4">
                  <c:v>5.47</c:v>
                </c:pt>
                <c:pt idx="5">
                  <c:v>4.9400000000000004</c:v>
                </c:pt>
                <c:pt idx="6">
                  <c:v>5.14</c:v>
                </c:pt>
              </c:numCache>
            </c:numRef>
          </c:val>
          <c:smooth val="0"/>
          <c:extLst>
            <c:ext xmlns:c16="http://schemas.microsoft.com/office/drawing/2014/chart" uri="{C3380CC4-5D6E-409C-BE32-E72D297353CC}">
              <c16:uniqueId val="{00000003-A989-4639-A06A-2D9239D06D0F}"/>
            </c:ext>
          </c:extLst>
        </c:ser>
        <c:ser>
          <c:idx val="4"/>
          <c:order val="4"/>
          <c:tx>
            <c:strRef>
              <c:f>'7-19-11'!$A$83</c:f>
              <c:strCache>
                <c:ptCount val="1"/>
                <c:pt idx="0">
                  <c:v>Site 44 (5)</c:v>
                </c:pt>
              </c:strCache>
            </c:strRef>
          </c:tx>
          <c:cat>
            <c:strRef>
              <c:f>'7-19-11'!$A$8:$A$22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'7-19-11'!$D$84:$D$93</c:f>
              <c:numCache>
                <c:formatCode>0.00</c:formatCode>
                <c:ptCount val="10"/>
                <c:pt idx="0">
                  <c:v>5.73</c:v>
                </c:pt>
                <c:pt idx="1">
                  <c:v>5.8</c:v>
                </c:pt>
                <c:pt idx="2">
                  <c:v>5.83</c:v>
                </c:pt>
                <c:pt idx="3">
                  <c:v>5.94</c:v>
                </c:pt>
                <c:pt idx="4">
                  <c:v>5.38</c:v>
                </c:pt>
                <c:pt idx="5">
                  <c:v>5.28</c:v>
                </c:pt>
                <c:pt idx="6">
                  <c:v>5.16</c:v>
                </c:pt>
                <c:pt idx="7">
                  <c:v>4.7699999999999996</c:v>
                </c:pt>
                <c:pt idx="8">
                  <c:v>4.33</c:v>
                </c:pt>
                <c:pt idx="9">
                  <c:v>3.6</c:v>
                </c:pt>
              </c:numCache>
            </c:numRef>
          </c:val>
          <c:smooth val="0"/>
          <c:extLst>
            <c:ext xmlns:c16="http://schemas.microsoft.com/office/drawing/2014/chart" uri="{C3380CC4-5D6E-409C-BE32-E72D297353CC}">
              <c16:uniqueId val="{00000004-A989-4639-A06A-2D9239D06D0F}"/>
            </c:ext>
          </c:extLst>
        </c:ser>
        <c:dLbls>
          <c:showLegendKey val="0"/>
          <c:showVal val="0"/>
          <c:showCatName val="0"/>
          <c:showSerName val="0"/>
          <c:showPercent val="0"/>
          <c:showBubbleSize val="0"/>
        </c:dLbls>
        <c:marker val="1"/>
        <c:smooth val="0"/>
        <c:axId val="153820544"/>
        <c:axId val="153830528"/>
      </c:lineChart>
      <c:catAx>
        <c:axId val="153820544"/>
        <c:scaling>
          <c:orientation val="minMax"/>
        </c:scaling>
        <c:delete val="0"/>
        <c:axPos val="b"/>
        <c:numFmt formatCode="General" sourceLinked="0"/>
        <c:majorTickMark val="none"/>
        <c:minorTickMark val="none"/>
        <c:tickLblPos val="nextTo"/>
        <c:crossAx val="153830528"/>
        <c:crosses val="autoZero"/>
        <c:auto val="1"/>
        <c:lblAlgn val="ctr"/>
        <c:lblOffset val="100"/>
        <c:noMultiLvlLbl val="0"/>
      </c:catAx>
      <c:valAx>
        <c:axId val="153830528"/>
        <c:scaling>
          <c:orientation val="minMax"/>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53820544"/>
        <c:crosses val="autoZero"/>
        <c:crossBetween val="between"/>
      </c:valAx>
    </c:plotArea>
    <c:legend>
      <c:legendPos val="r"/>
      <c:layout>
        <c:manualLayout>
          <c:xMode val="edge"/>
          <c:yMode val="edge"/>
          <c:x val="0.80383606722756107"/>
          <c:y val="0.22371135899679517"/>
          <c:w val="0.18321943083608885"/>
          <c:h val="0.4342678526855612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1021" l="0.70000000000000062" r="0.70000000000000062" t="0.75000000000001021"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Conductance Profiles 7/19/2011</a:t>
            </a:r>
          </a:p>
        </c:rich>
      </c:tx>
      <c:layout>
        <c:manualLayout>
          <c:xMode val="edge"/>
          <c:yMode val="edge"/>
          <c:x val="0.14230270671238793"/>
          <c:y val="2.4084778420038592E-2"/>
        </c:manualLayout>
      </c:layout>
      <c:overlay val="0"/>
    </c:title>
    <c:autoTitleDeleted val="0"/>
    <c:plotArea>
      <c:layout/>
      <c:lineChart>
        <c:grouping val="standard"/>
        <c:varyColors val="0"/>
        <c:ser>
          <c:idx val="0"/>
          <c:order val="0"/>
          <c:tx>
            <c:strRef>
              <c:f>'7-19-11'!$B$7</c:f>
              <c:strCache>
                <c:ptCount val="1"/>
                <c:pt idx="0">
                  <c:v>Site 40 (CP)</c:v>
                </c:pt>
              </c:strCache>
            </c:strRef>
          </c:tx>
          <c:cat>
            <c:strRef>
              <c:f>'7-19-11'!$A$8:$A$22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'7-19-11'!$C$8:$C$22</c:f>
              <c:numCache>
                <c:formatCode>General</c:formatCode>
                <c:ptCount val="15"/>
                <c:pt idx="0">
                  <c:v>0.105</c:v>
                </c:pt>
                <c:pt idx="1">
                  <c:v>0.106</c:v>
                </c:pt>
                <c:pt idx="2">
                  <c:v>0.108</c:v>
                </c:pt>
                <c:pt idx="3">
                  <c:v>0.108</c:v>
                </c:pt>
                <c:pt idx="4">
                  <c:v>0.108</c:v>
                </c:pt>
                <c:pt idx="5">
                  <c:v>0.108</c:v>
                </c:pt>
                <c:pt idx="6">
                  <c:v>0.107</c:v>
                </c:pt>
                <c:pt idx="7">
                  <c:v>0.109</c:v>
                </c:pt>
                <c:pt idx="8">
                  <c:v>0.109</c:v>
                </c:pt>
                <c:pt idx="9">
                  <c:v>0.109</c:v>
                </c:pt>
                <c:pt idx="10">
                  <c:v>0.11</c:v>
                </c:pt>
                <c:pt idx="11">
                  <c:v>0.11</c:v>
                </c:pt>
                <c:pt idx="12">
                  <c:v>0.111</c:v>
                </c:pt>
                <c:pt idx="13">
                  <c:v>0.112</c:v>
                </c:pt>
                <c:pt idx="14">
                  <c:v>0.114</c:v>
                </c:pt>
              </c:numCache>
            </c:numRef>
          </c:val>
          <c:smooth val="0"/>
          <c:extLst>
            <c:ext xmlns:c16="http://schemas.microsoft.com/office/drawing/2014/chart" uri="{C3380CC4-5D6E-409C-BE32-E72D297353CC}">
              <c16:uniqueId val="{00000000-B161-4E51-AC63-1AE4E1A64807}"/>
            </c:ext>
          </c:extLst>
        </c:ser>
        <c:ser>
          <c:idx val="1"/>
          <c:order val="1"/>
          <c:tx>
            <c:strRef>
              <c:f>'7-19-11'!$A$44</c:f>
              <c:strCache>
                <c:ptCount val="1"/>
                <c:pt idx="0">
                  <c:v>Site 41 (1)</c:v>
                </c:pt>
              </c:strCache>
            </c:strRef>
          </c:tx>
          <c:val>
            <c:numRef>
              <c:f>'7-19-11'!$C$45:$C$56</c:f>
              <c:numCache>
                <c:formatCode>General</c:formatCode>
                <c:ptCount val="12"/>
                <c:pt idx="0">
                  <c:v>0.107</c:v>
                </c:pt>
                <c:pt idx="1">
                  <c:v>0.108</c:v>
                </c:pt>
                <c:pt idx="2">
                  <c:v>0.108</c:v>
                </c:pt>
                <c:pt idx="3">
                  <c:v>0.109</c:v>
                </c:pt>
                <c:pt idx="4">
                  <c:v>0.109</c:v>
                </c:pt>
                <c:pt idx="5">
                  <c:v>0.11</c:v>
                </c:pt>
                <c:pt idx="6">
                  <c:v>0.109</c:v>
                </c:pt>
                <c:pt idx="7">
                  <c:v>0.11</c:v>
                </c:pt>
                <c:pt idx="8">
                  <c:v>0.109</c:v>
                </c:pt>
                <c:pt idx="9">
                  <c:v>0.111</c:v>
                </c:pt>
                <c:pt idx="10">
                  <c:v>0.112</c:v>
                </c:pt>
                <c:pt idx="11">
                  <c:v>0.112</c:v>
                </c:pt>
              </c:numCache>
            </c:numRef>
          </c:val>
          <c:smooth val="0"/>
          <c:extLst>
            <c:ext xmlns:c16="http://schemas.microsoft.com/office/drawing/2014/chart" uri="{C3380CC4-5D6E-409C-BE32-E72D297353CC}">
              <c16:uniqueId val="{00000001-B161-4E51-AC63-1AE4E1A64807}"/>
            </c:ext>
          </c:extLst>
        </c:ser>
        <c:ser>
          <c:idx val="2"/>
          <c:order val="2"/>
          <c:tx>
            <c:strRef>
              <c:f>'7-19-11'!$A$58</c:f>
              <c:strCache>
                <c:ptCount val="1"/>
                <c:pt idx="0">
                  <c:v>Site 42 (3)</c:v>
                </c:pt>
              </c:strCache>
            </c:strRef>
          </c:tx>
          <c:val>
            <c:numRef>
              <c:f>'7-19-11'!$C$59:$C$67</c:f>
              <c:numCache>
                <c:formatCode>General</c:formatCode>
                <c:ptCount val="9"/>
                <c:pt idx="0">
                  <c:v>0.106</c:v>
                </c:pt>
                <c:pt idx="1">
                  <c:v>0.107</c:v>
                </c:pt>
                <c:pt idx="2">
                  <c:v>0.108</c:v>
                </c:pt>
                <c:pt idx="3">
                  <c:v>0.109</c:v>
                </c:pt>
                <c:pt idx="4">
                  <c:v>0.108</c:v>
                </c:pt>
                <c:pt idx="5">
                  <c:v>0.108</c:v>
                </c:pt>
                <c:pt idx="6">
                  <c:v>0.109</c:v>
                </c:pt>
                <c:pt idx="7">
                  <c:v>0.108</c:v>
                </c:pt>
                <c:pt idx="8">
                  <c:v>0.109</c:v>
                </c:pt>
              </c:numCache>
            </c:numRef>
          </c:val>
          <c:smooth val="0"/>
          <c:extLst>
            <c:ext xmlns:c16="http://schemas.microsoft.com/office/drawing/2014/chart" uri="{C3380CC4-5D6E-409C-BE32-E72D297353CC}">
              <c16:uniqueId val="{00000002-B161-4E51-AC63-1AE4E1A64807}"/>
            </c:ext>
          </c:extLst>
        </c:ser>
        <c:ser>
          <c:idx val="3"/>
          <c:order val="3"/>
          <c:tx>
            <c:strRef>
              <c:f>'7-19-11'!$A$72</c:f>
              <c:strCache>
                <c:ptCount val="1"/>
                <c:pt idx="0">
                  <c:v>Site 43 (4)</c:v>
                </c:pt>
              </c:strCache>
            </c:strRef>
          </c:tx>
          <c:val>
            <c:numRef>
              <c:f>'7-19-11'!$C$73:$C$79</c:f>
              <c:numCache>
                <c:formatCode>General</c:formatCode>
                <c:ptCount val="7"/>
                <c:pt idx="0">
                  <c:v>0.10100000000000001</c:v>
                </c:pt>
                <c:pt idx="1">
                  <c:v>0.10299999999999999</c:v>
                </c:pt>
                <c:pt idx="2">
                  <c:v>0.108</c:v>
                </c:pt>
                <c:pt idx="3">
                  <c:v>0.108</c:v>
                </c:pt>
                <c:pt idx="4">
                  <c:v>0.108</c:v>
                </c:pt>
                <c:pt idx="5">
                  <c:v>0.108</c:v>
                </c:pt>
                <c:pt idx="6">
                  <c:v>0.108</c:v>
                </c:pt>
              </c:numCache>
            </c:numRef>
          </c:val>
          <c:smooth val="0"/>
          <c:extLst>
            <c:ext xmlns:c16="http://schemas.microsoft.com/office/drawing/2014/chart" uri="{C3380CC4-5D6E-409C-BE32-E72D297353CC}">
              <c16:uniqueId val="{00000003-B161-4E51-AC63-1AE4E1A64807}"/>
            </c:ext>
          </c:extLst>
        </c:ser>
        <c:ser>
          <c:idx val="4"/>
          <c:order val="4"/>
          <c:tx>
            <c:strRef>
              <c:f>'7-19-11'!$A$83</c:f>
              <c:strCache>
                <c:ptCount val="1"/>
                <c:pt idx="0">
                  <c:v>Site 44 (5)</c:v>
                </c:pt>
              </c:strCache>
            </c:strRef>
          </c:tx>
          <c:val>
            <c:numRef>
              <c:f>'7-19-11'!$C$84:$C$93</c:f>
              <c:numCache>
                <c:formatCode>General</c:formatCode>
                <c:ptCount val="10"/>
                <c:pt idx="0">
                  <c:v>0.10299999999999999</c:v>
                </c:pt>
                <c:pt idx="1">
                  <c:v>0.106</c:v>
                </c:pt>
                <c:pt idx="2">
                  <c:v>0.107</c:v>
                </c:pt>
                <c:pt idx="3">
                  <c:v>0.107</c:v>
                </c:pt>
                <c:pt idx="4">
                  <c:v>0.108</c:v>
                </c:pt>
                <c:pt idx="5">
                  <c:v>0.109</c:v>
                </c:pt>
                <c:pt idx="6">
                  <c:v>0.109</c:v>
                </c:pt>
                <c:pt idx="7">
                  <c:v>0.109</c:v>
                </c:pt>
                <c:pt idx="8">
                  <c:v>0.109</c:v>
                </c:pt>
                <c:pt idx="9">
                  <c:v>0.111</c:v>
                </c:pt>
              </c:numCache>
            </c:numRef>
          </c:val>
          <c:smooth val="0"/>
          <c:extLst>
            <c:ext xmlns:c16="http://schemas.microsoft.com/office/drawing/2014/chart" uri="{C3380CC4-5D6E-409C-BE32-E72D297353CC}">
              <c16:uniqueId val="{00000004-B161-4E51-AC63-1AE4E1A64807}"/>
            </c:ext>
          </c:extLst>
        </c:ser>
        <c:dLbls>
          <c:showLegendKey val="0"/>
          <c:showVal val="0"/>
          <c:showCatName val="0"/>
          <c:showSerName val="0"/>
          <c:showPercent val="0"/>
          <c:showBubbleSize val="0"/>
        </c:dLbls>
        <c:marker val="1"/>
        <c:smooth val="0"/>
        <c:axId val="153874816"/>
        <c:axId val="153876352"/>
      </c:lineChart>
      <c:catAx>
        <c:axId val="153874816"/>
        <c:scaling>
          <c:orientation val="minMax"/>
        </c:scaling>
        <c:delete val="0"/>
        <c:axPos val="b"/>
        <c:numFmt formatCode="General" sourceLinked="0"/>
        <c:majorTickMark val="none"/>
        <c:minorTickMark val="none"/>
        <c:tickLblPos val="nextTo"/>
        <c:crossAx val="153876352"/>
        <c:crosses val="autoZero"/>
        <c:auto val="1"/>
        <c:lblAlgn val="ctr"/>
        <c:lblOffset val="100"/>
        <c:noMultiLvlLbl val="0"/>
      </c:catAx>
      <c:valAx>
        <c:axId val="153876352"/>
        <c:scaling>
          <c:orientation val="minMax"/>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53874816"/>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021" l="0.70000000000000062" r="0.70000000000000062" t="0.7500000000000102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7/19/2011</a:t>
            </a:r>
          </a:p>
        </c:rich>
      </c:tx>
      <c:overlay val="0"/>
    </c:title>
    <c:autoTitleDeleted val="0"/>
    <c:plotArea>
      <c:layout/>
      <c:lineChart>
        <c:grouping val="standard"/>
        <c:varyColors val="0"/>
        <c:ser>
          <c:idx val="0"/>
          <c:order val="0"/>
          <c:tx>
            <c:strRef>
              <c:f>'7-19-11'!$B$7</c:f>
              <c:strCache>
                <c:ptCount val="1"/>
                <c:pt idx="0">
                  <c:v>Site 40 (CP)</c:v>
                </c:pt>
              </c:strCache>
            </c:strRef>
          </c:tx>
          <c:cat>
            <c:strRef>
              <c:f>'7-19-11'!$A$8:$A$22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'7-19-11'!$F$8:$F$22</c:f>
              <c:numCache>
                <c:formatCode>General</c:formatCode>
                <c:ptCount val="15"/>
                <c:pt idx="0">
                  <c:v>7.98</c:v>
                </c:pt>
                <c:pt idx="1">
                  <c:v>7.94</c:v>
                </c:pt>
                <c:pt idx="2">
                  <c:v>7.9</c:v>
                </c:pt>
                <c:pt idx="3">
                  <c:v>7.9</c:v>
                </c:pt>
                <c:pt idx="4">
                  <c:v>7.83</c:v>
                </c:pt>
                <c:pt idx="5">
                  <c:v>7.8</c:v>
                </c:pt>
                <c:pt idx="6">
                  <c:v>7.77</c:v>
                </c:pt>
                <c:pt idx="7">
                  <c:v>7.72</c:v>
                </c:pt>
                <c:pt idx="8">
                  <c:v>7.62</c:v>
                </c:pt>
                <c:pt idx="9">
                  <c:v>7.6</c:v>
                </c:pt>
                <c:pt idx="10">
                  <c:v>7.57</c:v>
                </c:pt>
                <c:pt idx="11">
                  <c:v>7.54</c:v>
                </c:pt>
                <c:pt idx="12">
                  <c:v>7.5</c:v>
                </c:pt>
                <c:pt idx="13">
                  <c:v>7.44</c:v>
                </c:pt>
                <c:pt idx="14">
                  <c:v>7.44</c:v>
                </c:pt>
              </c:numCache>
            </c:numRef>
          </c:val>
          <c:smooth val="0"/>
          <c:extLst>
            <c:ext xmlns:c16="http://schemas.microsoft.com/office/drawing/2014/chart" uri="{C3380CC4-5D6E-409C-BE32-E72D297353CC}">
              <c16:uniqueId val="{00000000-6DDF-476A-92AA-C3A8B63BF02E}"/>
            </c:ext>
          </c:extLst>
        </c:ser>
        <c:ser>
          <c:idx val="1"/>
          <c:order val="1"/>
          <c:tx>
            <c:strRef>
              <c:f>'7-19-11'!$A$44</c:f>
              <c:strCache>
                <c:ptCount val="1"/>
                <c:pt idx="0">
                  <c:v>Site 41 (1)</c:v>
                </c:pt>
              </c:strCache>
            </c:strRef>
          </c:tx>
          <c:val>
            <c:numRef>
              <c:f>'7-19-11'!$F$45:$F$56</c:f>
              <c:numCache>
                <c:formatCode>General</c:formatCode>
                <c:ptCount val="12"/>
                <c:pt idx="0">
                  <c:v>7.94</c:v>
                </c:pt>
                <c:pt idx="1">
                  <c:v>7.88</c:v>
                </c:pt>
                <c:pt idx="2">
                  <c:v>7.86</c:v>
                </c:pt>
                <c:pt idx="3">
                  <c:v>7.86</c:v>
                </c:pt>
                <c:pt idx="4">
                  <c:v>7.81</c:v>
                </c:pt>
                <c:pt idx="5">
                  <c:v>7.79</c:v>
                </c:pt>
                <c:pt idx="6">
                  <c:v>7.74</c:v>
                </c:pt>
                <c:pt idx="7">
                  <c:v>7.71</c:v>
                </c:pt>
                <c:pt idx="8">
                  <c:v>7.64</c:v>
                </c:pt>
                <c:pt idx="9">
                  <c:v>7.59</c:v>
                </c:pt>
                <c:pt idx="10">
                  <c:v>7.46</c:v>
                </c:pt>
                <c:pt idx="11">
                  <c:v>7.4</c:v>
                </c:pt>
              </c:numCache>
            </c:numRef>
          </c:val>
          <c:smooth val="0"/>
          <c:extLst>
            <c:ext xmlns:c16="http://schemas.microsoft.com/office/drawing/2014/chart" uri="{C3380CC4-5D6E-409C-BE32-E72D297353CC}">
              <c16:uniqueId val="{00000001-6DDF-476A-92AA-C3A8B63BF02E}"/>
            </c:ext>
          </c:extLst>
        </c:ser>
        <c:ser>
          <c:idx val="2"/>
          <c:order val="2"/>
          <c:tx>
            <c:strRef>
              <c:f>'7-19-11'!$A$58</c:f>
              <c:strCache>
                <c:ptCount val="1"/>
                <c:pt idx="0">
                  <c:v>Site 42 (3)</c:v>
                </c:pt>
              </c:strCache>
            </c:strRef>
          </c:tx>
          <c:val>
            <c:numRef>
              <c:f>'7-19-11'!$F$59:$F$67</c:f>
              <c:numCache>
                <c:formatCode>General</c:formatCode>
                <c:ptCount val="9"/>
                <c:pt idx="0">
                  <c:v>7.95</c:v>
                </c:pt>
                <c:pt idx="1">
                  <c:v>7.8</c:v>
                </c:pt>
                <c:pt idx="2">
                  <c:v>7.77</c:v>
                </c:pt>
                <c:pt idx="3">
                  <c:v>7.82</c:v>
                </c:pt>
                <c:pt idx="4">
                  <c:v>7.81</c:v>
                </c:pt>
                <c:pt idx="5">
                  <c:v>7.77</c:v>
                </c:pt>
                <c:pt idx="6">
                  <c:v>7.71</c:v>
                </c:pt>
                <c:pt idx="7">
                  <c:v>7.69</c:v>
                </c:pt>
                <c:pt idx="8">
                  <c:v>7.67</c:v>
                </c:pt>
              </c:numCache>
            </c:numRef>
          </c:val>
          <c:smooth val="0"/>
          <c:extLst>
            <c:ext xmlns:c16="http://schemas.microsoft.com/office/drawing/2014/chart" uri="{C3380CC4-5D6E-409C-BE32-E72D297353CC}">
              <c16:uniqueId val="{00000002-6DDF-476A-92AA-C3A8B63BF02E}"/>
            </c:ext>
          </c:extLst>
        </c:ser>
        <c:ser>
          <c:idx val="3"/>
          <c:order val="3"/>
          <c:tx>
            <c:strRef>
              <c:f>'7-19-11'!$A$72</c:f>
              <c:strCache>
                <c:ptCount val="1"/>
                <c:pt idx="0">
                  <c:v>Site 43 (4)</c:v>
                </c:pt>
              </c:strCache>
            </c:strRef>
          </c:tx>
          <c:val>
            <c:numRef>
              <c:f>'7-19-11'!$F$73:$F$79</c:f>
              <c:numCache>
                <c:formatCode>General</c:formatCode>
                <c:ptCount val="7"/>
                <c:pt idx="0">
                  <c:v>8.1199999999999992</c:v>
                </c:pt>
                <c:pt idx="1">
                  <c:v>8.1</c:v>
                </c:pt>
                <c:pt idx="2">
                  <c:v>7.91</c:v>
                </c:pt>
                <c:pt idx="3">
                  <c:v>7.87</c:v>
                </c:pt>
                <c:pt idx="4">
                  <c:v>7.8</c:v>
                </c:pt>
                <c:pt idx="5">
                  <c:v>7.79</c:v>
                </c:pt>
                <c:pt idx="6">
                  <c:v>7.74</c:v>
                </c:pt>
              </c:numCache>
            </c:numRef>
          </c:val>
          <c:smooth val="0"/>
          <c:extLst>
            <c:ext xmlns:c16="http://schemas.microsoft.com/office/drawing/2014/chart" uri="{C3380CC4-5D6E-409C-BE32-E72D297353CC}">
              <c16:uniqueId val="{00000003-6DDF-476A-92AA-C3A8B63BF02E}"/>
            </c:ext>
          </c:extLst>
        </c:ser>
        <c:ser>
          <c:idx val="4"/>
          <c:order val="4"/>
          <c:tx>
            <c:strRef>
              <c:f>'7-19-11'!$A$83</c:f>
              <c:strCache>
                <c:ptCount val="1"/>
                <c:pt idx="0">
                  <c:v>Site 44 (5)</c:v>
                </c:pt>
              </c:strCache>
            </c:strRef>
          </c:tx>
          <c:val>
            <c:numRef>
              <c:f>'7-19-11'!$F$84:$F$93</c:f>
              <c:numCache>
                <c:formatCode>0.00</c:formatCode>
                <c:ptCount val="10"/>
                <c:pt idx="0">
                  <c:v>7.97</c:v>
                </c:pt>
                <c:pt idx="1">
                  <c:v>7.89</c:v>
                </c:pt>
                <c:pt idx="2">
                  <c:v>7.86</c:v>
                </c:pt>
                <c:pt idx="3">
                  <c:v>7.88</c:v>
                </c:pt>
                <c:pt idx="4">
                  <c:v>7.86</c:v>
                </c:pt>
                <c:pt idx="5">
                  <c:v>7.8</c:v>
                </c:pt>
                <c:pt idx="6">
                  <c:v>7.77</c:v>
                </c:pt>
                <c:pt idx="7">
                  <c:v>7.71</c:v>
                </c:pt>
                <c:pt idx="8">
                  <c:v>7.62</c:v>
                </c:pt>
                <c:pt idx="9">
                  <c:v>7.54</c:v>
                </c:pt>
              </c:numCache>
            </c:numRef>
          </c:val>
          <c:smooth val="0"/>
          <c:extLst>
            <c:ext xmlns:c16="http://schemas.microsoft.com/office/drawing/2014/chart" uri="{C3380CC4-5D6E-409C-BE32-E72D297353CC}">
              <c16:uniqueId val="{00000004-6DDF-476A-92AA-C3A8B63BF02E}"/>
            </c:ext>
          </c:extLst>
        </c:ser>
        <c:dLbls>
          <c:showLegendKey val="0"/>
          <c:showVal val="0"/>
          <c:showCatName val="0"/>
          <c:showSerName val="0"/>
          <c:showPercent val="0"/>
          <c:showBubbleSize val="0"/>
        </c:dLbls>
        <c:marker val="1"/>
        <c:smooth val="0"/>
        <c:axId val="153928832"/>
        <c:axId val="153930368"/>
      </c:lineChart>
      <c:catAx>
        <c:axId val="153928832"/>
        <c:scaling>
          <c:orientation val="minMax"/>
        </c:scaling>
        <c:delete val="0"/>
        <c:axPos val="b"/>
        <c:numFmt formatCode="General" sourceLinked="0"/>
        <c:majorTickMark val="none"/>
        <c:minorTickMark val="none"/>
        <c:tickLblPos val="nextTo"/>
        <c:crossAx val="153930368"/>
        <c:crosses val="autoZero"/>
        <c:auto val="1"/>
        <c:lblAlgn val="ctr"/>
        <c:lblOffset val="100"/>
        <c:noMultiLvlLbl val="0"/>
      </c:catAx>
      <c:valAx>
        <c:axId val="153930368"/>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53928832"/>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021" l="0.70000000000000062" r="0.70000000000000062" t="0.75000000000001021"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(7/25/2011)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922"/>
        </c:manualLayout>
      </c:layout>
      <c:lineChart>
        <c:grouping val="standard"/>
        <c:varyColors val="0"/>
        <c:ser>
          <c:idx val="0"/>
          <c:order val="0"/>
          <c:tx>
            <c:strRef>
              <c:f>'7-25-11'!$D$3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'7-25-11'!$D$8:$D$22</c:f>
              <c:numCache>
                <c:formatCode>General</c:formatCode>
                <c:ptCount val="15"/>
                <c:pt idx="0">
                  <c:v>6.19</c:v>
                </c:pt>
                <c:pt idx="1">
                  <c:v>6.22</c:v>
                </c:pt>
                <c:pt idx="2">
                  <c:v>5.99</c:v>
                </c:pt>
                <c:pt idx="3">
                  <c:v>5.77</c:v>
                </c:pt>
                <c:pt idx="4">
                  <c:v>5.92</c:v>
                </c:pt>
                <c:pt idx="5">
                  <c:v>5.61</c:v>
                </c:pt>
                <c:pt idx="6">
                  <c:v>5.57</c:v>
                </c:pt>
                <c:pt idx="7">
                  <c:v>5.63</c:v>
                </c:pt>
                <c:pt idx="8">
                  <c:v>5.3</c:v>
                </c:pt>
                <c:pt idx="9" formatCode="0.00">
                  <c:v>4.8499999999999996</c:v>
                </c:pt>
                <c:pt idx="10" formatCode="0.00">
                  <c:v>4.5199999999999996</c:v>
                </c:pt>
                <c:pt idx="11" formatCode="0.00">
                  <c:v>4.01</c:v>
                </c:pt>
                <c:pt idx="12" formatCode="0.00">
                  <c:v>3.9</c:v>
                </c:pt>
                <c:pt idx="13" formatCode="0.00">
                  <c:v>3.29</c:v>
                </c:pt>
                <c:pt idx="14">
                  <c:v>2.1</c:v>
                </c:pt>
              </c:numCache>
            </c:numRef>
          </c:val>
          <c:smooth val="0"/>
          <c:extLst>
            <c:ext xmlns:c16="http://schemas.microsoft.com/office/drawing/2014/chart" uri="{C3380CC4-5D6E-409C-BE32-E72D297353CC}">
              <c16:uniqueId val="{00000000-DAC7-47A3-8CCC-35BFD4A28BEC}"/>
            </c:ext>
          </c:extLst>
        </c:ser>
        <c:ser>
          <c:idx val="1"/>
          <c:order val="1"/>
          <c:tx>
            <c:strRef>
              <c:f>'7-25-11'!$E$3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'7-25-11'!$E$8:$E$22</c:f>
              <c:numCache>
                <c:formatCode>General</c:formatCode>
                <c:ptCount val="15"/>
                <c:pt idx="0">
                  <c:v>23.3</c:v>
                </c:pt>
                <c:pt idx="1">
                  <c:v>23.3</c:v>
                </c:pt>
                <c:pt idx="2">
                  <c:v>23.1</c:v>
                </c:pt>
                <c:pt idx="3">
                  <c:v>23</c:v>
                </c:pt>
                <c:pt idx="4">
                  <c:v>22.9</c:v>
                </c:pt>
                <c:pt idx="5">
                  <c:v>22.8</c:v>
                </c:pt>
                <c:pt idx="6">
                  <c:v>22.8</c:v>
                </c:pt>
                <c:pt idx="7">
                  <c:v>22.8</c:v>
                </c:pt>
                <c:pt idx="8">
                  <c:v>22.7</c:v>
                </c:pt>
                <c:pt idx="9">
                  <c:v>22.4</c:v>
                </c:pt>
                <c:pt idx="10">
                  <c:v>22.3</c:v>
                </c:pt>
                <c:pt idx="11">
                  <c:v>22.2</c:v>
                </c:pt>
                <c:pt idx="12">
                  <c:v>21.9</c:v>
                </c:pt>
                <c:pt idx="13">
                  <c:v>21.7</c:v>
                </c:pt>
                <c:pt idx="14">
                  <c:v>21.6</c:v>
                </c:pt>
              </c:numCache>
            </c:numRef>
          </c:val>
          <c:smooth val="0"/>
          <c:extLst>
            <c:ext xmlns:c16="http://schemas.microsoft.com/office/drawing/2014/chart" uri="{C3380CC4-5D6E-409C-BE32-E72D297353CC}">
              <c16:uniqueId val="{00000001-DAC7-47A3-8CCC-35BFD4A28BEC}"/>
            </c:ext>
          </c:extLst>
        </c:ser>
        <c:dLbls>
          <c:showLegendKey val="0"/>
          <c:showVal val="0"/>
          <c:showCatName val="0"/>
          <c:showSerName val="0"/>
          <c:showPercent val="0"/>
          <c:showBubbleSize val="0"/>
        </c:dLbls>
        <c:smooth val="0"/>
        <c:axId val="153993216"/>
        <c:axId val="153994752"/>
      </c:lineChart>
      <c:catAx>
        <c:axId val="153993216"/>
        <c:scaling>
          <c:orientation val="minMax"/>
        </c:scaling>
        <c:delete val="0"/>
        <c:axPos val="b"/>
        <c:minorGridlines/>
        <c:numFmt formatCode="General" sourceLinked="0"/>
        <c:majorTickMark val="out"/>
        <c:minorTickMark val="none"/>
        <c:tickLblPos val="nextTo"/>
        <c:crossAx val="153994752"/>
        <c:crosses val="autoZero"/>
        <c:auto val="1"/>
        <c:lblAlgn val="ctr"/>
        <c:lblOffset val="100"/>
        <c:noMultiLvlLbl val="0"/>
      </c:catAx>
      <c:valAx>
        <c:axId val="153994752"/>
        <c:scaling>
          <c:orientation val="minMax"/>
        </c:scaling>
        <c:delete val="0"/>
        <c:axPos val="l"/>
        <c:majorGridlines/>
        <c:minorGridlines/>
        <c:numFmt formatCode="General" sourceLinked="1"/>
        <c:majorTickMark val="out"/>
        <c:minorTickMark val="none"/>
        <c:tickLblPos val="nextTo"/>
        <c:crossAx val="153993216"/>
        <c:crosses val="autoZero"/>
        <c:crossBetween val="midCat"/>
      </c:valAx>
    </c:plotArea>
    <c:legend>
      <c:legendPos val="r"/>
      <c:layout>
        <c:manualLayout>
          <c:xMode val="edge"/>
          <c:yMode val="edge"/>
          <c:x val="9.1212488219598487E-2"/>
          <c:y val="0.26758269304496429"/>
          <c:w val="0.1474862204724488"/>
          <c:h val="0.15758530183727931"/>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7/25/2011</a:t>
            </a:r>
          </a:p>
        </c:rich>
      </c:tx>
      <c:overlay val="0"/>
    </c:title>
    <c:autoTitleDeleted val="0"/>
    <c:plotArea>
      <c:layout/>
      <c:lineChart>
        <c:grouping val="standard"/>
        <c:varyColors val="0"/>
        <c:ser>
          <c:idx val="0"/>
          <c:order val="0"/>
          <c:tx>
            <c:strRef>
              <c:f>'7-25-11'!$B$7</c:f>
              <c:strCache>
                <c:ptCount val="1"/>
                <c:pt idx="0">
                  <c:v>Site 40 (CP)</c:v>
                </c:pt>
              </c:strCache>
            </c:strRef>
          </c:tx>
          <c:cat>
            <c:strRef>
              <c:f>'7-25-11'!$A$8:$A$22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'7-25-11'!$D$8:$D$22</c:f>
              <c:numCache>
                <c:formatCode>General</c:formatCode>
                <c:ptCount val="15"/>
                <c:pt idx="0">
                  <c:v>6.19</c:v>
                </c:pt>
                <c:pt idx="1">
                  <c:v>6.22</c:v>
                </c:pt>
                <c:pt idx="2">
                  <c:v>5.99</c:v>
                </c:pt>
                <c:pt idx="3">
                  <c:v>5.77</c:v>
                </c:pt>
                <c:pt idx="4">
                  <c:v>5.92</c:v>
                </c:pt>
                <c:pt idx="5">
                  <c:v>5.61</c:v>
                </c:pt>
                <c:pt idx="6">
                  <c:v>5.57</c:v>
                </c:pt>
                <c:pt idx="7">
                  <c:v>5.63</c:v>
                </c:pt>
                <c:pt idx="8">
                  <c:v>5.3</c:v>
                </c:pt>
                <c:pt idx="9" formatCode="0.00">
                  <c:v>4.8499999999999996</c:v>
                </c:pt>
                <c:pt idx="10" formatCode="0.00">
                  <c:v>4.5199999999999996</c:v>
                </c:pt>
                <c:pt idx="11" formatCode="0.00">
                  <c:v>4.01</c:v>
                </c:pt>
                <c:pt idx="12" formatCode="0.00">
                  <c:v>3.9</c:v>
                </c:pt>
                <c:pt idx="13" formatCode="0.00">
                  <c:v>3.29</c:v>
                </c:pt>
                <c:pt idx="14">
                  <c:v>2.1</c:v>
                </c:pt>
              </c:numCache>
            </c:numRef>
          </c:val>
          <c:smooth val="0"/>
          <c:extLst>
            <c:ext xmlns:c16="http://schemas.microsoft.com/office/drawing/2014/chart" uri="{C3380CC4-5D6E-409C-BE32-E72D297353CC}">
              <c16:uniqueId val="{00000000-BEB7-4173-B562-52920628F819}"/>
            </c:ext>
          </c:extLst>
        </c:ser>
        <c:ser>
          <c:idx val="1"/>
          <c:order val="1"/>
          <c:tx>
            <c:strRef>
              <c:f>'7-25-11'!$A$44</c:f>
              <c:strCache>
                <c:ptCount val="1"/>
                <c:pt idx="0">
                  <c:v>Site 41 (1)</c:v>
                </c:pt>
              </c:strCache>
            </c:strRef>
          </c:tx>
          <c:val>
            <c:numRef>
              <c:f>'7-25-11'!$D$45:$D$54</c:f>
              <c:numCache>
                <c:formatCode>General</c:formatCode>
                <c:ptCount val="10"/>
                <c:pt idx="0">
                  <c:v>6.13</c:v>
                </c:pt>
                <c:pt idx="1">
                  <c:v>6.4</c:v>
                </c:pt>
                <c:pt idx="2">
                  <c:v>5.86</c:v>
                </c:pt>
                <c:pt idx="3">
                  <c:v>5.91</c:v>
                </c:pt>
                <c:pt idx="4">
                  <c:v>5.7</c:v>
                </c:pt>
                <c:pt idx="5">
                  <c:v>5.71</c:v>
                </c:pt>
                <c:pt idx="6">
                  <c:v>5.73</c:v>
                </c:pt>
                <c:pt idx="7">
                  <c:v>5.74</c:v>
                </c:pt>
                <c:pt idx="8">
                  <c:v>5.1100000000000003</c:v>
                </c:pt>
                <c:pt idx="9">
                  <c:v>4.8</c:v>
                </c:pt>
              </c:numCache>
            </c:numRef>
          </c:val>
          <c:smooth val="0"/>
          <c:extLst>
            <c:ext xmlns:c16="http://schemas.microsoft.com/office/drawing/2014/chart" uri="{C3380CC4-5D6E-409C-BE32-E72D297353CC}">
              <c16:uniqueId val="{00000001-BEB7-4173-B562-52920628F819}"/>
            </c:ext>
          </c:extLst>
        </c:ser>
        <c:ser>
          <c:idx val="2"/>
          <c:order val="2"/>
          <c:tx>
            <c:strRef>
              <c:f>'7-25-11'!$A$58</c:f>
              <c:strCache>
                <c:ptCount val="1"/>
                <c:pt idx="0">
                  <c:v>Site 42 (3)</c:v>
                </c:pt>
              </c:strCache>
            </c:strRef>
          </c:tx>
          <c:val>
            <c:numRef>
              <c:f>'7-25-11'!$D$59:$D$67</c:f>
              <c:numCache>
                <c:formatCode>General</c:formatCode>
                <c:ptCount val="9"/>
                <c:pt idx="0">
                  <c:v>6.28</c:v>
                </c:pt>
                <c:pt idx="1">
                  <c:v>6.15</c:v>
                </c:pt>
                <c:pt idx="2">
                  <c:v>6.03</c:v>
                </c:pt>
                <c:pt idx="3">
                  <c:v>5.96</c:v>
                </c:pt>
                <c:pt idx="4">
                  <c:v>5.8</c:v>
                </c:pt>
                <c:pt idx="5">
                  <c:v>6</c:v>
                </c:pt>
                <c:pt idx="6">
                  <c:v>5.52</c:v>
                </c:pt>
                <c:pt idx="7">
                  <c:v>5.57</c:v>
                </c:pt>
                <c:pt idx="8">
                  <c:v>5.13</c:v>
                </c:pt>
              </c:numCache>
            </c:numRef>
          </c:val>
          <c:smooth val="0"/>
          <c:extLst>
            <c:ext xmlns:c16="http://schemas.microsoft.com/office/drawing/2014/chart" uri="{C3380CC4-5D6E-409C-BE32-E72D297353CC}">
              <c16:uniqueId val="{00000002-BEB7-4173-B562-52920628F819}"/>
            </c:ext>
          </c:extLst>
        </c:ser>
        <c:ser>
          <c:idx val="3"/>
          <c:order val="3"/>
          <c:tx>
            <c:strRef>
              <c:f>'7-25-11'!$A$72</c:f>
              <c:strCache>
                <c:ptCount val="1"/>
                <c:pt idx="0">
                  <c:v>Site 43 (4)</c:v>
                </c:pt>
              </c:strCache>
            </c:strRef>
          </c:tx>
          <c:val>
            <c:numRef>
              <c:f>'7-25-11'!$D$73:$D$80</c:f>
              <c:numCache>
                <c:formatCode>General</c:formatCode>
                <c:ptCount val="8"/>
                <c:pt idx="0">
                  <c:v>6.28</c:v>
                </c:pt>
                <c:pt idx="1">
                  <c:v>6.15</c:v>
                </c:pt>
                <c:pt idx="2">
                  <c:v>5.99</c:v>
                </c:pt>
                <c:pt idx="3">
                  <c:v>5.95</c:v>
                </c:pt>
                <c:pt idx="4">
                  <c:v>5.97</c:v>
                </c:pt>
                <c:pt idx="5">
                  <c:v>5.51</c:v>
                </c:pt>
                <c:pt idx="6">
                  <c:v>5.49</c:v>
                </c:pt>
                <c:pt idx="7">
                  <c:v>5.1100000000000003</c:v>
                </c:pt>
              </c:numCache>
            </c:numRef>
          </c:val>
          <c:smooth val="0"/>
          <c:extLst>
            <c:ext xmlns:c16="http://schemas.microsoft.com/office/drawing/2014/chart" uri="{C3380CC4-5D6E-409C-BE32-E72D297353CC}">
              <c16:uniqueId val="{00000003-BEB7-4173-B562-52920628F819}"/>
            </c:ext>
          </c:extLst>
        </c:ser>
        <c:ser>
          <c:idx val="4"/>
          <c:order val="4"/>
          <c:tx>
            <c:strRef>
              <c:f>'7-25-11'!$A$83</c:f>
              <c:strCache>
                <c:ptCount val="1"/>
                <c:pt idx="0">
                  <c:v>Site 44 (5)</c:v>
                </c:pt>
              </c:strCache>
            </c:strRef>
          </c:tx>
          <c:val>
            <c:numRef>
              <c:f>'7-25-11'!$D$84:$D$93</c:f>
              <c:numCache>
                <c:formatCode>0.00</c:formatCode>
                <c:ptCount val="10"/>
                <c:pt idx="0">
                  <c:v>6.23</c:v>
                </c:pt>
                <c:pt idx="1">
                  <c:v>6.4</c:v>
                </c:pt>
                <c:pt idx="2">
                  <c:v>6.42</c:v>
                </c:pt>
                <c:pt idx="3">
                  <c:v>5.61</c:v>
                </c:pt>
                <c:pt idx="4">
                  <c:v>5.85</c:v>
                </c:pt>
                <c:pt idx="5">
                  <c:v>5.75</c:v>
                </c:pt>
                <c:pt idx="6">
                  <c:v>5.81</c:v>
                </c:pt>
                <c:pt idx="7">
                  <c:v>5.87</c:v>
                </c:pt>
                <c:pt idx="8">
                  <c:v>5.81</c:v>
                </c:pt>
                <c:pt idx="9">
                  <c:v>5.74</c:v>
                </c:pt>
              </c:numCache>
            </c:numRef>
          </c:val>
          <c:smooth val="0"/>
          <c:extLst>
            <c:ext xmlns:c16="http://schemas.microsoft.com/office/drawing/2014/chart" uri="{C3380CC4-5D6E-409C-BE32-E72D297353CC}">
              <c16:uniqueId val="{00000004-BEB7-4173-B562-52920628F819}"/>
            </c:ext>
          </c:extLst>
        </c:ser>
        <c:dLbls>
          <c:showLegendKey val="0"/>
          <c:showVal val="0"/>
          <c:showCatName val="0"/>
          <c:showSerName val="0"/>
          <c:showPercent val="0"/>
          <c:showBubbleSize val="0"/>
        </c:dLbls>
        <c:marker val="1"/>
        <c:smooth val="0"/>
        <c:axId val="154177920"/>
        <c:axId val="154179456"/>
      </c:lineChart>
      <c:catAx>
        <c:axId val="154177920"/>
        <c:scaling>
          <c:orientation val="minMax"/>
        </c:scaling>
        <c:delete val="0"/>
        <c:axPos val="b"/>
        <c:numFmt formatCode="General" sourceLinked="0"/>
        <c:majorTickMark val="none"/>
        <c:minorTickMark val="none"/>
        <c:tickLblPos val="nextTo"/>
        <c:crossAx val="154179456"/>
        <c:crosses val="autoZero"/>
        <c:auto val="1"/>
        <c:lblAlgn val="ctr"/>
        <c:lblOffset val="100"/>
        <c:noMultiLvlLbl val="0"/>
      </c:catAx>
      <c:valAx>
        <c:axId val="154179456"/>
        <c:scaling>
          <c:orientation val="minMax"/>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54177920"/>
        <c:crosses val="autoZero"/>
        <c:crossBetween val="between"/>
      </c:valAx>
    </c:plotArea>
    <c:legend>
      <c:legendPos val="r"/>
      <c:layout>
        <c:manualLayout>
          <c:xMode val="edge"/>
          <c:yMode val="edge"/>
          <c:x val="0.80383606722756107"/>
          <c:y val="0.22371135899679526"/>
          <c:w val="0.19616391645108952"/>
          <c:h val="0.43426785268556128"/>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Specific Conductance Profiles 7/25/2011</a:t>
            </a:r>
          </a:p>
        </c:rich>
      </c:tx>
      <c:layout>
        <c:manualLayout>
          <c:xMode val="edge"/>
          <c:yMode val="edge"/>
          <c:x val="0.14230270671238793"/>
          <c:y val="2.4084778420038592E-2"/>
        </c:manualLayout>
      </c:layout>
      <c:overlay val="0"/>
    </c:title>
    <c:autoTitleDeleted val="0"/>
    <c:plotArea>
      <c:layout/>
      <c:lineChart>
        <c:grouping val="standard"/>
        <c:varyColors val="0"/>
        <c:ser>
          <c:idx val="0"/>
          <c:order val="0"/>
          <c:tx>
            <c:strRef>
              <c:f>'7-25-11'!$B$7</c:f>
              <c:strCache>
                <c:ptCount val="1"/>
                <c:pt idx="0">
                  <c:v>Site 40 (CP)</c:v>
                </c:pt>
              </c:strCache>
            </c:strRef>
          </c:tx>
          <c:cat>
            <c:strRef>
              <c:f>'7-25-11'!$A$8:$A$22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'7-25-11'!$C$8:$C$22</c:f>
              <c:numCache>
                <c:formatCode>General</c:formatCode>
                <c:ptCount val="15"/>
                <c:pt idx="0">
                  <c:v>0.33600000000000002</c:v>
                </c:pt>
                <c:pt idx="1">
                  <c:v>0.33500000000000002</c:v>
                </c:pt>
                <c:pt idx="2">
                  <c:v>0.33800000000000002</c:v>
                </c:pt>
                <c:pt idx="3">
                  <c:v>0.33600000000000002</c:v>
                </c:pt>
                <c:pt idx="4">
                  <c:v>0.33600000000000002</c:v>
                </c:pt>
                <c:pt idx="5">
                  <c:v>0.33600000000000002</c:v>
                </c:pt>
                <c:pt idx="6">
                  <c:v>0.33600000000000002</c:v>
                </c:pt>
                <c:pt idx="7">
                  <c:v>0.33600000000000002</c:v>
                </c:pt>
                <c:pt idx="8">
                  <c:v>0.33700000000000002</c:v>
                </c:pt>
                <c:pt idx="9">
                  <c:v>0.33900000000000002</c:v>
                </c:pt>
                <c:pt idx="10">
                  <c:v>0.33800000000000002</c:v>
                </c:pt>
                <c:pt idx="11">
                  <c:v>0.33900000000000002</c:v>
                </c:pt>
                <c:pt idx="12">
                  <c:v>0.33600000000000002</c:v>
                </c:pt>
                <c:pt idx="13">
                  <c:v>0.33500000000000002</c:v>
                </c:pt>
                <c:pt idx="14">
                  <c:v>0.33400000000000002</c:v>
                </c:pt>
              </c:numCache>
            </c:numRef>
          </c:val>
          <c:smooth val="0"/>
          <c:extLst>
            <c:ext xmlns:c16="http://schemas.microsoft.com/office/drawing/2014/chart" uri="{C3380CC4-5D6E-409C-BE32-E72D297353CC}">
              <c16:uniqueId val="{00000000-D982-4999-962B-23510FB85EF4}"/>
            </c:ext>
          </c:extLst>
        </c:ser>
        <c:ser>
          <c:idx val="1"/>
          <c:order val="1"/>
          <c:tx>
            <c:strRef>
              <c:f>'7-25-11'!$A$44</c:f>
              <c:strCache>
                <c:ptCount val="1"/>
                <c:pt idx="0">
                  <c:v>Site 41 (1)</c:v>
                </c:pt>
              </c:strCache>
            </c:strRef>
          </c:tx>
          <c:val>
            <c:numRef>
              <c:f>'7-25-11'!$C$45:$C$54</c:f>
              <c:numCache>
                <c:formatCode>General</c:formatCode>
                <c:ptCount val="10"/>
                <c:pt idx="0">
                  <c:v>0.32200000000000001</c:v>
                </c:pt>
                <c:pt idx="1">
                  <c:v>0.33200000000000002</c:v>
                </c:pt>
                <c:pt idx="2">
                  <c:v>0.33100000000000002</c:v>
                </c:pt>
                <c:pt idx="3">
                  <c:v>0.33200000000000002</c:v>
                </c:pt>
                <c:pt idx="4">
                  <c:v>0.33100000000000002</c:v>
                </c:pt>
                <c:pt idx="5">
                  <c:v>0.33200000000000002</c:v>
                </c:pt>
                <c:pt idx="6">
                  <c:v>0.33600000000000002</c:v>
                </c:pt>
                <c:pt idx="7">
                  <c:v>0.33600000000000002</c:v>
                </c:pt>
                <c:pt idx="8">
                  <c:v>0.33600000000000002</c:v>
                </c:pt>
                <c:pt idx="9">
                  <c:v>0.33700000000000002</c:v>
                </c:pt>
              </c:numCache>
            </c:numRef>
          </c:val>
          <c:smooth val="0"/>
          <c:extLst>
            <c:ext xmlns:c16="http://schemas.microsoft.com/office/drawing/2014/chart" uri="{C3380CC4-5D6E-409C-BE32-E72D297353CC}">
              <c16:uniqueId val="{00000001-D982-4999-962B-23510FB85EF4}"/>
            </c:ext>
          </c:extLst>
        </c:ser>
        <c:ser>
          <c:idx val="2"/>
          <c:order val="2"/>
          <c:tx>
            <c:strRef>
              <c:f>'7-25-11'!$A$58</c:f>
              <c:strCache>
                <c:ptCount val="1"/>
                <c:pt idx="0">
                  <c:v>Site 42 (3)</c:v>
                </c:pt>
              </c:strCache>
            </c:strRef>
          </c:tx>
          <c:val>
            <c:numRef>
              <c:f>'7-25-11'!$C$59:$C$67</c:f>
              <c:numCache>
                <c:formatCode>General</c:formatCode>
                <c:ptCount val="9"/>
                <c:pt idx="0">
                  <c:v>0.33600000000000002</c:v>
                </c:pt>
                <c:pt idx="1">
                  <c:v>0.33700000000000002</c:v>
                </c:pt>
                <c:pt idx="2">
                  <c:v>0.33600000000000002</c:v>
                </c:pt>
                <c:pt idx="3">
                  <c:v>0.33600000000000002</c:v>
                </c:pt>
                <c:pt idx="4">
                  <c:v>0.33600000000000002</c:v>
                </c:pt>
                <c:pt idx="5">
                  <c:v>0.33600000000000002</c:v>
                </c:pt>
                <c:pt idx="6">
                  <c:v>0.33600000000000002</c:v>
                </c:pt>
                <c:pt idx="7">
                  <c:v>0.33800000000000002</c:v>
                </c:pt>
                <c:pt idx="8">
                  <c:v>0.33700000000000002</c:v>
                </c:pt>
              </c:numCache>
            </c:numRef>
          </c:val>
          <c:smooth val="0"/>
          <c:extLst>
            <c:ext xmlns:c16="http://schemas.microsoft.com/office/drawing/2014/chart" uri="{C3380CC4-5D6E-409C-BE32-E72D297353CC}">
              <c16:uniqueId val="{00000002-D982-4999-962B-23510FB85EF4}"/>
            </c:ext>
          </c:extLst>
        </c:ser>
        <c:ser>
          <c:idx val="3"/>
          <c:order val="3"/>
          <c:tx>
            <c:strRef>
              <c:f>'7-25-11'!$A$72</c:f>
              <c:strCache>
                <c:ptCount val="1"/>
                <c:pt idx="0">
                  <c:v>Site 43 (4)</c:v>
                </c:pt>
              </c:strCache>
            </c:strRef>
          </c:tx>
          <c:val>
            <c:numRef>
              <c:f>'7-25-11'!$C$73:$C$80</c:f>
              <c:numCache>
                <c:formatCode>General</c:formatCode>
                <c:ptCount val="8"/>
                <c:pt idx="0">
                  <c:v>0.32900000000000001</c:v>
                </c:pt>
                <c:pt idx="1">
                  <c:v>0.33700000000000002</c:v>
                </c:pt>
                <c:pt idx="2">
                  <c:v>0.33700000000000002</c:v>
                </c:pt>
                <c:pt idx="3">
                  <c:v>0.33600000000000002</c:v>
                </c:pt>
                <c:pt idx="4">
                  <c:v>0.33500000000000002</c:v>
                </c:pt>
                <c:pt idx="5">
                  <c:v>0.33600000000000002</c:v>
                </c:pt>
                <c:pt idx="6">
                  <c:v>0.33600000000000002</c:v>
                </c:pt>
                <c:pt idx="7">
                  <c:v>0.33700000000000002</c:v>
                </c:pt>
              </c:numCache>
            </c:numRef>
          </c:val>
          <c:smooth val="0"/>
          <c:extLst>
            <c:ext xmlns:c16="http://schemas.microsoft.com/office/drawing/2014/chart" uri="{C3380CC4-5D6E-409C-BE32-E72D297353CC}">
              <c16:uniqueId val="{00000003-D982-4999-962B-23510FB85EF4}"/>
            </c:ext>
          </c:extLst>
        </c:ser>
        <c:ser>
          <c:idx val="4"/>
          <c:order val="4"/>
          <c:tx>
            <c:strRef>
              <c:f>'7-25-11'!$A$83</c:f>
              <c:strCache>
                <c:ptCount val="1"/>
                <c:pt idx="0">
                  <c:v>Site 44 (5)</c:v>
                </c:pt>
              </c:strCache>
            </c:strRef>
          </c:tx>
          <c:val>
            <c:numRef>
              <c:f>'7-25-11'!$C$84:$C$93</c:f>
              <c:numCache>
                <c:formatCode>General</c:formatCode>
                <c:ptCount val="10"/>
                <c:pt idx="0">
                  <c:v>0.33300000000000002</c:v>
                </c:pt>
                <c:pt idx="1">
                  <c:v>0.33100000000000002</c:v>
                </c:pt>
                <c:pt idx="2">
                  <c:v>0.33300000000000002</c:v>
                </c:pt>
                <c:pt idx="3">
                  <c:v>0.33100000000000002</c:v>
                </c:pt>
                <c:pt idx="4">
                  <c:v>0.33200000000000002</c:v>
                </c:pt>
                <c:pt idx="5">
                  <c:v>0.33100000000000002</c:v>
                </c:pt>
                <c:pt idx="6">
                  <c:v>0.33100000000000002</c:v>
                </c:pt>
                <c:pt idx="7">
                  <c:v>0.33200000000000002</c:v>
                </c:pt>
                <c:pt idx="8">
                  <c:v>0.33300000000000002</c:v>
                </c:pt>
                <c:pt idx="9">
                  <c:v>0.33300000000000002</c:v>
                </c:pt>
              </c:numCache>
            </c:numRef>
          </c:val>
          <c:smooth val="0"/>
          <c:extLst>
            <c:ext xmlns:c16="http://schemas.microsoft.com/office/drawing/2014/chart" uri="{C3380CC4-5D6E-409C-BE32-E72D297353CC}">
              <c16:uniqueId val="{00000004-D982-4999-962B-23510FB85EF4}"/>
            </c:ext>
          </c:extLst>
        </c:ser>
        <c:dLbls>
          <c:showLegendKey val="0"/>
          <c:showVal val="0"/>
          <c:showCatName val="0"/>
          <c:showSerName val="0"/>
          <c:showPercent val="0"/>
          <c:showBubbleSize val="0"/>
        </c:dLbls>
        <c:marker val="1"/>
        <c:smooth val="0"/>
        <c:axId val="154248320"/>
        <c:axId val="154249856"/>
      </c:lineChart>
      <c:catAx>
        <c:axId val="154248320"/>
        <c:scaling>
          <c:orientation val="minMax"/>
        </c:scaling>
        <c:delete val="0"/>
        <c:axPos val="b"/>
        <c:numFmt formatCode="General" sourceLinked="0"/>
        <c:majorTickMark val="none"/>
        <c:minorTickMark val="none"/>
        <c:tickLblPos val="nextTo"/>
        <c:crossAx val="154249856"/>
        <c:crosses val="autoZero"/>
        <c:auto val="1"/>
        <c:lblAlgn val="ctr"/>
        <c:lblOffset val="100"/>
        <c:noMultiLvlLbl val="0"/>
      </c:catAx>
      <c:valAx>
        <c:axId val="154249856"/>
        <c:scaling>
          <c:orientation val="minMax"/>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54248320"/>
        <c:crosses val="autoZero"/>
        <c:crossBetween val="between"/>
      </c:valAx>
    </c:plotArea>
    <c:legend>
      <c:legendPos val="r"/>
      <c:layout>
        <c:manualLayout>
          <c:xMode val="edge"/>
          <c:yMode val="edge"/>
          <c:x val="0.77935454690620076"/>
          <c:y val="0.19199285421692244"/>
          <c:w val="0.19973862347458338"/>
          <c:h val="0.43552296208638924"/>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 Profiles 7/25/2011</a:t>
            </a:r>
          </a:p>
        </c:rich>
      </c:tx>
      <c:overlay val="0"/>
    </c:title>
    <c:autoTitleDeleted val="0"/>
    <c:plotArea>
      <c:layout/>
      <c:lineChart>
        <c:grouping val="standard"/>
        <c:varyColors val="0"/>
        <c:ser>
          <c:idx val="0"/>
          <c:order val="0"/>
          <c:tx>
            <c:strRef>
              <c:f>'7-25-11'!$B$7</c:f>
              <c:strCache>
                <c:ptCount val="1"/>
                <c:pt idx="0">
                  <c:v>Site 40 (CP)</c:v>
                </c:pt>
              </c:strCache>
            </c:strRef>
          </c:tx>
          <c:cat>
            <c:strRef>
              <c:f>'7-25-11'!$A$8:$A$22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'7-25-11'!$F$8:$F$22</c:f>
              <c:numCache>
                <c:formatCode>General</c:formatCode>
                <c:ptCount val="15"/>
                <c:pt idx="0">
                  <c:v>8.1</c:v>
                </c:pt>
                <c:pt idx="1">
                  <c:v>8.1199999999999992</c:v>
                </c:pt>
                <c:pt idx="2">
                  <c:v>8.07</c:v>
                </c:pt>
                <c:pt idx="3">
                  <c:v>8.06</c:v>
                </c:pt>
                <c:pt idx="4">
                  <c:v>8.0399999999999991</c:v>
                </c:pt>
                <c:pt idx="5">
                  <c:v>8.02</c:v>
                </c:pt>
                <c:pt idx="6">
                  <c:v>7.99</c:v>
                </c:pt>
                <c:pt idx="7">
                  <c:v>7.96</c:v>
                </c:pt>
                <c:pt idx="8">
                  <c:v>7.94</c:v>
                </c:pt>
                <c:pt idx="9">
                  <c:v>7.84</c:v>
                </c:pt>
                <c:pt idx="10">
                  <c:v>7.77</c:v>
                </c:pt>
                <c:pt idx="11">
                  <c:v>7.72</c:v>
                </c:pt>
                <c:pt idx="12">
                  <c:v>7.67</c:v>
                </c:pt>
                <c:pt idx="13">
                  <c:v>7.61</c:v>
                </c:pt>
                <c:pt idx="14">
                  <c:v>7.43</c:v>
                </c:pt>
              </c:numCache>
            </c:numRef>
          </c:val>
          <c:smooth val="0"/>
          <c:extLst>
            <c:ext xmlns:c16="http://schemas.microsoft.com/office/drawing/2014/chart" uri="{C3380CC4-5D6E-409C-BE32-E72D297353CC}">
              <c16:uniqueId val="{00000000-14AF-4448-9502-D07C11D09DCF}"/>
            </c:ext>
          </c:extLst>
        </c:ser>
        <c:ser>
          <c:idx val="1"/>
          <c:order val="1"/>
          <c:tx>
            <c:strRef>
              <c:f>'7-25-11'!$A$44</c:f>
              <c:strCache>
                <c:ptCount val="1"/>
                <c:pt idx="0">
                  <c:v>Site 41 (1)</c:v>
                </c:pt>
              </c:strCache>
            </c:strRef>
          </c:tx>
          <c:val>
            <c:numRef>
              <c:f>'7-25-11'!$F$45:$F$54</c:f>
              <c:numCache>
                <c:formatCode>General</c:formatCode>
                <c:ptCount val="10"/>
                <c:pt idx="0">
                  <c:v>8.09</c:v>
                </c:pt>
                <c:pt idx="1">
                  <c:v>8.09</c:v>
                </c:pt>
                <c:pt idx="2">
                  <c:v>8.0299999999999994</c:v>
                </c:pt>
                <c:pt idx="3">
                  <c:v>8.02</c:v>
                </c:pt>
                <c:pt idx="4">
                  <c:v>7.98</c:v>
                </c:pt>
                <c:pt idx="5">
                  <c:v>7.99</c:v>
                </c:pt>
                <c:pt idx="6">
                  <c:v>7.98</c:v>
                </c:pt>
                <c:pt idx="7">
                  <c:v>7.99</c:v>
                </c:pt>
                <c:pt idx="8">
                  <c:v>7.87</c:v>
                </c:pt>
                <c:pt idx="9">
                  <c:v>7.81</c:v>
                </c:pt>
              </c:numCache>
            </c:numRef>
          </c:val>
          <c:smooth val="0"/>
          <c:extLst>
            <c:ext xmlns:c16="http://schemas.microsoft.com/office/drawing/2014/chart" uri="{C3380CC4-5D6E-409C-BE32-E72D297353CC}">
              <c16:uniqueId val="{00000001-14AF-4448-9502-D07C11D09DCF}"/>
            </c:ext>
          </c:extLst>
        </c:ser>
        <c:ser>
          <c:idx val="2"/>
          <c:order val="2"/>
          <c:tx>
            <c:strRef>
              <c:f>'7-25-11'!$A$58</c:f>
              <c:strCache>
                <c:ptCount val="1"/>
                <c:pt idx="0">
                  <c:v>Site 42 (3)</c:v>
                </c:pt>
              </c:strCache>
            </c:strRef>
          </c:tx>
          <c:val>
            <c:numRef>
              <c:f>'7-25-11'!$F$59:$F$67</c:f>
              <c:numCache>
                <c:formatCode>General</c:formatCode>
                <c:ptCount val="9"/>
                <c:pt idx="0">
                  <c:v>8.07</c:v>
                </c:pt>
                <c:pt idx="1">
                  <c:v>8.0399999999999991</c:v>
                </c:pt>
                <c:pt idx="2">
                  <c:v>8.0500000000000007</c:v>
                </c:pt>
                <c:pt idx="3">
                  <c:v>8.0399999999999991</c:v>
                </c:pt>
                <c:pt idx="4">
                  <c:v>8.02</c:v>
                </c:pt>
                <c:pt idx="5">
                  <c:v>8</c:v>
                </c:pt>
                <c:pt idx="6">
                  <c:v>7.98</c:v>
                </c:pt>
                <c:pt idx="7">
                  <c:v>7.98</c:v>
                </c:pt>
                <c:pt idx="8">
                  <c:v>7.86</c:v>
                </c:pt>
              </c:numCache>
            </c:numRef>
          </c:val>
          <c:smooth val="0"/>
          <c:extLst>
            <c:ext xmlns:c16="http://schemas.microsoft.com/office/drawing/2014/chart" uri="{C3380CC4-5D6E-409C-BE32-E72D297353CC}">
              <c16:uniqueId val="{00000002-14AF-4448-9502-D07C11D09DCF}"/>
            </c:ext>
          </c:extLst>
        </c:ser>
        <c:ser>
          <c:idx val="3"/>
          <c:order val="3"/>
          <c:tx>
            <c:strRef>
              <c:f>'7-25-11'!$A$72</c:f>
              <c:strCache>
                <c:ptCount val="1"/>
                <c:pt idx="0">
                  <c:v>Site 43 (4)</c:v>
                </c:pt>
              </c:strCache>
            </c:strRef>
          </c:tx>
          <c:val>
            <c:numRef>
              <c:f>'7-25-11'!$F$73:$F$80</c:f>
              <c:numCache>
                <c:formatCode>General</c:formatCode>
                <c:ptCount val="8"/>
                <c:pt idx="0">
                  <c:v>8.1</c:v>
                </c:pt>
                <c:pt idx="1">
                  <c:v>8.11</c:v>
                </c:pt>
                <c:pt idx="2">
                  <c:v>8.1</c:v>
                </c:pt>
                <c:pt idx="3">
                  <c:v>8.0399999999999991</c:v>
                </c:pt>
                <c:pt idx="4">
                  <c:v>8</c:v>
                </c:pt>
                <c:pt idx="5">
                  <c:v>7.92</c:v>
                </c:pt>
                <c:pt idx="6">
                  <c:v>7.93</c:v>
                </c:pt>
                <c:pt idx="7">
                  <c:v>7.77</c:v>
                </c:pt>
              </c:numCache>
            </c:numRef>
          </c:val>
          <c:smooth val="0"/>
          <c:extLst>
            <c:ext xmlns:c16="http://schemas.microsoft.com/office/drawing/2014/chart" uri="{C3380CC4-5D6E-409C-BE32-E72D297353CC}">
              <c16:uniqueId val="{00000003-14AF-4448-9502-D07C11D09DCF}"/>
            </c:ext>
          </c:extLst>
        </c:ser>
        <c:ser>
          <c:idx val="4"/>
          <c:order val="4"/>
          <c:tx>
            <c:strRef>
              <c:f>'7-25-11'!$A$83</c:f>
              <c:strCache>
                <c:ptCount val="1"/>
                <c:pt idx="0">
                  <c:v>Site 44 (5)</c:v>
                </c:pt>
              </c:strCache>
            </c:strRef>
          </c:tx>
          <c:val>
            <c:numRef>
              <c:f>'7-25-11'!$F$84:$F$93</c:f>
              <c:numCache>
                <c:formatCode>0.00</c:formatCode>
                <c:ptCount val="10"/>
                <c:pt idx="0">
                  <c:v>8.1199999999999992</c:v>
                </c:pt>
                <c:pt idx="1">
                  <c:v>8.1</c:v>
                </c:pt>
                <c:pt idx="2">
                  <c:v>7.98</c:v>
                </c:pt>
                <c:pt idx="3">
                  <c:v>7.96</c:v>
                </c:pt>
                <c:pt idx="4">
                  <c:v>7.94</c:v>
                </c:pt>
                <c:pt idx="5">
                  <c:v>7.93</c:v>
                </c:pt>
                <c:pt idx="6">
                  <c:v>7.93</c:v>
                </c:pt>
                <c:pt idx="7">
                  <c:v>7.95</c:v>
                </c:pt>
                <c:pt idx="8">
                  <c:v>7.95</c:v>
                </c:pt>
                <c:pt idx="9">
                  <c:v>7.92</c:v>
                </c:pt>
              </c:numCache>
            </c:numRef>
          </c:val>
          <c:smooth val="0"/>
          <c:extLst>
            <c:ext xmlns:c16="http://schemas.microsoft.com/office/drawing/2014/chart" uri="{C3380CC4-5D6E-409C-BE32-E72D297353CC}">
              <c16:uniqueId val="{00000004-14AF-4448-9502-D07C11D09DCF}"/>
            </c:ext>
          </c:extLst>
        </c:ser>
        <c:dLbls>
          <c:showLegendKey val="0"/>
          <c:showVal val="0"/>
          <c:showCatName val="0"/>
          <c:showSerName val="0"/>
          <c:showPercent val="0"/>
          <c:showBubbleSize val="0"/>
        </c:dLbls>
        <c:marker val="1"/>
        <c:smooth val="0"/>
        <c:axId val="154298240"/>
        <c:axId val="154299776"/>
      </c:lineChart>
      <c:catAx>
        <c:axId val="154298240"/>
        <c:scaling>
          <c:orientation val="minMax"/>
        </c:scaling>
        <c:delete val="0"/>
        <c:axPos val="b"/>
        <c:numFmt formatCode="General" sourceLinked="0"/>
        <c:majorTickMark val="none"/>
        <c:minorTickMark val="none"/>
        <c:tickLblPos val="nextTo"/>
        <c:crossAx val="154299776"/>
        <c:crosses val="autoZero"/>
        <c:auto val="1"/>
        <c:lblAlgn val="ctr"/>
        <c:lblOffset val="100"/>
        <c:noMultiLvlLbl val="0"/>
      </c:catAx>
      <c:valAx>
        <c:axId val="154299776"/>
        <c:scaling>
          <c:orientation val="minMax"/>
        </c:scaling>
        <c:delete val="0"/>
        <c:axPos val="l"/>
        <c:majorGridlines/>
        <c:title>
          <c:tx>
            <c:rich>
              <a:bodyPr/>
              <a:lstStyle/>
              <a:p>
                <a:pPr>
                  <a:defRPr/>
                </a:pPr>
                <a:r>
                  <a:rPr lang="en-US"/>
                  <a:t>pH</a:t>
                </a:r>
              </a:p>
            </c:rich>
          </c:tx>
          <c:overlay val="0"/>
        </c:title>
        <c:numFmt formatCode="General" sourceLinked="1"/>
        <c:majorTickMark val="none"/>
        <c:minorTickMark val="none"/>
        <c:tickLblPos val="nextTo"/>
        <c:crossAx val="154298240"/>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Station 40 Profile Temp and DO (8/8/2011)</a:t>
            </a:r>
          </a:p>
        </c:rich>
      </c:tx>
      <c:layout>
        <c:manualLayout>
          <c:xMode val="edge"/>
          <c:yMode val="edge"/>
          <c:x val="0.21336111111111244"/>
          <c:y val="1.7429193899782161E-2"/>
        </c:manualLayout>
      </c:layout>
      <c:overlay val="1"/>
    </c:title>
    <c:autoTitleDeleted val="0"/>
    <c:plotArea>
      <c:layout>
        <c:manualLayout>
          <c:layoutTarget val="inner"/>
          <c:xMode val="edge"/>
          <c:yMode val="edge"/>
          <c:x val="8.4488407699037621E-2"/>
          <c:y val="0.13116566311563987"/>
          <c:w val="0.84710870516185477"/>
          <c:h val="0.72730550838009922"/>
        </c:manualLayout>
      </c:layout>
      <c:lineChart>
        <c:grouping val="standard"/>
        <c:varyColors val="0"/>
        <c:ser>
          <c:idx val="0"/>
          <c:order val="0"/>
          <c:tx>
            <c:strRef>
              <c:f>'8-8-11'!$D$3</c:f>
              <c:strCache>
                <c:ptCount val="1"/>
                <c:pt idx="0">
                  <c:v>DO</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'8-8-11'!$D$8:$D$22</c:f>
              <c:numCache>
                <c:formatCode>General</c:formatCode>
                <c:ptCount val="15"/>
                <c:pt idx="0">
                  <c:v>6.64</c:v>
                </c:pt>
                <c:pt idx="1">
                  <c:v>6.47</c:v>
                </c:pt>
                <c:pt idx="2">
                  <c:v>6.52</c:v>
                </c:pt>
                <c:pt idx="3">
                  <c:v>6.34</c:v>
                </c:pt>
                <c:pt idx="4">
                  <c:v>6.39</c:v>
                </c:pt>
                <c:pt idx="5">
                  <c:v>6.35</c:v>
                </c:pt>
                <c:pt idx="6">
                  <c:v>6.32</c:v>
                </c:pt>
                <c:pt idx="7">
                  <c:v>6.19</c:v>
                </c:pt>
                <c:pt idx="8">
                  <c:v>6.18</c:v>
                </c:pt>
                <c:pt idx="9">
                  <c:v>6.02</c:v>
                </c:pt>
                <c:pt idx="10">
                  <c:v>5.34</c:v>
                </c:pt>
                <c:pt idx="11">
                  <c:v>5.38</c:v>
                </c:pt>
                <c:pt idx="12">
                  <c:v>5.04</c:v>
                </c:pt>
                <c:pt idx="13">
                  <c:v>5.67</c:v>
                </c:pt>
                <c:pt idx="14">
                  <c:v>5.41</c:v>
                </c:pt>
              </c:numCache>
            </c:numRef>
          </c:val>
          <c:smooth val="0"/>
          <c:extLst>
            <c:ext xmlns:c16="http://schemas.microsoft.com/office/drawing/2014/chart" uri="{C3380CC4-5D6E-409C-BE32-E72D297353CC}">
              <c16:uniqueId val="{00000000-425A-4190-A02B-FDA85081A757}"/>
            </c:ext>
          </c:extLst>
        </c:ser>
        <c:ser>
          <c:idx val="1"/>
          <c:order val="1"/>
          <c:tx>
            <c:strRef>
              <c:f>'8-8-11'!$E$3</c:f>
              <c:strCache>
                <c:ptCount val="1"/>
                <c:pt idx="0">
                  <c:v>Temp</c:v>
                </c:pt>
              </c:strCache>
            </c:strRef>
          </c:tx>
          <c:marker>
            <c:symbol val="none"/>
          </c:marker>
          <c:cat>
            <c:strRef>
              <c:f>'1-23-11'!$A$8:$A$22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'8-8-11'!$E$8:$E$22</c:f>
              <c:numCache>
                <c:formatCode>General</c:formatCode>
                <c:ptCount val="15"/>
                <c:pt idx="0">
                  <c:v>22.8</c:v>
                </c:pt>
                <c:pt idx="1">
                  <c:v>22.8</c:v>
                </c:pt>
                <c:pt idx="2">
                  <c:v>22.8</c:v>
                </c:pt>
                <c:pt idx="3">
                  <c:v>22.6</c:v>
                </c:pt>
                <c:pt idx="4">
                  <c:v>22.5</c:v>
                </c:pt>
                <c:pt idx="5">
                  <c:v>22.5</c:v>
                </c:pt>
                <c:pt idx="6">
                  <c:v>22.4</c:v>
                </c:pt>
                <c:pt idx="7">
                  <c:v>22.3</c:v>
                </c:pt>
                <c:pt idx="8">
                  <c:v>22.3</c:v>
                </c:pt>
                <c:pt idx="9">
                  <c:v>22.2</c:v>
                </c:pt>
                <c:pt idx="10">
                  <c:v>22.2</c:v>
                </c:pt>
                <c:pt idx="11">
                  <c:v>22.1</c:v>
                </c:pt>
                <c:pt idx="12">
                  <c:v>22</c:v>
                </c:pt>
                <c:pt idx="13">
                  <c:v>21.7</c:v>
                </c:pt>
                <c:pt idx="14">
                  <c:v>21.6</c:v>
                </c:pt>
              </c:numCache>
            </c:numRef>
          </c:val>
          <c:smooth val="0"/>
          <c:extLst>
            <c:ext xmlns:c16="http://schemas.microsoft.com/office/drawing/2014/chart" uri="{C3380CC4-5D6E-409C-BE32-E72D297353CC}">
              <c16:uniqueId val="{00000001-425A-4190-A02B-FDA85081A757}"/>
            </c:ext>
          </c:extLst>
        </c:ser>
        <c:dLbls>
          <c:showLegendKey val="0"/>
          <c:showVal val="0"/>
          <c:showCatName val="0"/>
          <c:showSerName val="0"/>
          <c:showPercent val="0"/>
          <c:showBubbleSize val="0"/>
        </c:dLbls>
        <c:smooth val="0"/>
        <c:axId val="154952448"/>
        <c:axId val="154953984"/>
      </c:lineChart>
      <c:catAx>
        <c:axId val="154952448"/>
        <c:scaling>
          <c:orientation val="minMax"/>
        </c:scaling>
        <c:delete val="0"/>
        <c:axPos val="b"/>
        <c:minorGridlines/>
        <c:numFmt formatCode="General" sourceLinked="0"/>
        <c:majorTickMark val="out"/>
        <c:minorTickMark val="none"/>
        <c:tickLblPos val="nextTo"/>
        <c:crossAx val="154953984"/>
        <c:crosses val="autoZero"/>
        <c:auto val="1"/>
        <c:lblAlgn val="ctr"/>
        <c:lblOffset val="100"/>
        <c:noMultiLvlLbl val="0"/>
      </c:catAx>
      <c:valAx>
        <c:axId val="154953984"/>
        <c:scaling>
          <c:orientation val="minMax"/>
        </c:scaling>
        <c:delete val="0"/>
        <c:axPos val="l"/>
        <c:majorGridlines/>
        <c:minorGridlines/>
        <c:numFmt formatCode="General" sourceLinked="1"/>
        <c:majorTickMark val="out"/>
        <c:minorTickMark val="none"/>
        <c:tickLblPos val="nextTo"/>
        <c:crossAx val="154952448"/>
        <c:crosses val="autoZero"/>
        <c:crossBetween val="midCat"/>
      </c:valAx>
    </c:plotArea>
    <c:legend>
      <c:legendPos val="r"/>
      <c:layout>
        <c:manualLayout>
          <c:xMode val="edge"/>
          <c:yMode val="edge"/>
          <c:x val="0.77242150182863822"/>
          <c:y val="0.40587137065948342"/>
          <c:w val="0.1474862204724488"/>
          <c:h val="0.15758530183727931"/>
        </c:manualLayout>
      </c:layout>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Dissolved Oxygen Profiles 8/8/2011</a:t>
            </a:r>
          </a:p>
        </c:rich>
      </c:tx>
      <c:overlay val="0"/>
    </c:title>
    <c:autoTitleDeleted val="0"/>
    <c:plotArea>
      <c:layout/>
      <c:lineChart>
        <c:grouping val="standard"/>
        <c:varyColors val="0"/>
        <c:ser>
          <c:idx val="0"/>
          <c:order val="0"/>
          <c:tx>
            <c:strRef>
              <c:f>'8-8-11'!$B$7</c:f>
              <c:strCache>
                <c:ptCount val="1"/>
                <c:pt idx="0">
                  <c:v>Site 40 (CP)</c:v>
                </c:pt>
              </c:strCache>
            </c:strRef>
          </c:tx>
          <c:cat>
            <c:strRef>
              <c:f>'8-8-11'!$A$8:$A$22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'8-8-11'!$D$8:$D$22</c:f>
              <c:numCache>
                <c:formatCode>General</c:formatCode>
                <c:ptCount val="15"/>
                <c:pt idx="0">
                  <c:v>6.64</c:v>
                </c:pt>
                <c:pt idx="1">
                  <c:v>6.47</c:v>
                </c:pt>
                <c:pt idx="2">
                  <c:v>6.52</c:v>
                </c:pt>
                <c:pt idx="3">
                  <c:v>6.34</c:v>
                </c:pt>
                <c:pt idx="4">
                  <c:v>6.39</c:v>
                </c:pt>
                <c:pt idx="5">
                  <c:v>6.35</c:v>
                </c:pt>
                <c:pt idx="6">
                  <c:v>6.32</c:v>
                </c:pt>
                <c:pt idx="7">
                  <c:v>6.19</c:v>
                </c:pt>
                <c:pt idx="8">
                  <c:v>6.18</c:v>
                </c:pt>
                <c:pt idx="9">
                  <c:v>6.02</c:v>
                </c:pt>
                <c:pt idx="10">
                  <c:v>5.34</c:v>
                </c:pt>
                <c:pt idx="11">
                  <c:v>5.38</c:v>
                </c:pt>
                <c:pt idx="12">
                  <c:v>5.04</c:v>
                </c:pt>
                <c:pt idx="13">
                  <c:v>5.67</c:v>
                </c:pt>
                <c:pt idx="14">
                  <c:v>5.41</c:v>
                </c:pt>
              </c:numCache>
            </c:numRef>
          </c:val>
          <c:smooth val="0"/>
          <c:extLst>
            <c:ext xmlns:c16="http://schemas.microsoft.com/office/drawing/2014/chart" uri="{C3380CC4-5D6E-409C-BE32-E72D297353CC}">
              <c16:uniqueId val="{00000000-FC0A-4F3D-87C4-1B43093A94C1}"/>
            </c:ext>
          </c:extLst>
        </c:ser>
        <c:ser>
          <c:idx val="1"/>
          <c:order val="1"/>
          <c:tx>
            <c:strRef>
              <c:f>'8-8-11'!$A$44</c:f>
              <c:strCache>
                <c:ptCount val="1"/>
                <c:pt idx="0">
                  <c:v>Site 41 (1)</c:v>
                </c:pt>
              </c:strCache>
            </c:strRef>
          </c:tx>
          <c:val>
            <c:numRef>
              <c:f>'8-8-11'!$D$45:$D$54</c:f>
              <c:numCache>
                <c:formatCode>General</c:formatCode>
                <c:ptCount val="10"/>
                <c:pt idx="0">
                  <c:v>6.59</c:v>
                </c:pt>
                <c:pt idx="1">
                  <c:v>6.4</c:v>
                </c:pt>
                <c:pt idx="2">
                  <c:v>6.47</c:v>
                </c:pt>
                <c:pt idx="3">
                  <c:v>6.16</c:v>
                </c:pt>
                <c:pt idx="4">
                  <c:v>6.02</c:v>
                </c:pt>
                <c:pt idx="5">
                  <c:v>5.92</c:v>
                </c:pt>
                <c:pt idx="6">
                  <c:v>5.93</c:v>
                </c:pt>
                <c:pt idx="7">
                  <c:v>5.71</c:v>
                </c:pt>
                <c:pt idx="8">
                  <c:v>5.57</c:v>
                </c:pt>
                <c:pt idx="9">
                  <c:v>4.8600000000000003</c:v>
                </c:pt>
              </c:numCache>
            </c:numRef>
          </c:val>
          <c:smooth val="0"/>
          <c:extLst>
            <c:ext xmlns:c16="http://schemas.microsoft.com/office/drawing/2014/chart" uri="{C3380CC4-5D6E-409C-BE32-E72D297353CC}">
              <c16:uniqueId val="{00000001-FC0A-4F3D-87C4-1B43093A94C1}"/>
            </c:ext>
          </c:extLst>
        </c:ser>
        <c:ser>
          <c:idx val="2"/>
          <c:order val="2"/>
          <c:tx>
            <c:strRef>
              <c:f>'8-8-11'!$A$58</c:f>
              <c:strCache>
                <c:ptCount val="1"/>
                <c:pt idx="0">
                  <c:v>Site 42 (3)</c:v>
                </c:pt>
              </c:strCache>
            </c:strRef>
          </c:tx>
          <c:val>
            <c:numRef>
              <c:f>'8-8-11'!$D$59:$D$67</c:f>
              <c:numCache>
                <c:formatCode>General</c:formatCode>
                <c:ptCount val="9"/>
                <c:pt idx="0">
                  <c:v>6.45</c:v>
                </c:pt>
                <c:pt idx="1">
                  <c:v>6.76</c:v>
                </c:pt>
                <c:pt idx="2">
                  <c:v>6.62</c:v>
                </c:pt>
                <c:pt idx="3">
                  <c:v>6.2</c:v>
                </c:pt>
                <c:pt idx="4">
                  <c:v>6.34</c:v>
                </c:pt>
                <c:pt idx="5">
                  <c:v>6.25</c:v>
                </c:pt>
                <c:pt idx="6">
                  <c:v>6.23</c:v>
                </c:pt>
                <c:pt idx="7">
                  <c:v>6.2</c:v>
                </c:pt>
                <c:pt idx="8">
                  <c:v>6.04</c:v>
                </c:pt>
              </c:numCache>
            </c:numRef>
          </c:val>
          <c:smooth val="0"/>
          <c:extLst>
            <c:ext xmlns:c16="http://schemas.microsoft.com/office/drawing/2014/chart" uri="{C3380CC4-5D6E-409C-BE32-E72D297353CC}">
              <c16:uniqueId val="{00000002-FC0A-4F3D-87C4-1B43093A94C1}"/>
            </c:ext>
          </c:extLst>
        </c:ser>
        <c:ser>
          <c:idx val="3"/>
          <c:order val="3"/>
          <c:tx>
            <c:strRef>
              <c:f>'8-8-11'!$A$72</c:f>
              <c:strCache>
                <c:ptCount val="1"/>
                <c:pt idx="0">
                  <c:v>Site 43 (4)</c:v>
                </c:pt>
              </c:strCache>
            </c:strRef>
          </c:tx>
          <c:val>
            <c:numRef>
              <c:f>'8-8-11'!$D$73:$D$80</c:f>
              <c:numCache>
                <c:formatCode>General</c:formatCode>
                <c:ptCount val="8"/>
                <c:pt idx="0">
                  <c:v>7.66</c:v>
                </c:pt>
                <c:pt idx="1">
                  <c:v>7.14</c:v>
                </c:pt>
                <c:pt idx="2">
                  <c:v>7.19</c:v>
                </c:pt>
                <c:pt idx="3">
                  <c:v>6.97</c:v>
                </c:pt>
                <c:pt idx="4">
                  <c:v>7.2</c:v>
                </c:pt>
                <c:pt idx="5">
                  <c:v>7.32</c:v>
                </c:pt>
                <c:pt idx="6">
                  <c:v>7.1</c:v>
                </c:pt>
                <c:pt idx="7">
                  <c:v>7.01</c:v>
                </c:pt>
              </c:numCache>
            </c:numRef>
          </c:val>
          <c:smooth val="0"/>
          <c:extLst>
            <c:ext xmlns:c16="http://schemas.microsoft.com/office/drawing/2014/chart" uri="{C3380CC4-5D6E-409C-BE32-E72D297353CC}">
              <c16:uniqueId val="{00000003-FC0A-4F3D-87C4-1B43093A94C1}"/>
            </c:ext>
          </c:extLst>
        </c:ser>
        <c:ser>
          <c:idx val="4"/>
          <c:order val="4"/>
          <c:tx>
            <c:strRef>
              <c:f>'8-8-11'!$A$83</c:f>
              <c:strCache>
                <c:ptCount val="1"/>
                <c:pt idx="0">
                  <c:v>Site 44 (5)</c:v>
                </c:pt>
              </c:strCache>
            </c:strRef>
          </c:tx>
          <c:val>
            <c:numRef>
              <c:f>'8-8-11'!$D$84:$D$94</c:f>
              <c:numCache>
                <c:formatCode>General</c:formatCode>
                <c:ptCount val="11"/>
                <c:pt idx="0">
                  <c:v>6.44</c:v>
                </c:pt>
                <c:pt idx="1">
                  <c:v>6.66</c:v>
                </c:pt>
                <c:pt idx="2">
                  <c:v>6.73</c:v>
                </c:pt>
                <c:pt idx="3">
                  <c:v>6.5</c:v>
                </c:pt>
                <c:pt idx="4">
                  <c:v>6.38</c:v>
                </c:pt>
                <c:pt idx="5">
                  <c:v>6.26</c:v>
                </c:pt>
                <c:pt idx="6">
                  <c:v>6.14</c:v>
                </c:pt>
                <c:pt idx="7">
                  <c:v>6.18</c:v>
                </c:pt>
                <c:pt idx="8">
                  <c:v>6.04</c:v>
                </c:pt>
                <c:pt idx="9">
                  <c:v>6.22</c:v>
                </c:pt>
                <c:pt idx="10">
                  <c:v>6.11</c:v>
                </c:pt>
              </c:numCache>
            </c:numRef>
          </c:val>
          <c:smooth val="0"/>
          <c:extLst>
            <c:ext xmlns:c16="http://schemas.microsoft.com/office/drawing/2014/chart" uri="{C3380CC4-5D6E-409C-BE32-E72D297353CC}">
              <c16:uniqueId val="{00000004-FC0A-4F3D-87C4-1B43093A94C1}"/>
            </c:ext>
          </c:extLst>
        </c:ser>
        <c:dLbls>
          <c:showLegendKey val="0"/>
          <c:showVal val="0"/>
          <c:showCatName val="0"/>
          <c:showSerName val="0"/>
          <c:showPercent val="0"/>
          <c:showBubbleSize val="0"/>
        </c:dLbls>
        <c:marker val="1"/>
        <c:smooth val="0"/>
        <c:axId val="154985600"/>
        <c:axId val="154987136"/>
      </c:lineChart>
      <c:catAx>
        <c:axId val="154985600"/>
        <c:scaling>
          <c:orientation val="minMax"/>
        </c:scaling>
        <c:delete val="0"/>
        <c:axPos val="b"/>
        <c:numFmt formatCode="General" sourceLinked="0"/>
        <c:majorTickMark val="none"/>
        <c:minorTickMark val="none"/>
        <c:tickLblPos val="nextTo"/>
        <c:crossAx val="154987136"/>
        <c:crosses val="autoZero"/>
        <c:auto val="1"/>
        <c:lblAlgn val="ctr"/>
        <c:lblOffset val="100"/>
        <c:noMultiLvlLbl val="0"/>
      </c:catAx>
      <c:valAx>
        <c:axId val="154987136"/>
        <c:scaling>
          <c:orientation val="minMax"/>
        </c:scaling>
        <c:delete val="0"/>
        <c:axPos val="l"/>
        <c:majorGridlines/>
        <c:title>
          <c:tx>
            <c:rich>
              <a:bodyPr/>
              <a:lstStyle/>
              <a:p>
                <a:pPr>
                  <a:defRPr/>
                </a:pPr>
                <a:r>
                  <a:rPr lang="en-US"/>
                  <a:t>DO mg/l</a:t>
                </a:r>
              </a:p>
            </c:rich>
          </c:tx>
          <c:overlay val="0"/>
        </c:title>
        <c:numFmt formatCode="General" sourceLinked="1"/>
        <c:majorTickMark val="none"/>
        <c:minorTickMark val="none"/>
        <c:tickLblPos val="nextTo"/>
        <c:crossAx val="154985600"/>
        <c:crosses val="autoZero"/>
        <c:crossBetween val="between"/>
      </c:valAx>
    </c:plotArea>
    <c:legend>
      <c:legendPos val="r"/>
      <c:layout>
        <c:manualLayout>
          <c:xMode val="edge"/>
          <c:yMode val="edge"/>
          <c:x val="0.80383606722756107"/>
          <c:y val="0.22371135899679526"/>
          <c:w val="0.18321943083608885"/>
          <c:h val="0.44848495500562696"/>
        </c:manualLayout>
      </c:layout>
      <c:overlay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Specific Conductance Profiles 8/8/2011</a:t>
            </a:r>
          </a:p>
        </c:rich>
      </c:tx>
      <c:layout>
        <c:manualLayout>
          <c:xMode val="edge"/>
          <c:yMode val="edge"/>
          <c:x val="0.14230270671238793"/>
          <c:y val="2.4084778420038592E-2"/>
        </c:manualLayout>
      </c:layout>
      <c:overlay val="0"/>
    </c:title>
    <c:autoTitleDeleted val="0"/>
    <c:plotArea>
      <c:layout/>
      <c:lineChart>
        <c:grouping val="standard"/>
        <c:varyColors val="0"/>
        <c:ser>
          <c:idx val="0"/>
          <c:order val="0"/>
          <c:tx>
            <c:strRef>
              <c:f>'8-8-11'!$B$7</c:f>
              <c:strCache>
                <c:ptCount val="1"/>
                <c:pt idx="0">
                  <c:v>Site 40 (CP)</c:v>
                </c:pt>
              </c:strCache>
            </c:strRef>
          </c:tx>
          <c:cat>
            <c:strRef>
              <c:f>'8-8-11'!$A$8:$A$22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'8-8-11'!$C$8:$C$22</c:f>
              <c:numCache>
                <c:formatCode>General</c:formatCode>
                <c:ptCount val="15"/>
                <c:pt idx="0">
                  <c:v>0.17299999999999999</c:v>
                </c:pt>
                <c:pt idx="1">
                  <c:v>0.185</c:v>
                </c:pt>
                <c:pt idx="2">
                  <c:v>0.16800000000000001</c:v>
                </c:pt>
                <c:pt idx="3">
                  <c:v>0.27900000000000003</c:v>
                </c:pt>
                <c:pt idx="4">
                  <c:v>0.27100000000000002</c:v>
                </c:pt>
                <c:pt idx="5">
                  <c:v>0.27400000000000002</c:v>
                </c:pt>
                <c:pt idx="6">
                  <c:v>0.27400000000000002</c:v>
                </c:pt>
                <c:pt idx="7">
                  <c:v>0.27400000000000002</c:v>
                </c:pt>
                <c:pt idx="8">
                  <c:v>0.27400000000000002</c:v>
                </c:pt>
                <c:pt idx="9">
                  <c:v>0.27400000000000002</c:v>
                </c:pt>
                <c:pt idx="10">
                  <c:v>0.27500000000000002</c:v>
                </c:pt>
                <c:pt idx="11">
                  <c:v>0.27400000000000002</c:v>
                </c:pt>
                <c:pt idx="12">
                  <c:v>0.27400000000000002</c:v>
                </c:pt>
                <c:pt idx="13">
                  <c:v>0.27500000000000002</c:v>
                </c:pt>
                <c:pt idx="14">
                  <c:v>0.27700000000000002</c:v>
                </c:pt>
              </c:numCache>
            </c:numRef>
          </c:val>
          <c:smooth val="0"/>
          <c:extLst>
            <c:ext xmlns:c16="http://schemas.microsoft.com/office/drawing/2014/chart" uri="{C3380CC4-5D6E-409C-BE32-E72D297353CC}">
              <c16:uniqueId val="{00000000-84FE-471B-B276-E7CD03A0E912}"/>
            </c:ext>
          </c:extLst>
        </c:ser>
        <c:ser>
          <c:idx val="1"/>
          <c:order val="1"/>
          <c:tx>
            <c:strRef>
              <c:f>'8-8-11'!$A$44</c:f>
              <c:strCache>
                <c:ptCount val="1"/>
                <c:pt idx="0">
                  <c:v>Site 41 (1)</c:v>
                </c:pt>
              </c:strCache>
            </c:strRef>
          </c:tx>
          <c:cat>
            <c:strRef>
              <c:f>'8-8-11'!$A$8:$A$22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'8-8-11'!$C$45:$C$54</c:f>
              <c:numCache>
                <c:formatCode>General</c:formatCode>
                <c:ptCount val="10"/>
                <c:pt idx="0">
                  <c:v>0.27600000000000002</c:v>
                </c:pt>
                <c:pt idx="1">
                  <c:v>0.27700000000000002</c:v>
                </c:pt>
                <c:pt idx="2">
                  <c:v>0.27700000000000002</c:v>
                </c:pt>
                <c:pt idx="3">
                  <c:v>0.27700000000000002</c:v>
                </c:pt>
                <c:pt idx="4">
                  <c:v>0.27700000000000002</c:v>
                </c:pt>
                <c:pt idx="5">
                  <c:v>0.27600000000000002</c:v>
                </c:pt>
                <c:pt idx="6">
                  <c:v>0.27600000000000002</c:v>
                </c:pt>
                <c:pt idx="7">
                  <c:v>0.27700000000000002</c:v>
                </c:pt>
                <c:pt idx="8">
                  <c:v>0.27700000000000002</c:v>
                </c:pt>
                <c:pt idx="9">
                  <c:v>0.27900000000000003</c:v>
                </c:pt>
              </c:numCache>
            </c:numRef>
          </c:val>
          <c:smooth val="0"/>
          <c:extLst>
            <c:ext xmlns:c16="http://schemas.microsoft.com/office/drawing/2014/chart" uri="{C3380CC4-5D6E-409C-BE32-E72D297353CC}">
              <c16:uniqueId val="{00000001-84FE-471B-B276-E7CD03A0E912}"/>
            </c:ext>
          </c:extLst>
        </c:ser>
        <c:ser>
          <c:idx val="2"/>
          <c:order val="2"/>
          <c:tx>
            <c:strRef>
              <c:f>'8-8-11'!$A$58</c:f>
              <c:strCache>
                <c:ptCount val="1"/>
                <c:pt idx="0">
                  <c:v>Site 42 (3)</c:v>
                </c:pt>
              </c:strCache>
            </c:strRef>
          </c:tx>
          <c:cat>
            <c:strRef>
              <c:f>'8-8-11'!$A$8:$A$22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'8-8-11'!$C$59:$C$67</c:f>
              <c:numCache>
                <c:formatCode>General</c:formatCode>
                <c:ptCount val="9"/>
                <c:pt idx="0">
                  <c:v>0.27700000000000002</c:v>
                </c:pt>
                <c:pt idx="1">
                  <c:v>0.27700000000000002</c:v>
                </c:pt>
                <c:pt idx="2">
                  <c:v>0.27700000000000002</c:v>
                </c:pt>
                <c:pt idx="3">
                  <c:v>0.27700000000000002</c:v>
                </c:pt>
                <c:pt idx="4">
                  <c:v>0.27600000000000002</c:v>
                </c:pt>
                <c:pt idx="5">
                  <c:v>0.27700000000000002</c:v>
                </c:pt>
                <c:pt idx="6">
                  <c:v>0.27700000000000002</c:v>
                </c:pt>
                <c:pt idx="7">
                  <c:v>0.27700000000000002</c:v>
                </c:pt>
                <c:pt idx="8">
                  <c:v>0.27800000000000002</c:v>
                </c:pt>
              </c:numCache>
            </c:numRef>
          </c:val>
          <c:smooth val="0"/>
          <c:extLst>
            <c:ext xmlns:c16="http://schemas.microsoft.com/office/drawing/2014/chart" uri="{C3380CC4-5D6E-409C-BE32-E72D297353CC}">
              <c16:uniqueId val="{00000002-84FE-471B-B276-E7CD03A0E912}"/>
            </c:ext>
          </c:extLst>
        </c:ser>
        <c:ser>
          <c:idx val="3"/>
          <c:order val="3"/>
          <c:tx>
            <c:strRef>
              <c:f>'8-8-11'!$A$72</c:f>
              <c:strCache>
                <c:ptCount val="1"/>
                <c:pt idx="0">
                  <c:v>Site 43 (4)</c:v>
                </c:pt>
              </c:strCache>
            </c:strRef>
          </c:tx>
          <c:cat>
            <c:strRef>
              <c:f>'8-8-11'!$A$8:$A$22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'8-8-11'!$C$73:$C$80</c:f>
              <c:numCache>
                <c:formatCode>General</c:formatCode>
                <c:ptCount val="8"/>
                <c:pt idx="0">
                  <c:v>0.27800000000000002</c:v>
                </c:pt>
                <c:pt idx="1">
                  <c:v>0.27800000000000002</c:v>
                </c:pt>
                <c:pt idx="2">
                  <c:v>0.27800000000000002</c:v>
                </c:pt>
                <c:pt idx="3">
                  <c:v>0.27800000000000002</c:v>
                </c:pt>
                <c:pt idx="4">
                  <c:v>0.27800000000000002</c:v>
                </c:pt>
                <c:pt idx="5">
                  <c:v>0.27800000000000002</c:v>
                </c:pt>
                <c:pt idx="6">
                  <c:v>0.27800000000000002</c:v>
                </c:pt>
                <c:pt idx="7">
                  <c:v>0.27900000000000003</c:v>
                </c:pt>
              </c:numCache>
            </c:numRef>
          </c:val>
          <c:smooth val="0"/>
          <c:extLst>
            <c:ext xmlns:c16="http://schemas.microsoft.com/office/drawing/2014/chart" uri="{C3380CC4-5D6E-409C-BE32-E72D297353CC}">
              <c16:uniqueId val="{00000003-84FE-471B-B276-E7CD03A0E912}"/>
            </c:ext>
          </c:extLst>
        </c:ser>
        <c:ser>
          <c:idx val="4"/>
          <c:order val="4"/>
          <c:tx>
            <c:strRef>
              <c:f>'8-8-11'!$A$83</c:f>
              <c:strCache>
                <c:ptCount val="1"/>
                <c:pt idx="0">
                  <c:v>Site 44 (5)</c:v>
                </c:pt>
              </c:strCache>
            </c:strRef>
          </c:tx>
          <c:cat>
            <c:strRef>
              <c:f>'8-8-11'!$A$8:$A$22</c:f>
              <c:strCache>
                <c:ptCount val="15"/>
                <c:pt idx="0">
                  <c:v>1/2m</c:v>
                </c:pt>
                <c:pt idx="1">
                  <c:v>1m</c:v>
                </c:pt>
                <c:pt idx="2">
                  <c:v>1 1/2m</c:v>
                </c:pt>
                <c:pt idx="3">
                  <c:v>2m</c:v>
                </c:pt>
                <c:pt idx="4">
                  <c:v>2 1/2m</c:v>
                </c:pt>
                <c:pt idx="5">
                  <c:v>3m</c:v>
                </c:pt>
                <c:pt idx="6">
                  <c:v>3 1/2m</c:v>
                </c:pt>
                <c:pt idx="7">
                  <c:v>4m</c:v>
                </c:pt>
                <c:pt idx="8">
                  <c:v>5m</c:v>
                </c:pt>
                <c:pt idx="9">
                  <c:v>6m</c:v>
                </c:pt>
                <c:pt idx="10">
                  <c:v>7m</c:v>
                </c:pt>
                <c:pt idx="11">
                  <c:v>8m</c:v>
                </c:pt>
                <c:pt idx="12">
                  <c:v>9m</c:v>
                </c:pt>
                <c:pt idx="13">
                  <c:v>10m</c:v>
                </c:pt>
                <c:pt idx="14">
                  <c:v>11m</c:v>
                </c:pt>
              </c:strCache>
            </c:strRef>
          </c:cat>
          <c:val>
            <c:numRef>
              <c:f>'8-8-11'!$C$84:$C$94</c:f>
              <c:numCache>
                <c:formatCode>General</c:formatCode>
                <c:ptCount val="11"/>
                <c:pt idx="0">
                  <c:v>0.27700000000000002</c:v>
                </c:pt>
                <c:pt idx="1">
                  <c:v>0.27700000000000002</c:v>
                </c:pt>
                <c:pt idx="2">
                  <c:v>0.27500000000000002</c:v>
                </c:pt>
                <c:pt idx="3">
                  <c:v>0.27500000000000002</c:v>
                </c:pt>
                <c:pt idx="4">
                  <c:v>0.27500000000000002</c:v>
                </c:pt>
                <c:pt idx="5">
                  <c:v>0.27500000000000002</c:v>
                </c:pt>
                <c:pt idx="6">
                  <c:v>0.27500000000000002</c:v>
                </c:pt>
                <c:pt idx="7">
                  <c:v>0.27500000000000002</c:v>
                </c:pt>
                <c:pt idx="8">
                  <c:v>0.27500000000000002</c:v>
                </c:pt>
                <c:pt idx="9">
                  <c:v>0.27500000000000002</c:v>
                </c:pt>
                <c:pt idx="10">
                  <c:v>0.27600000000000002</c:v>
                </c:pt>
              </c:numCache>
            </c:numRef>
          </c:val>
          <c:smooth val="0"/>
          <c:extLst>
            <c:ext xmlns:c16="http://schemas.microsoft.com/office/drawing/2014/chart" uri="{C3380CC4-5D6E-409C-BE32-E72D297353CC}">
              <c16:uniqueId val="{00000004-84FE-471B-B276-E7CD03A0E912}"/>
            </c:ext>
          </c:extLst>
        </c:ser>
        <c:dLbls>
          <c:showLegendKey val="0"/>
          <c:showVal val="0"/>
          <c:showCatName val="0"/>
          <c:showSerName val="0"/>
          <c:showPercent val="0"/>
          <c:showBubbleSize val="0"/>
        </c:dLbls>
        <c:marker val="1"/>
        <c:smooth val="0"/>
        <c:axId val="155117440"/>
        <c:axId val="155118976"/>
      </c:lineChart>
      <c:catAx>
        <c:axId val="155117440"/>
        <c:scaling>
          <c:orientation val="minMax"/>
        </c:scaling>
        <c:delete val="0"/>
        <c:axPos val="b"/>
        <c:numFmt formatCode="General" sourceLinked="0"/>
        <c:majorTickMark val="none"/>
        <c:minorTickMark val="none"/>
        <c:tickLblPos val="nextTo"/>
        <c:crossAx val="155118976"/>
        <c:crosses val="autoZero"/>
        <c:auto val="1"/>
        <c:lblAlgn val="ctr"/>
        <c:lblOffset val="100"/>
        <c:noMultiLvlLbl val="0"/>
      </c:catAx>
      <c:valAx>
        <c:axId val="155118976"/>
        <c:scaling>
          <c:orientation val="minMax"/>
        </c:scaling>
        <c:delete val="0"/>
        <c:axPos val="l"/>
        <c:majorGridlines/>
        <c:minorGridlines/>
        <c:title>
          <c:tx>
            <c:rich>
              <a:bodyPr/>
              <a:lstStyle/>
              <a:p>
                <a:pPr>
                  <a:defRPr/>
                </a:pPr>
                <a:r>
                  <a:rPr lang="en-US"/>
                  <a:t>SC (us)</a:t>
                </a:r>
              </a:p>
            </c:rich>
          </c:tx>
          <c:overlay val="0"/>
        </c:title>
        <c:numFmt formatCode="General" sourceLinked="1"/>
        <c:majorTickMark val="none"/>
        <c:minorTickMark val="none"/>
        <c:tickLblPos val="nextTo"/>
        <c:crossAx val="155117440"/>
        <c:crosses val="autoZero"/>
        <c:crossBetween val="between"/>
      </c:valAx>
    </c:plotArea>
    <c:legend>
      <c:legendPos val="r"/>
      <c:overlay val="0"/>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legend>
    <c:plotVisOnly val="1"/>
    <c:dispBlanksAs val="gap"/>
    <c:showDLblsOverMax val="0"/>
  </c:chart>
  <c:printSettings>
    <c:headerFooter/>
    <c:pageMargins b="0.75000000000001044" l="0.70000000000000062" r="0.70000000000000062" t="0.75000000000001044"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4" Type="http://schemas.openxmlformats.org/officeDocument/2006/relationships/chart" Target="../charts/chart8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4" Type="http://schemas.openxmlformats.org/officeDocument/2006/relationships/chart" Target="../charts/chart9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4" Type="http://schemas.openxmlformats.org/officeDocument/2006/relationships/chart" Target="../charts/chart9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4" Type="http://schemas.openxmlformats.org/officeDocument/2006/relationships/chart" Target="../charts/chart100.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4" Type="http://schemas.openxmlformats.org/officeDocument/2006/relationships/chart" Target="../charts/chart104.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 Id="rId4" Type="http://schemas.openxmlformats.org/officeDocument/2006/relationships/chart" Target="../charts/chart108.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4" Type="http://schemas.openxmlformats.org/officeDocument/2006/relationships/chart" Target="../charts/chart1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 Id="rId4" Type="http://schemas.openxmlformats.org/officeDocument/2006/relationships/chart" Target="../charts/chart116.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4" Type="http://schemas.openxmlformats.org/officeDocument/2006/relationships/chart" Target="../charts/chart12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4" Type="http://schemas.openxmlformats.org/officeDocument/2006/relationships/chart" Target="../charts/chart124.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 Id="rId4" Type="http://schemas.openxmlformats.org/officeDocument/2006/relationships/chart" Target="../charts/chart12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 Id="rId4" Type="http://schemas.openxmlformats.org/officeDocument/2006/relationships/chart" Target="../charts/chart1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4" Type="http://schemas.openxmlformats.org/officeDocument/2006/relationships/chart" Target="../charts/chart13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chart" Target="../charts/chart14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0</xdr:col>
      <xdr:colOff>238125</xdr:colOff>
      <xdr:row>0</xdr:row>
      <xdr:rowOff>123825</xdr:rowOff>
    </xdr:from>
    <xdr:to>
      <xdr:col>16</xdr:col>
      <xdr:colOff>9525</xdr:colOff>
      <xdr:row>45</xdr:row>
      <xdr:rowOff>85725</xdr:rowOff>
    </xdr:to>
    <xdr:pic>
      <xdr:nvPicPr>
        <xdr:cNvPr id="2" name="Picture 2" descr="bclp_water qual_sample-site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8125" y="123825"/>
          <a:ext cx="9525000" cy="7248525"/>
        </a:xfrm>
        <a:prstGeom prst="rect">
          <a:avLst/>
        </a:prstGeom>
        <a:noFill/>
        <a:ln w="9525">
          <a:noFill/>
          <a:miter lim="800000"/>
          <a:headEnd/>
          <a:tailEnd/>
        </a:ln>
      </xdr:spPr>
    </xdr:pic>
    <xdr:clientData/>
  </xdr:twoCellAnchor>
</xdr:wsDr>
</file>

<file path=xl/drawings/drawing10.xml><?xml version="1.0" encoding="utf-8"?>
<c:userShapes xmlns:c="http://schemas.openxmlformats.org/drawingml/2006/chart">
  <cdr:relSizeAnchor xmlns:cdr="http://schemas.openxmlformats.org/drawingml/2006/chartDrawing">
    <cdr:from>
      <cdr:x>0.32385</cdr:x>
      <cdr:y>0.5757</cdr:y>
    </cdr:from>
    <cdr:to>
      <cdr:x>0.32385</cdr:x>
      <cdr:y>0.5757</cdr:y>
    </cdr:to>
    <cdr:sp macro="" textlink="">
      <cdr:nvSpPr>
        <cdr:cNvPr id="10241" name="Text Box 1"/>
        <cdr:cNvSpPr txBox="1">
          <a:spLocks xmlns:a="http://schemas.openxmlformats.org/drawingml/2006/main" noChangeArrowheads="1"/>
        </cdr:cNvSpPr>
      </cdr:nvSpPr>
      <cdr:spPr bwMode="auto">
        <a:xfrm xmlns:a="http://schemas.openxmlformats.org/drawingml/2006/main">
          <a:off x="1940350" y="186209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900" b="0" i="0" strike="noStrike">
              <a:solidFill>
                <a:srgbClr val="000000"/>
              </a:solidFill>
              <a:latin typeface="Arial"/>
              <a:cs typeface="Arial"/>
            </a:rPr>
            <a:t>Mesotrophic/Eutrophic Boundary</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209550</xdr:colOff>
      <xdr:row>23</xdr:row>
      <xdr:rowOff>142875</xdr:rowOff>
    </xdr:from>
    <xdr:to>
      <xdr:col>10</xdr:col>
      <xdr:colOff>147411</xdr:colOff>
      <xdr:row>45</xdr:row>
      <xdr:rowOff>85725</xdr:rowOff>
    </xdr:to>
    <xdr:graphicFrame macro="">
      <xdr:nvGraphicFramePr>
        <xdr:cNvPr id="11437" name="Chart 1">
          <a:extLst>
            <a:ext uri="{FF2B5EF4-FFF2-40B4-BE49-F238E27FC236}">
              <a16:creationId xmlns:a16="http://schemas.microsoft.com/office/drawing/2014/main" id="{00000000-0008-0000-0800-0000AD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521608</xdr:colOff>
      <xdr:row>24</xdr:row>
      <xdr:rowOff>90714</xdr:rowOff>
    </xdr:from>
    <xdr:to>
      <xdr:col>19</xdr:col>
      <xdr:colOff>170089</xdr:colOff>
      <xdr:row>45</xdr:row>
      <xdr:rowOff>90714</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209550</xdr:colOff>
      <xdr:row>23</xdr:row>
      <xdr:rowOff>142875</xdr:rowOff>
    </xdr:from>
    <xdr:to>
      <xdr:col>10</xdr:col>
      <xdr:colOff>147411</xdr:colOff>
      <xdr:row>45</xdr:row>
      <xdr:rowOff>85725</xdr:rowOff>
    </xdr:to>
    <xdr:graphicFrame macro="">
      <xdr:nvGraphicFramePr>
        <xdr:cNvPr id="5" name="Chart 1">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446312</xdr:colOff>
      <xdr:row>54</xdr:row>
      <xdr:rowOff>445861</xdr:rowOff>
    </xdr:from>
    <xdr:to>
      <xdr:col>14</xdr:col>
      <xdr:colOff>680357</xdr:colOff>
      <xdr:row>76</xdr:row>
      <xdr:rowOff>90714</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473075</xdr:colOff>
      <xdr:row>24</xdr:row>
      <xdr:rowOff>35560</xdr:rowOff>
    </xdr:from>
    <xdr:to>
      <xdr:col>24</xdr:col>
      <xdr:colOff>419100</xdr:colOff>
      <xdr:row>49</xdr:row>
      <xdr:rowOff>60960</xdr:rowOff>
    </xdr:to>
    <xdr:graphicFrame macro="">
      <xdr:nvGraphicFramePr>
        <xdr:cNvPr id="23721" name="Chart 1">
          <a:extLst>
            <a:ext uri="{FF2B5EF4-FFF2-40B4-BE49-F238E27FC236}">
              <a16:creationId xmlns:a16="http://schemas.microsoft.com/office/drawing/2014/main" id="{00000000-0008-0000-0900-0000A9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154940</xdr:colOff>
      <xdr:row>23</xdr:row>
      <xdr:rowOff>137160</xdr:rowOff>
    </xdr:from>
    <xdr:to>
      <xdr:col>12</xdr:col>
      <xdr:colOff>66040</xdr:colOff>
      <xdr:row>49</xdr:row>
      <xdr:rowOff>50799</xdr:rowOff>
    </xdr:to>
    <xdr:graphicFrame macro="">
      <xdr:nvGraphicFramePr>
        <xdr:cNvPr id="23722" name="Chart 2">
          <a:extLst>
            <a:ext uri="{FF2B5EF4-FFF2-40B4-BE49-F238E27FC236}">
              <a16:creationId xmlns:a16="http://schemas.microsoft.com/office/drawing/2014/main" id="{00000000-0008-0000-0900-0000AA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475614</xdr:colOff>
      <xdr:row>25</xdr:row>
      <xdr:rowOff>145414</xdr:rowOff>
    </xdr:from>
    <xdr:to>
      <xdr:col>22</xdr:col>
      <xdr:colOff>911860</xdr:colOff>
      <xdr:row>50</xdr:row>
      <xdr:rowOff>121920</xdr:rowOff>
    </xdr:to>
    <xdr:graphicFrame macro="">
      <xdr:nvGraphicFramePr>
        <xdr:cNvPr id="29865" name="Chart 1">
          <a:extLst>
            <a:ext uri="{FF2B5EF4-FFF2-40B4-BE49-F238E27FC236}">
              <a16:creationId xmlns:a16="http://schemas.microsoft.com/office/drawing/2014/main" id="{00000000-0008-0000-0A00-0000A97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273050</xdr:colOff>
      <xdr:row>25</xdr:row>
      <xdr:rowOff>87630</xdr:rowOff>
    </xdr:from>
    <xdr:to>
      <xdr:col>13</xdr:col>
      <xdr:colOff>325120</xdr:colOff>
      <xdr:row>50</xdr:row>
      <xdr:rowOff>93980</xdr:rowOff>
    </xdr:to>
    <xdr:graphicFrame macro="">
      <xdr:nvGraphicFramePr>
        <xdr:cNvPr id="29866" name="Chart 2">
          <a:extLst>
            <a:ext uri="{FF2B5EF4-FFF2-40B4-BE49-F238E27FC236}">
              <a16:creationId xmlns:a16="http://schemas.microsoft.com/office/drawing/2014/main" id="{00000000-0008-0000-0A00-0000AA7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266700</xdr:colOff>
      <xdr:row>28</xdr:row>
      <xdr:rowOff>76200</xdr:rowOff>
    </xdr:from>
    <xdr:to>
      <xdr:col>10</xdr:col>
      <xdr:colOff>495300</xdr:colOff>
      <xdr:row>56</xdr:row>
      <xdr:rowOff>88900</xdr:rowOff>
    </xdr:to>
    <xdr:graphicFrame macro="">
      <xdr:nvGraphicFramePr>
        <xdr:cNvPr id="24661" name="Chart 1">
          <a:extLst>
            <a:ext uri="{FF2B5EF4-FFF2-40B4-BE49-F238E27FC236}">
              <a16:creationId xmlns:a16="http://schemas.microsoft.com/office/drawing/2014/main" id="{00000000-0008-0000-0B00-000055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190500</xdr:colOff>
      <xdr:row>28</xdr:row>
      <xdr:rowOff>38100</xdr:rowOff>
    </xdr:from>
    <xdr:to>
      <xdr:col>22</xdr:col>
      <xdr:colOff>419100</xdr:colOff>
      <xdr:row>56</xdr:row>
      <xdr:rowOff>139700</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1041400</xdr:colOff>
      <xdr:row>28</xdr:row>
      <xdr:rowOff>28574</xdr:rowOff>
    </xdr:from>
    <xdr:to>
      <xdr:col>14</xdr:col>
      <xdr:colOff>88900</xdr:colOff>
      <xdr:row>58</xdr:row>
      <xdr:rowOff>88900</xdr:rowOff>
    </xdr:to>
    <xdr:graphicFrame macro="">
      <xdr:nvGraphicFramePr>
        <xdr:cNvPr id="17493" name="Chart 1">
          <a:extLst>
            <a:ext uri="{FF2B5EF4-FFF2-40B4-BE49-F238E27FC236}">
              <a16:creationId xmlns:a16="http://schemas.microsoft.com/office/drawing/2014/main" id="{00000000-0008-0000-0C00-00005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355600</xdr:colOff>
      <xdr:row>21</xdr:row>
      <xdr:rowOff>3174</xdr:rowOff>
    </xdr:from>
    <xdr:to>
      <xdr:col>12</xdr:col>
      <xdr:colOff>533400</xdr:colOff>
      <xdr:row>41</xdr:row>
      <xdr:rowOff>88900</xdr:rowOff>
    </xdr:to>
    <xdr:graphicFrame macro="">
      <xdr:nvGraphicFramePr>
        <xdr:cNvPr id="33963" name="Chart 1">
          <a:extLst>
            <a:ext uri="{FF2B5EF4-FFF2-40B4-BE49-F238E27FC236}">
              <a16:creationId xmlns:a16="http://schemas.microsoft.com/office/drawing/2014/main" id="{00000000-0008-0000-0D00-0000AB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177801</xdr:colOff>
      <xdr:row>21</xdr:row>
      <xdr:rowOff>63500</xdr:rowOff>
    </xdr:from>
    <xdr:to>
      <xdr:col>24</xdr:col>
      <xdr:colOff>457201</xdr:colOff>
      <xdr:row>41</xdr:row>
      <xdr:rowOff>101600</xdr:rowOff>
    </xdr:to>
    <xdr:graphicFrame macro="">
      <xdr:nvGraphicFramePr>
        <xdr:cNvPr id="33964" name="Chart 2">
          <a:extLst>
            <a:ext uri="{FF2B5EF4-FFF2-40B4-BE49-F238E27FC236}">
              <a16:creationId xmlns:a16="http://schemas.microsoft.com/office/drawing/2014/main" id="{00000000-0008-0000-0D00-0000AC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876300</xdr:colOff>
      <xdr:row>61</xdr:row>
      <xdr:rowOff>38100</xdr:rowOff>
    </xdr:from>
    <xdr:to>
      <xdr:col>14</xdr:col>
      <xdr:colOff>25400</xdr:colOff>
      <xdr:row>83</xdr:row>
      <xdr:rowOff>88900</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330200</xdr:colOff>
      <xdr:row>34</xdr:row>
      <xdr:rowOff>63500</xdr:rowOff>
    </xdr:from>
    <xdr:to>
      <xdr:col>9</xdr:col>
      <xdr:colOff>758825</xdr:colOff>
      <xdr:row>60</xdr:row>
      <xdr:rowOff>0</xdr:rowOff>
    </xdr:to>
    <xdr:graphicFrame macro="">
      <xdr:nvGraphicFramePr>
        <xdr:cNvPr id="28757" name="Chart 1">
          <a:extLst>
            <a:ext uri="{FF2B5EF4-FFF2-40B4-BE49-F238E27FC236}">
              <a16:creationId xmlns:a16="http://schemas.microsoft.com/office/drawing/2014/main" id="{00000000-0008-0000-0E00-000055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546100</xdr:colOff>
      <xdr:row>34</xdr:row>
      <xdr:rowOff>139700</xdr:rowOff>
    </xdr:from>
    <xdr:to>
      <xdr:col>23</xdr:col>
      <xdr:colOff>127000</xdr:colOff>
      <xdr:row>60</xdr:row>
      <xdr:rowOff>101600</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663575</xdr:colOff>
      <xdr:row>21</xdr:row>
      <xdr:rowOff>41274</xdr:rowOff>
    </xdr:from>
    <xdr:to>
      <xdr:col>12</xdr:col>
      <xdr:colOff>431800</xdr:colOff>
      <xdr:row>46</xdr:row>
      <xdr:rowOff>76199</xdr:rowOff>
    </xdr:to>
    <xdr:graphicFrame macro="">
      <xdr:nvGraphicFramePr>
        <xdr:cNvPr id="18517" name="Chart 1">
          <a:extLst>
            <a:ext uri="{FF2B5EF4-FFF2-40B4-BE49-F238E27FC236}">
              <a16:creationId xmlns:a16="http://schemas.microsoft.com/office/drawing/2014/main" id="{00000000-0008-0000-0F00-00005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161925</xdr:colOff>
      <xdr:row>17</xdr:row>
      <xdr:rowOff>19050</xdr:rowOff>
    </xdr:from>
    <xdr:to>
      <xdr:col>21</xdr:col>
      <xdr:colOff>9525</xdr:colOff>
      <xdr:row>40</xdr:row>
      <xdr:rowOff>127000</xdr:rowOff>
    </xdr:to>
    <xdr:graphicFrame macro="">
      <xdr:nvGraphicFramePr>
        <xdr:cNvPr id="12457" name="Chart 1">
          <a:extLst>
            <a:ext uri="{FF2B5EF4-FFF2-40B4-BE49-F238E27FC236}">
              <a16:creationId xmlns:a16="http://schemas.microsoft.com/office/drawing/2014/main" id="{00000000-0008-0000-1000-0000A9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469900</xdr:colOff>
      <xdr:row>17</xdr:row>
      <xdr:rowOff>34924</xdr:rowOff>
    </xdr:from>
    <xdr:to>
      <xdr:col>9</xdr:col>
      <xdr:colOff>746125</xdr:colOff>
      <xdr:row>41</xdr:row>
      <xdr:rowOff>12700</xdr:rowOff>
    </xdr:to>
    <xdr:graphicFrame macro="">
      <xdr:nvGraphicFramePr>
        <xdr:cNvPr id="12458" name="Chart 2">
          <a:extLst>
            <a:ext uri="{FF2B5EF4-FFF2-40B4-BE49-F238E27FC236}">
              <a16:creationId xmlns:a16="http://schemas.microsoft.com/office/drawing/2014/main" id="{00000000-0008-0000-1000-0000AA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19</xdr:row>
      <xdr:rowOff>123825</xdr:rowOff>
    </xdr:from>
    <xdr:to>
      <xdr:col>12</xdr:col>
      <xdr:colOff>114300</xdr:colOff>
      <xdr:row>34</xdr:row>
      <xdr:rowOff>38100</xdr:rowOff>
    </xdr:to>
    <xdr:graphicFrame macro="">
      <xdr:nvGraphicFramePr>
        <xdr:cNvPr id="1445" name="Chart 1">
          <a:extLst>
            <a:ext uri="{FF2B5EF4-FFF2-40B4-BE49-F238E27FC236}">
              <a16:creationId xmlns:a16="http://schemas.microsoft.com/office/drawing/2014/main" id="{00000000-0008-0000-0200-0000A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19</xdr:row>
      <xdr:rowOff>123825</xdr:rowOff>
    </xdr:from>
    <xdr:to>
      <xdr:col>15</xdr:col>
      <xdr:colOff>314325</xdr:colOff>
      <xdr:row>34</xdr:row>
      <xdr:rowOff>38100</xdr:rowOff>
    </xdr:to>
    <xdr:graphicFrame macro="">
      <xdr:nvGraphicFramePr>
        <xdr:cNvPr id="7" name="Chart 1">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276225</xdr:colOff>
      <xdr:row>52</xdr:row>
      <xdr:rowOff>0</xdr:rowOff>
    </xdr:from>
    <xdr:to>
      <xdr:col>16</xdr:col>
      <xdr:colOff>152400</xdr:colOff>
      <xdr:row>67</xdr:row>
      <xdr:rowOff>95250</xdr:rowOff>
    </xdr:to>
    <xdr:graphicFrame macro="">
      <xdr:nvGraphicFramePr>
        <xdr:cNvPr id="8" name="Chart 2">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285749</xdr:colOff>
      <xdr:row>34</xdr:row>
      <xdr:rowOff>152401</xdr:rowOff>
    </xdr:from>
    <xdr:to>
      <xdr:col>15</xdr:col>
      <xdr:colOff>333374</xdr:colOff>
      <xdr:row>50</xdr:row>
      <xdr:rowOff>133351</xdr:rowOff>
    </xdr:to>
    <xdr:graphicFrame macro="">
      <xdr:nvGraphicFramePr>
        <xdr:cNvPr id="9" name="Chart 3">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9525</xdr:colOff>
      <xdr:row>19</xdr:row>
      <xdr:rowOff>152400</xdr:rowOff>
    </xdr:from>
    <xdr:to>
      <xdr:col>31</xdr:col>
      <xdr:colOff>381000</xdr:colOff>
      <xdr:row>34</xdr:row>
      <xdr:rowOff>66675</xdr:rowOff>
    </xdr:to>
    <xdr:graphicFrame macro="">
      <xdr:nvGraphicFramePr>
        <xdr:cNvPr id="10" name="Chart 4">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9525</xdr:colOff>
      <xdr:row>35</xdr:row>
      <xdr:rowOff>19050</xdr:rowOff>
    </xdr:from>
    <xdr:to>
      <xdr:col>31</xdr:col>
      <xdr:colOff>285750</xdr:colOff>
      <xdr:row>49</xdr:row>
      <xdr:rowOff>152399</xdr:rowOff>
    </xdr:to>
    <xdr:graphicFrame macro="">
      <xdr:nvGraphicFramePr>
        <xdr:cNvPr id="11" name="Chart 5">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266700</xdr:colOff>
      <xdr:row>0</xdr:row>
      <xdr:rowOff>152400</xdr:rowOff>
    </xdr:from>
    <xdr:to>
      <xdr:col>19</xdr:col>
      <xdr:colOff>504825</xdr:colOff>
      <xdr:row>17</xdr:row>
      <xdr:rowOff>66675</xdr:rowOff>
    </xdr:to>
    <xdr:graphicFrame macro="">
      <xdr:nvGraphicFramePr>
        <xdr:cNvPr id="5" name="Chart 4">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628648</xdr:colOff>
      <xdr:row>29</xdr:row>
      <xdr:rowOff>47625</xdr:rowOff>
    </xdr:from>
    <xdr:to>
      <xdr:col>9</xdr:col>
      <xdr:colOff>296882</xdr:colOff>
      <xdr:row>48</xdr:row>
      <xdr:rowOff>24741</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235032</xdr:colOff>
      <xdr:row>29</xdr:row>
      <xdr:rowOff>61851</xdr:rowOff>
    </xdr:from>
    <xdr:to>
      <xdr:col>22</xdr:col>
      <xdr:colOff>123701</xdr:colOff>
      <xdr:row>48</xdr:row>
      <xdr:rowOff>123701</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619123</xdr:colOff>
      <xdr:row>49</xdr:row>
      <xdr:rowOff>142874</xdr:rowOff>
    </xdr:from>
    <xdr:to>
      <xdr:col>9</xdr:col>
      <xdr:colOff>284513</xdr:colOff>
      <xdr:row>68</xdr:row>
      <xdr:rowOff>85724</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284514</xdr:colOff>
      <xdr:row>49</xdr:row>
      <xdr:rowOff>152400</xdr:rowOff>
    </xdr:from>
    <xdr:to>
      <xdr:col>22</xdr:col>
      <xdr:colOff>197924</xdr:colOff>
      <xdr:row>68</xdr:row>
      <xdr:rowOff>148441</xdr:rowOff>
    </xdr:to>
    <xdr:graphicFrame macro="">
      <xdr:nvGraphicFramePr>
        <xdr:cNvPr id="5" name="Chart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612445</xdr:colOff>
      <xdr:row>69</xdr:row>
      <xdr:rowOff>17194</xdr:rowOff>
    </xdr:from>
    <xdr:to>
      <xdr:col>9</xdr:col>
      <xdr:colOff>321623</xdr:colOff>
      <xdr:row>91</xdr:row>
      <xdr:rowOff>111331</xdr:rowOff>
    </xdr:to>
    <xdr:graphicFrame macro="">
      <xdr:nvGraphicFramePr>
        <xdr:cNvPr id="6" name="Chart 5">
          <a:extLst>
            <a:ext uri="{FF2B5EF4-FFF2-40B4-BE49-F238E27FC236}">
              <a16:creationId xmlns:a16="http://schemas.microsoft.com/office/drawing/2014/main" id="{00000000-0008-0000-1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321622</xdr:colOff>
      <xdr:row>71</xdr:row>
      <xdr:rowOff>98960</xdr:rowOff>
    </xdr:from>
    <xdr:to>
      <xdr:col>22</xdr:col>
      <xdr:colOff>197921</xdr:colOff>
      <xdr:row>91</xdr:row>
      <xdr:rowOff>148441</xdr:rowOff>
    </xdr:to>
    <xdr:graphicFrame macro="">
      <xdr:nvGraphicFramePr>
        <xdr:cNvPr id="7" name="Chart 6">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325752</xdr:colOff>
      <xdr:row>10</xdr:row>
      <xdr:rowOff>154304</xdr:rowOff>
    </xdr:from>
    <xdr:to>
      <xdr:col>16</xdr:col>
      <xdr:colOff>590549</xdr:colOff>
      <xdr:row>32</xdr:row>
      <xdr:rowOff>125730</xdr:rowOff>
    </xdr:to>
    <xdr:graphicFrame macro="">
      <xdr:nvGraphicFramePr>
        <xdr:cNvPr id="2" name="Chart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295274</xdr:colOff>
      <xdr:row>11</xdr:row>
      <xdr:rowOff>0</xdr:rowOff>
    </xdr:from>
    <xdr:to>
      <xdr:col>35</xdr:col>
      <xdr:colOff>304800</xdr:colOff>
      <xdr:row>32</xdr:row>
      <xdr:rowOff>114300</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552448</xdr:colOff>
      <xdr:row>12</xdr:row>
      <xdr:rowOff>161925</xdr:rowOff>
    </xdr:from>
    <xdr:to>
      <xdr:col>26</xdr:col>
      <xdr:colOff>314324</xdr:colOff>
      <xdr:row>27</xdr:row>
      <xdr:rowOff>57150</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365759</xdr:colOff>
      <xdr:row>114</xdr:row>
      <xdr:rowOff>243839</xdr:rowOff>
    </xdr:from>
    <xdr:to>
      <xdr:col>36</xdr:col>
      <xdr:colOff>481965</xdr:colOff>
      <xdr:row>138</xdr:row>
      <xdr:rowOff>114299</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314325</xdr:colOff>
      <xdr:row>51</xdr:row>
      <xdr:rowOff>85725</xdr:rowOff>
    </xdr:from>
    <xdr:to>
      <xdr:col>27</xdr:col>
      <xdr:colOff>247650</xdr:colOff>
      <xdr:row>68</xdr:row>
      <xdr:rowOff>76200</xdr:rowOff>
    </xdr:to>
    <xdr:graphicFrame macro="">
      <xdr:nvGraphicFramePr>
        <xdr:cNvPr id="6" name="Chart 5">
          <a:extLst>
            <a:ext uri="{FF2B5EF4-FFF2-40B4-BE49-F238E27FC236}">
              <a16:creationId xmlns:a16="http://schemas.microsoft.com/office/drawing/2014/main" id="{00000000-0008-0000-1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48</xdr:col>
      <xdr:colOff>220979</xdr:colOff>
      <xdr:row>25</xdr:row>
      <xdr:rowOff>95250</xdr:rowOff>
    </xdr:from>
    <xdr:to>
      <xdr:col>54</xdr:col>
      <xdr:colOff>581024</xdr:colOff>
      <xdr:row>41</xdr:row>
      <xdr:rowOff>30480</xdr:rowOff>
    </xdr:to>
    <xdr:graphicFrame macro="">
      <xdr:nvGraphicFramePr>
        <xdr:cNvPr id="9" name="Chart 8">
          <a:extLst>
            <a:ext uri="{FF2B5EF4-FFF2-40B4-BE49-F238E27FC236}">
              <a16:creationId xmlns:a16="http://schemas.microsoft.com/office/drawing/2014/main" id="{00000000-0008-0000-1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48</xdr:col>
      <xdr:colOff>251459</xdr:colOff>
      <xdr:row>43</xdr:row>
      <xdr:rowOff>15240</xdr:rowOff>
    </xdr:from>
    <xdr:to>
      <xdr:col>54</xdr:col>
      <xdr:colOff>561974</xdr:colOff>
      <xdr:row>58</xdr:row>
      <xdr:rowOff>133350</xdr:rowOff>
    </xdr:to>
    <xdr:graphicFrame macro="">
      <xdr:nvGraphicFramePr>
        <xdr:cNvPr id="10" name="Chart 9">
          <a:extLst>
            <a:ext uri="{FF2B5EF4-FFF2-40B4-BE49-F238E27FC236}">
              <a16:creationId xmlns:a16="http://schemas.microsoft.com/office/drawing/2014/main" id="{00000000-0008-0000-1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19050</xdr:colOff>
      <xdr:row>47</xdr:row>
      <xdr:rowOff>190499</xdr:rowOff>
    </xdr:from>
    <xdr:to>
      <xdr:col>46</xdr:col>
      <xdr:colOff>600075</xdr:colOff>
      <xdr:row>65</xdr:row>
      <xdr:rowOff>85724</xdr:rowOff>
    </xdr:to>
    <xdr:graphicFrame macro="">
      <xdr:nvGraphicFramePr>
        <xdr:cNvPr id="7" name="Chart 6">
          <a:extLst>
            <a:ext uri="{FF2B5EF4-FFF2-40B4-BE49-F238E27FC236}">
              <a16:creationId xmlns:a16="http://schemas.microsoft.com/office/drawing/2014/main" id="{00000000-0008-0000-1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247651</xdr:colOff>
      <xdr:row>1</xdr:row>
      <xdr:rowOff>1</xdr:rowOff>
    </xdr:from>
    <xdr:to>
      <xdr:col>18</xdr:col>
      <xdr:colOff>114300</xdr:colOff>
      <xdr:row>14</xdr:row>
      <xdr:rowOff>9526</xdr:rowOff>
    </xdr:to>
    <xdr:graphicFrame macro="">
      <xdr:nvGraphicFramePr>
        <xdr:cNvPr id="2" name="Chart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323850</xdr:colOff>
      <xdr:row>55</xdr:row>
      <xdr:rowOff>19050</xdr:rowOff>
    </xdr:to>
    <xdr:graphicFrame macro="">
      <xdr:nvGraphicFramePr>
        <xdr:cNvPr id="3" name="Chart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9524</xdr:colOff>
      <xdr:row>56</xdr:row>
      <xdr:rowOff>57150</xdr:rowOff>
    </xdr:from>
    <xdr:to>
      <xdr:col>19</xdr:col>
      <xdr:colOff>0</xdr:colOff>
      <xdr:row>70</xdr:row>
      <xdr:rowOff>95250</xdr:rowOff>
    </xdr:to>
    <xdr:graphicFrame macro="">
      <xdr:nvGraphicFramePr>
        <xdr:cNvPr id="4" name="Chart 3">
          <a:extLst>
            <a:ext uri="{FF2B5EF4-FFF2-40B4-BE49-F238E27FC236}">
              <a16:creationId xmlns:a16="http://schemas.microsoft.com/office/drawing/2014/main" id="{00000000-0008-0000-1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571499</xdr:colOff>
      <xdr:row>71</xdr:row>
      <xdr:rowOff>104775</xdr:rowOff>
    </xdr:from>
    <xdr:to>
      <xdr:col>18</xdr:col>
      <xdr:colOff>304799</xdr:colOff>
      <xdr:row>86</xdr:row>
      <xdr:rowOff>0</xdr:rowOff>
    </xdr:to>
    <xdr:graphicFrame macro="">
      <xdr:nvGraphicFramePr>
        <xdr:cNvPr id="5" name="Chart 4">
          <a:extLst>
            <a:ext uri="{FF2B5EF4-FFF2-40B4-BE49-F238E27FC236}">
              <a16:creationId xmlns:a16="http://schemas.microsoft.com/office/drawing/2014/main" id="{00000000-0008-0000-1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247651</xdr:colOff>
      <xdr:row>1</xdr:row>
      <xdr:rowOff>1</xdr:rowOff>
    </xdr:from>
    <xdr:to>
      <xdr:col>18</xdr:col>
      <xdr:colOff>114300</xdr:colOff>
      <xdr:row>14</xdr:row>
      <xdr:rowOff>9526</xdr:rowOff>
    </xdr:to>
    <xdr:graphicFrame macro="">
      <xdr:nvGraphicFramePr>
        <xdr:cNvPr id="4" name="Chart 3">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323850</xdr:colOff>
      <xdr:row>59</xdr:row>
      <xdr:rowOff>19050</xdr:rowOff>
    </xdr:to>
    <xdr:graphicFrame macro="">
      <xdr:nvGraphicFramePr>
        <xdr:cNvPr id="5" name="Chart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9524</xdr:colOff>
      <xdr:row>60</xdr:row>
      <xdr:rowOff>57150</xdr:rowOff>
    </xdr:from>
    <xdr:to>
      <xdr:col>19</xdr:col>
      <xdr:colOff>0</xdr:colOff>
      <xdr:row>75</xdr:row>
      <xdr:rowOff>95250</xdr:rowOff>
    </xdr:to>
    <xdr:graphicFrame macro="">
      <xdr:nvGraphicFramePr>
        <xdr:cNvPr id="6" name="Chart 5">
          <a:extLst>
            <a:ext uri="{FF2B5EF4-FFF2-40B4-BE49-F238E27FC236}">
              <a16:creationId xmlns:a16="http://schemas.microsoft.com/office/drawing/2014/main" id="{00000000-0008-0000-1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571499</xdr:colOff>
      <xdr:row>76</xdr:row>
      <xdr:rowOff>104775</xdr:rowOff>
    </xdr:from>
    <xdr:to>
      <xdr:col>18</xdr:col>
      <xdr:colOff>304799</xdr:colOff>
      <xdr:row>93</xdr:row>
      <xdr:rowOff>66675</xdr:rowOff>
    </xdr:to>
    <xdr:graphicFrame macro="">
      <xdr:nvGraphicFramePr>
        <xdr:cNvPr id="7" name="Chart 6">
          <a:extLst>
            <a:ext uri="{FF2B5EF4-FFF2-40B4-BE49-F238E27FC236}">
              <a16:creationId xmlns:a16="http://schemas.microsoft.com/office/drawing/2014/main" id="{00000000-0008-0000-1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8</xdr:col>
      <xdr:colOff>381000</xdr:colOff>
      <xdr:row>63</xdr:row>
      <xdr:rowOff>38100</xdr:rowOff>
    </xdr:to>
    <xdr:sp macro="" textlink="">
      <xdr:nvSpPr>
        <xdr:cNvPr id="2049" name="AutoShape 1" descr="Graph of  Discharge, cubic feet per second">
          <a:extLst>
            <a:ext uri="{FF2B5EF4-FFF2-40B4-BE49-F238E27FC236}">
              <a16:creationId xmlns:a16="http://schemas.microsoft.com/office/drawing/2014/main" id="{00000000-0008-0000-1B00-000001080000}"/>
            </a:ext>
          </a:extLst>
        </xdr:cNvPr>
        <xdr:cNvSpPr>
          <a:spLocks noChangeAspect="1" noChangeArrowheads="1"/>
        </xdr:cNvSpPr>
      </xdr:nvSpPr>
      <xdr:spPr bwMode="auto">
        <a:xfrm>
          <a:off x="7772400" y="161925"/>
          <a:ext cx="5486400" cy="3657600"/>
        </a:xfrm>
        <a:prstGeom prst="rect">
          <a:avLst/>
        </a:prstGeom>
        <a:noFill/>
      </xdr:spPr>
    </xdr:sp>
    <xdr:clientData/>
  </xdr:twoCellAnchor>
  <xdr:twoCellAnchor editAs="oneCell">
    <xdr:from>
      <xdr:col>0</xdr:col>
      <xdr:colOff>0</xdr:colOff>
      <xdr:row>45</xdr:row>
      <xdr:rowOff>0</xdr:rowOff>
    </xdr:from>
    <xdr:to>
      <xdr:col>8</xdr:col>
      <xdr:colOff>381000</xdr:colOff>
      <xdr:row>65</xdr:row>
      <xdr:rowOff>47625</xdr:rowOff>
    </xdr:to>
    <xdr:sp macro="" textlink="">
      <xdr:nvSpPr>
        <xdr:cNvPr id="2050" name="AutoShape 2" descr="Graph of  Discharge, cubic feet per second">
          <a:extLst>
            <a:ext uri="{FF2B5EF4-FFF2-40B4-BE49-F238E27FC236}">
              <a16:creationId xmlns:a16="http://schemas.microsoft.com/office/drawing/2014/main" id="{00000000-0008-0000-1B00-000002080000}"/>
            </a:ext>
          </a:extLst>
        </xdr:cNvPr>
        <xdr:cNvSpPr>
          <a:spLocks noChangeAspect="1" noChangeArrowheads="1"/>
        </xdr:cNvSpPr>
      </xdr:nvSpPr>
      <xdr:spPr bwMode="auto">
        <a:xfrm>
          <a:off x="8382000" y="647700"/>
          <a:ext cx="5486400" cy="3657600"/>
        </a:xfrm>
        <a:prstGeom prst="rect">
          <a:avLst/>
        </a:prstGeom>
        <a:noFill/>
      </xdr:spPr>
    </xdr:sp>
    <xdr:clientData/>
  </xdr:twoCellAnchor>
  <xdr:twoCellAnchor editAs="oneCell">
    <xdr:from>
      <xdr:col>0</xdr:col>
      <xdr:colOff>0</xdr:colOff>
      <xdr:row>43</xdr:row>
      <xdr:rowOff>0</xdr:rowOff>
    </xdr:from>
    <xdr:to>
      <xdr:col>8</xdr:col>
      <xdr:colOff>419100</xdr:colOff>
      <xdr:row>68</xdr:row>
      <xdr:rowOff>47625</xdr:rowOff>
    </xdr:to>
    <xdr:sp macro="" textlink="">
      <xdr:nvSpPr>
        <xdr:cNvPr id="2053" name="AutoShape 5" descr="Graph of  Discharge, cubic feet per second">
          <a:extLst>
            <a:ext uri="{FF2B5EF4-FFF2-40B4-BE49-F238E27FC236}">
              <a16:creationId xmlns:a16="http://schemas.microsoft.com/office/drawing/2014/main" id="{00000000-0008-0000-1B00-000005080000}"/>
            </a:ext>
          </a:extLst>
        </xdr:cNvPr>
        <xdr:cNvSpPr>
          <a:spLocks noChangeAspect="1" noChangeArrowheads="1"/>
        </xdr:cNvSpPr>
      </xdr:nvSpPr>
      <xdr:spPr bwMode="auto">
        <a:xfrm>
          <a:off x="7772400" y="161925"/>
          <a:ext cx="5524500" cy="4572000"/>
        </a:xfrm>
        <a:prstGeom prst="rect">
          <a:avLst/>
        </a:prstGeom>
        <a:noFill/>
      </xdr:spPr>
    </xdr:sp>
    <xdr:clientData/>
  </xdr:twoCellAnchor>
  <xdr:twoCellAnchor>
    <xdr:from>
      <xdr:col>10</xdr:col>
      <xdr:colOff>247651</xdr:colOff>
      <xdr:row>1</xdr:row>
      <xdr:rowOff>1</xdr:rowOff>
    </xdr:from>
    <xdr:to>
      <xdr:col>18</xdr:col>
      <xdr:colOff>114300</xdr:colOff>
      <xdr:row>14</xdr:row>
      <xdr:rowOff>9526</xdr:rowOff>
    </xdr:to>
    <xdr:graphicFrame macro="">
      <xdr:nvGraphicFramePr>
        <xdr:cNvPr id="9" name="Chart 8">
          <a:extLst>
            <a:ext uri="{FF2B5EF4-FFF2-40B4-BE49-F238E27FC236}">
              <a16:creationId xmlns:a16="http://schemas.microsoft.com/office/drawing/2014/main" id="{00000000-0008-0000-1B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323850</xdr:colOff>
      <xdr:row>59</xdr:row>
      <xdr:rowOff>19050</xdr:rowOff>
    </xdr:to>
    <xdr:graphicFrame macro="">
      <xdr:nvGraphicFramePr>
        <xdr:cNvPr id="10" name="Chart 9">
          <a:extLst>
            <a:ext uri="{FF2B5EF4-FFF2-40B4-BE49-F238E27FC236}">
              <a16:creationId xmlns:a16="http://schemas.microsoft.com/office/drawing/2014/main" id="{00000000-0008-0000-1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314325</xdr:colOff>
      <xdr:row>75</xdr:row>
      <xdr:rowOff>66675</xdr:rowOff>
    </xdr:to>
    <xdr:graphicFrame macro="">
      <xdr:nvGraphicFramePr>
        <xdr:cNvPr id="11" name="Chart 10">
          <a:extLst>
            <a:ext uri="{FF2B5EF4-FFF2-40B4-BE49-F238E27FC236}">
              <a16:creationId xmlns:a16="http://schemas.microsoft.com/office/drawing/2014/main" id="{00000000-0008-0000-1B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571499</xdr:colOff>
      <xdr:row>76</xdr:row>
      <xdr:rowOff>104775</xdr:rowOff>
    </xdr:from>
    <xdr:to>
      <xdr:col>18</xdr:col>
      <xdr:colOff>304799</xdr:colOff>
      <xdr:row>93</xdr:row>
      <xdr:rowOff>66675</xdr:rowOff>
    </xdr:to>
    <xdr:graphicFrame macro="">
      <xdr:nvGraphicFramePr>
        <xdr:cNvPr id="13" name="Chart 12">
          <a:extLst>
            <a:ext uri="{FF2B5EF4-FFF2-40B4-BE49-F238E27FC236}">
              <a16:creationId xmlns:a16="http://schemas.microsoft.com/office/drawing/2014/main" id="{00000000-0008-0000-1B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8</xdr:col>
      <xdr:colOff>381000</xdr:colOff>
      <xdr:row>62</xdr:row>
      <xdr:rowOff>76200</xdr:rowOff>
    </xdr:to>
    <xdr:sp macro="" textlink="">
      <xdr:nvSpPr>
        <xdr:cNvPr id="3" name="AutoShape 1" descr="Graph of  Discharge, cubic feet per second">
          <a:extLst>
            <a:ext uri="{FF2B5EF4-FFF2-40B4-BE49-F238E27FC236}">
              <a16:creationId xmlns:a16="http://schemas.microsoft.com/office/drawing/2014/main" id="{00000000-0008-0000-1C00-000003000000}"/>
            </a:ext>
          </a:extLst>
        </xdr:cNvPr>
        <xdr:cNvSpPr>
          <a:spLocks noChangeAspect="1" noChangeArrowheads="1"/>
        </xdr:cNvSpPr>
      </xdr:nvSpPr>
      <xdr:spPr bwMode="auto">
        <a:xfrm>
          <a:off x="0" y="7915275"/>
          <a:ext cx="5486400" cy="3657600"/>
        </a:xfrm>
        <a:prstGeom prst="rect">
          <a:avLst/>
        </a:prstGeom>
        <a:noFill/>
      </xdr:spPr>
    </xdr:sp>
    <xdr:clientData/>
  </xdr:twoCellAnchor>
  <xdr:twoCellAnchor editAs="oneCell">
    <xdr:from>
      <xdr:col>0</xdr:col>
      <xdr:colOff>0</xdr:colOff>
      <xdr:row>43</xdr:row>
      <xdr:rowOff>0</xdr:rowOff>
    </xdr:from>
    <xdr:to>
      <xdr:col>8</xdr:col>
      <xdr:colOff>419100</xdr:colOff>
      <xdr:row>66</xdr:row>
      <xdr:rowOff>171450</xdr:rowOff>
    </xdr:to>
    <xdr:sp macro="" textlink="">
      <xdr:nvSpPr>
        <xdr:cNvPr id="5" name="AutoShape 5" descr="Graph of  Discharge, cubic feet per second">
          <a:extLst>
            <a:ext uri="{FF2B5EF4-FFF2-40B4-BE49-F238E27FC236}">
              <a16:creationId xmlns:a16="http://schemas.microsoft.com/office/drawing/2014/main" id="{00000000-0008-0000-1C00-000005000000}"/>
            </a:ext>
          </a:extLst>
        </xdr:cNvPr>
        <xdr:cNvSpPr>
          <a:spLocks noChangeAspect="1" noChangeArrowheads="1"/>
        </xdr:cNvSpPr>
      </xdr:nvSpPr>
      <xdr:spPr bwMode="auto">
        <a:xfrm>
          <a:off x="0" y="7915275"/>
          <a:ext cx="5524500" cy="4572000"/>
        </a:xfrm>
        <a:prstGeom prst="rect">
          <a:avLst/>
        </a:prstGeom>
        <a:noFill/>
      </xdr:spPr>
    </xdr:sp>
    <xdr:clientData/>
  </xdr:twoCellAnchor>
  <xdr:twoCellAnchor>
    <xdr:from>
      <xdr:col>10</xdr:col>
      <xdr:colOff>247651</xdr:colOff>
      <xdr:row>1</xdr:row>
      <xdr:rowOff>1</xdr:rowOff>
    </xdr:from>
    <xdr:to>
      <xdr:col>18</xdr:col>
      <xdr:colOff>114300</xdr:colOff>
      <xdr:row>14</xdr:row>
      <xdr:rowOff>9526</xdr:rowOff>
    </xdr:to>
    <xdr:graphicFrame macro="">
      <xdr:nvGraphicFramePr>
        <xdr:cNvPr id="6" name="Chart 5">
          <a:extLst>
            <a:ext uri="{FF2B5EF4-FFF2-40B4-BE49-F238E27FC236}">
              <a16:creationId xmlns:a16="http://schemas.microsoft.com/office/drawing/2014/main" id="{00000000-0008-0000-1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7" name="Chart 6">
          <a:extLst>
            <a:ext uri="{FF2B5EF4-FFF2-40B4-BE49-F238E27FC236}">
              <a16:creationId xmlns:a16="http://schemas.microsoft.com/office/drawing/2014/main" id="{00000000-0008-0000-1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8" name="Chart 7">
          <a:extLst>
            <a:ext uri="{FF2B5EF4-FFF2-40B4-BE49-F238E27FC236}">
              <a16:creationId xmlns:a16="http://schemas.microsoft.com/office/drawing/2014/main" id="{00000000-0008-0000-1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9" name="Chart 8">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8</xdr:col>
      <xdr:colOff>457200</xdr:colOff>
      <xdr:row>66</xdr:row>
      <xdr:rowOff>144780</xdr:rowOff>
    </xdr:to>
    <xdr:sp macro="" textlink="">
      <xdr:nvSpPr>
        <xdr:cNvPr id="3" name="AutoShape 1" descr="Graph of  Discharge, cubic feet per second">
          <a:extLst>
            <a:ext uri="{FF2B5EF4-FFF2-40B4-BE49-F238E27FC236}">
              <a16:creationId xmlns:a16="http://schemas.microsoft.com/office/drawing/2014/main" id="{00000000-0008-0000-1D00-000003000000}"/>
            </a:ext>
          </a:extLst>
        </xdr:cNvPr>
        <xdr:cNvSpPr>
          <a:spLocks noChangeAspect="1" noChangeArrowheads="1"/>
        </xdr:cNvSpPr>
      </xdr:nvSpPr>
      <xdr:spPr bwMode="auto">
        <a:xfrm>
          <a:off x="0" y="7705725"/>
          <a:ext cx="5486400" cy="3657600"/>
        </a:xfrm>
        <a:prstGeom prst="rect">
          <a:avLst/>
        </a:prstGeom>
        <a:noFill/>
      </xdr:spPr>
    </xdr:sp>
    <xdr:clientData/>
  </xdr:twoCellAnchor>
  <xdr:twoCellAnchor editAs="oneCell">
    <xdr:from>
      <xdr:col>0</xdr:col>
      <xdr:colOff>0</xdr:colOff>
      <xdr:row>48</xdr:row>
      <xdr:rowOff>0</xdr:rowOff>
    </xdr:from>
    <xdr:to>
      <xdr:col>8</xdr:col>
      <xdr:colOff>457200</xdr:colOff>
      <xdr:row>68</xdr:row>
      <xdr:rowOff>167640</xdr:rowOff>
    </xdr:to>
    <xdr:sp macro="" textlink="">
      <xdr:nvSpPr>
        <xdr:cNvPr id="4" name="AutoShape 2" descr="Graph of  Discharge, cubic feet per second">
          <a:extLst>
            <a:ext uri="{FF2B5EF4-FFF2-40B4-BE49-F238E27FC236}">
              <a16:creationId xmlns:a16="http://schemas.microsoft.com/office/drawing/2014/main" id="{00000000-0008-0000-1D00-000004000000}"/>
            </a:ext>
          </a:extLst>
        </xdr:cNvPr>
        <xdr:cNvSpPr>
          <a:spLocks noChangeAspect="1" noChangeArrowheads="1"/>
        </xdr:cNvSpPr>
      </xdr:nvSpPr>
      <xdr:spPr bwMode="auto">
        <a:xfrm>
          <a:off x="0" y="8029575"/>
          <a:ext cx="5486400" cy="3657600"/>
        </a:xfrm>
        <a:prstGeom prst="rect">
          <a:avLst/>
        </a:prstGeom>
        <a:noFill/>
      </xdr:spPr>
    </xdr:sp>
    <xdr:clientData/>
  </xdr:twoCellAnchor>
  <xdr:twoCellAnchor editAs="oneCell">
    <xdr:from>
      <xdr:col>0</xdr:col>
      <xdr:colOff>0</xdr:colOff>
      <xdr:row>48</xdr:row>
      <xdr:rowOff>0</xdr:rowOff>
    </xdr:from>
    <xdr:to>
      <xdr:col>8</xdr:col>
      <xdr:colOff>457200</xdr:colOff>
      <xdr:row>68</xdr:row>
      <xdr:rowOff>167640</xdr:rowOff>
    </xdr:to>
    <xdr:sp macro="" textlink="">
      <xdr:nvSpPr>
        <xdr:cNvPr id="5" name="AutoShape 3" descr="Graph of  Discharge, cubic feet per second">
          <a:extLst>
            <a:ext uri="{FF2B5EF4-FFF2-40B4-BE49-F238E27FC236}">
              <a16:creationId xmlns:a16="http://schemas.microsoft.com/office/drawing/2014/main" id="{00000000-0008-0000-1D00-000005000000}"/>
            </a:ext>
          </a:extLst>
        </xdr:cNvPr>
        <xdr:cNvSpPr>
          <a:spLocks noChangeAspect="1" noChangeArrowheads="1"/>
        </xdr:cNvSpPr>
      </xdr:nvSpPr>
      <xdr:spPr bwMode="auto">
        <a:xfrm>
          <a:off x="0" y="8029575"/>
          <a:ext cx="5486400" cy="3657600"/>
        </a:xfrm>
        <a:prstGeom prst="rect">
          <a:avLst/>
        </a:prstGeom>
        <a:noFill/>
      </xdr:spPr>
    </xdr:sp>
    <xdr:clientData/>
  </xdr:twoCellAnchor>
  <xdr:twoCellAnchor editAs="oneCell">
    <xdr:from>
      <xdr:col>0</xdr:col>
      <xdr:colOff>0</xdr:colOff>
      <xdr:row>43</xdr:row>
      <xdr:rowOff>0</xdr:rowOff>
    </xdr:from>
    <xdr:to>
      <xdr:col>8</xdr:col>
      <xdr:colOff>419100</xdr:colOff>
      <xdr:row>66</xdr:row>
      <xdr:rowOff>102870</xdr:rowOff>
    </xdr:to>
    <xdr:sp macro="" textlink="">
      <xdr:nvSpPr>
        <xdr:cNvPr id="7" name="AutoShape 5" descr="Graph of  Discharge, cubic feet per second">
          <a:extLst>
            <a:ext uri="{FF2B5EF4-FFF2-40B4-BE49-F238E27FC236}">
              <a16:creationId xmlns:a16="http://schemas.microsoft.com/office/drawing/2014/main" id="{00000000-0008-0000-1D00-000007000000}"/>
            </a:ext>
          </a:extLst>
        </xdr:cNvPr>
        <xdr:cNvSpPr>
          <a:spLocks noChangeAspect="1" noChangeArrowheads="1"/>
        </xdr:cNvSpPr>
      </xdr:nvSpPr>
      <xdr:spPr bwMode="auto">
        <a:xfrm>
          <a:off x="0" y="7993380"/>
          <a:ext cx="6195060" cy="4194810"/>
        </a:xfrm>
        <a:prstGeom prst="rect">
          <a:avLst/>
        </a:prstGeom>
        <a:noFill/>
      </xdr:spPr>
    </xdr:sp>
    <xdr:clientData/>
  </xdr:twoCellAnchor>
  <xdr:twoCellAnchor>
    <xdr:from>
      <xdr:col>10</xdr:col>
      <xdr:colOff>247651</xdr:colOff>
      <xdr:row>1</xdr:row>
      <xdr:rowOff>1</xdr:rowOff>
    </xdr:from>
    <xdr:to>
      <xdr:col>18</xdr:col>
      <xdr:colOff>114300</xdr:colOff>
      <xdr:row>14</xdr:row>
      <xdr:rowOff>9526</xdr:rowOff>
    </xdr:to>
    <xdr:graphicFrame macro="">
      <xdr:nvGraphicFramePr>
        <xdr:cNvPr id="8" name="Chart 7">
          <a:extLst>
            <a:ext uri="{FF2B5EF4-FFF2-40B4-BE49-F238E27FC236}">
              <a16:creationId xmlns:a16="http://schemas.microsoft.com/office/drawing/2014/main" id="{00000000-0008-0000-1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9" name="Chart 8">
          <a:extLst>
            <a:ext uri="{FF2B5EF4-FFF2-40B4-BE49-F238E27FC236}">
              <a16:creationId xmlns:a16="http://schemas.microsoft.com/office/drawing/2014/main" id="{00000000-0008-0000-1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10" name="Chart 9">
          <a:extLst>
            <a:ext uri="{FF2B5EF4-FFF2-40B4-BE49-F238E27FC236}">
              <a16:creationId xmlns:a16="http://schemas.microsoft.com/office/drawing/2014/main" id="{00000000-0008-0000-1D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11" name="Chart 10">
          <a:extLst>
            <a:ext uri="{FF2B5EF4-FFF2-40B4-BE49-F238E27FC236}">
              <a16:creationId xmlns:a16="http://schemas.microsoft.com/office/drawing/2014/main" id="{00000000-0008-0000-1D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38100</xdr:colOff>
      <xdr:row>6</xdr:row>
      <xdr:rowOff>76200</xdr:rowOff>
    </xdr:from>
    <xdr:to>
      <xdr:col>18</xdr:col>
      <xdr:colOff>310515</xdr:colOff>
      <xdr:row>27</xdr:row>
      <xdr:rowOff>291465</xdr:rowOff>
    </xdr:to>
    <xdr:sp macro="" textlink="">
      <xdr:nvSpPr>
        <xdr:cNvPr id="1026" name="AutoShape 2" descr="Graph of  Discharge, cubic feet per second">
          <a:extLst>
            <a:ext uri="{FF2B5EF4-FFF2-40B4-BE49-F238E27FC236}">
              <a16:creationId xmlns:a16="http://schemas.microsoft.com/office/drawing/2014/main" id="{00000000-0008-0000-1E00-000002040000}"/>
            </a:ext>
          </a:extLst>
        </xdr:cNvPr>
        <xdr:cNvSpPr>
          <a:spLocks noChangeAspect="1" noChangeArrowheads="1"/>
        </xdr:cNvSpPr>
      </xdr:nvSpPr>
      <xdr:spPr bwMode="auto">
        <a:xfrm>
          <a:off x="7353300" y="1076325"/>
          <a:ext cx="5486400" cy="3657600"/>
        </a:xfrm>
        <a:prstGeom prst="rect">
          <a:avLst/>
        </a:prstGeom>
        <a:noFill/>
      </xdr:spPr>
    </xdr:sp>
    <xdr:clientData/>
  </xdr:twoCellAnchor>
  <xdr:twoCellAnchor editAs="oneCell">
    <xdr:from>
      <xdr:col>0</xdr:col>
      <xdr:colOff>0</xdr:colOff>
      <xdr:row>46</xdr:row>
      <xdr:rowOff>0</xdr:rowOff>
    </xdr:from>
    <xdr:to>
      <xdr:col>8</xdr:col>
      <xdr:colOff>274320</xdr:colOff>
      <xdr:row>66</xdr:row>
      <xdr:rowOff>76200</xdr:rowOff>
    </xdr:to>
    <xdr:sp macro="" textlink="">
      <xdr:nvSpPr>
        <xdr:cNvPr id="5" name="AutoShape 1" descr="Graph of  Discharge, cubic feet per second">
          <a:extLst>
            <a:ext uri="{FF2B5EF4-FFF2-40B4-BE49-F238E27FC236}">
              <a16:creationId xmlns:a16="http://schemas.microsoft.com/office/drawing/2014/main" id="{00000000-0008-0000-1E00-000005000000}"/>
            </a:ext>
          </a:extLst>
        </xdr:cNvPr>
        <xdr:cNvSpPr>
          <a:spLocks noChangeAspect="1" noChangeArrowheads="1"/>
        </xdr:cNvSpPr>
      </xdr:nvSpPr>
      <xdr:spPr bwMode="auto">
        <a:xfrm>
          <a:off x="0" y="8519160"/>
          <a:ext cx="6347460" cy="3642360"/>
        </a:xfrm>
        <a:prstGeom prst="rect">
          <a:avLst/>
        </a:prstGeom>
        <a:noFill/>
      </xdr:spPr>
    </xdr:sp>
    <xdr:clientData/>
  </xdr:twoCellAnchor>
  <xdr:twoCellAnchor editAs="oneCell">
    <xdr:from>
      <xdr:col>0</xdr:col>
      <xdr:colOff>0</xdr:colOff>
      <xdr:row>48</xdr:row>
      <xdr:rowOff>0</xdr:rowOff>
    </xdr:from>
    <xdr:to>
      <xdr:col>8</xdr:col>
      <xdr:colOff>274320</xdr:colOff>
      <xdr:row>68</xdr:row>
      <xdr:rowOff>83820</xdr:rowOff>
    </xdr:to>
    <xdr:sp macro="" textlink="">
      <xdr:nvSpPr>
        <xdr:cNvPr id="6" name="AutoShape 2" descr="Graph of  Discharge, cubic feet per second">
          <a:extLst>
            <a:ext uri="{FF2B5EF4-FFF2-40B4-BE49-F238E27FC236}">
              <a16:creationId xmlns:a16="http://schemas.microsoft.com/office/drawing/2014/main" id="{00000000-0008-0000-1E00-000006000000}"/>
            </a:ext>
          </a:extLst>
        </xdr:cNvPr>
        <xdr:cNvSpPr>
          <a:spLocks noChangeAspect="1" noChangeArrowheads="1"/>
        </xdr:cNvSpPr>
      </xdr:nvSpPr>
      <xdr:spPr bwMode="auto">
        <a:xfrm>
          <a:off x="0" y="8869680"/>
          <a:ext cx="6347460" cy="3665220"/>
        </a:xfrm>
        <a:prstGeom prst="rect">
          <a:avLst/>
        </a:prstGeom>
        <a:noFill/>
      </xdr:spPr>
    </xdr:sp>
    <xdr:clientData/>
  </xdr:twoCellAnchor>
  <xdr:twoCellAnchor editAs="oneCell">
    <xdr:from>
      <xdr:col>0</xdr:col>
      <xdr:colOff>0</xdr:colOff>
      <xdr:row>48</xdr:row>
      <xdr:rowOff>0</xdr:rowOff>
    </xdr:from>
    <xdr:to>
      <xdr:col>8</xdr:col>
      <xdr:colOff>274320</xdr:colOff>
      <xdr:row>68</xdr:row>
      <xdr:rowOff>83820</xdr:rowOff>
    </xdr:to>
    <xdr:sp macro="" textlink="">
      <xdr:nvSpPr>
        <xdr:cNvPr id="7" name="AutoShape 3" descr="Graph of  Discharge, cubic feet per second">
          <a:extLst>
            <a:ext uri="{FF2B5EF4-FFF2-40B4-BE49-F238E27FC236}">
              <a16:creationId xmlns:a16="http://schemas.microsoft.com/office/drawing/2014/main" id="{00000000-0008-0000-1E00-000007000000}"/>
            </a:ext>
          </a:extLst>
        </xdr:cNvPr>
        <xdr:cNvSpPr>
          <a:spLocks noChangeAspect="1" noChangeArrowheads="1"/>
        </xdr:cNvSpPr>
      </xdr:nvSpPr>
      <xdr:spPr bwMode="auto">
        <a:xfrm>
          <a:off x="0" y="8869680"/>
          <a:ext cx="6347460" cy="3665220"/>
        </a:xfrm>
        <a:prstGeom prst="rect">
          <a:avLst/>
        </a:prstGeom>
        <a:noFill/>
      </xdr:spPr>
    </xdr:sp>
    <xdr:clientData/>
  </xdr:twoCellAnchor>
  <xdr:twoCellAnchor editAs="oneCell">
    <xdr:from>
      <xdr:col>0</xdr:col>
      <xdr:colOff>0</xdr:colOff>
      <xdr:row>43</xdr:row>
      <xdr:rowOff>0</xdr:rowOff>
    </xdr:from>
    <xdr:to>
      <xdr:col>8</xdr:col>
      <xdr:colOff>236220</xdr:colOff>
      <xdr:row>66</xdr:row>
      <xdr:rowOff>34290</xdr:rowOff>
    </xdr:to>
    <xdr:sp macro="" textlink="">
      <xdr:nvSpPr>
        <xdr:cNvPr id="8" name="AutoShape 5" descr="Graph of  Discharge, cubic feet per second">
          <a:extLst>
            <a:ext uri="{FF2B5EF4-FFF2-40B4-BE49-F238E27FC236}">
              <a16:creationId xmlns:a16="http://schemas.microsoft.com/office/drawing/2014/main" id="{00000000-0008-0000-1E00-000008000000}"/>
            </a:ext>
          </a:extLst>
        </xdr:cNvPr>
        <xdr:cNvSpPr>
          <a:spLocks noChangeAspect="1" noChangeArrowheads="1"/>
        </xdr:cNvSpPr>
      </xdr:nvSpPr>
      <xdr:spPr bwMode="auto">
        <a:xfrm>
          <a:off x="0" y="7993380"/>
          <a:ext cx="6309360" cy="4126230"/>
        </a:xfrm>
        <a:prstGeom prst="rect">
          <a:avLst/>
        </a:prstGeom>
        <a:noFill/>
      </xdr:spPr>
    </xdr:sp>
    <xdr:clientData/>
  </xdr:twoCellAnchor>
  <xdr:twoCellAnchor>
    <xdr:from>
      <xdr:col>9</xdr:col>
      <xdr:colOff>613411</xdr:colOff>
      <xdr:row>0</xdr:row>
      <xdr:rowOff>106681</xdr:rowOff>
    </xdr:from>
    <xdr:to>
      <xdr:col>16</xdr:col>
      <xdr:colOff>76200</xdr:colOff>
      <xdr:row>13</xdr:row>
      <xdr:rowOff>108586</xdr:rowOff>
    </xdr:to>
    <xdr:graphicFrame macro="">
      <xdr:nvGraphicFramePr>
        <xdr:cNvPr id="9" name="Chart 8">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10" name="Chart 9">
          <a:extLst>
            <a:ext uri="{FF2B5EF4-FFF2-40B4-BE49-F238E27FC236}">
              <a16:creationId xmlns:a16="http://schemas.microsoft.com/office/drawing/2014/main" id="{00000000-0008-0000-1E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11" name="Chart 10">
          <a:extLst>
            <a:ext uri="{FF2B5EF4-FFF2-40B4-BE49-F238E27FC236}">
              <a16:creationId xmlns:a16="http://schemas.microsoft.com/office/drawing/2014/main" id="{00000000-0008-0000-1E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12" name="Chart 11">
          <a:extLst>
            <a:ext uri="{FF2B5EF4-FFF2-40B4-BE49-F238E27FC236}">
              <a16:creationId xmlns:a16="http://schemas.microsoft.com/office/drawing/2014/main" id="{00000000-0008-0000-1E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47625</xdr:colOff>
      <xdr:row>1</xdr:row>
      <xdr:rowOff>28575</xdr:rowOff>
    </xdr:from>
    <xdr:to>
      <xdr:col>17</xdr:col>
      <xdr:colOff>571500</xdr:colOff>
      <xdr:row>22</xdr:row>
      <xdr:rowOff>47625</xdr:rowOff>
    </xdr:to>
    <xdr:graphicFrame macro="">
      <xdr:nvGraphicFramePr>
        <xdr:cNvPr id="2386" name="Chart 2">
          <a:extLst>
            <a:ext uri="{FF2B5EF4-FFF2-40B4-BE49-F238E27FC236}">
              <a16:creationId xmlns:a16="http://schemas.microsoft.com/office/drawing/2014/main" id="{00000000-0008-0000-0300-0000520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26</xdr:row>
      <xdr:rowOff>85725</xdr:rowOff>
    </xdr:from>
    <xdr:to>
      <xdr:col>18</xdr:col>
      <xdr:colOff>104775</xdr:colOff>
      <xdr:row>47</xdr:row>
      <xdr:rowOff>104775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47625</xdr:colOff>
      <xdr:row>1</xdr:row>
      <xdr:rowOff>28575</xdr:rowOff>
    </xdr:from>
    <xdr:to>
      <xdr:col>17</xdr:col>
      <xdr:colOff>571500</xdr:colOff>
      <xdr:row>25</xdr:row>
      <xdr:rowOff>47625</xdr:rowOff>
    </xdr:to>
    <xdr:graphicFrame macro="">
      <xdr:nvGraphicFramePr>
        <xdr:cNvPr id="7" name="Chart 2">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47625</xdr:colOff>
      <xdr:row>48</xdr:row>
      <xdr:rowOff>123825</xdr:rowOff>
    </xdr:from>
    <xdr:to>
      <xdr:col>18</xdr:col>
      <xdr:colOff>190500</xdr:colOff>
      <xdr:row>70</xdr:row>
      <xdr:rowOff>19050</xdr:rowOff>
    </xdr:to>
    <xdr:graphicFrame macro="">
      <xdr:nvGraphicFramePr>
        <xdr:cNvPr id="8" name="Chart 3">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38100</xdr:colOff>
      <xdr:row>71</xdr:row>
      <xdr:rowOff>114301</xdr:rowOff>
    </xdr:from>
    <xdr:to>
      <xdr:col>18</xdr:col>
      <xdr:colOff>171450</xdr:colOff>
      <xdr:row>94</xdr:row>
      <xdr:rowOff>28576</xdr:rowOff>
    </xdr:to>
    <xdr:graphicFrame macro="">
      <xdr:nvGraphicFramePr>
        <xdr:cNvPr id="9" name="Chart 4">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38100</xdr:colOff>
      <xdr:row>6</xdr:row>
      <xdr:rowOff>76200</xdr:rowOff>
    </xdr:from>
    <xdr:to>
      <xdr:col>18</xdr:col>
      <xdr:colOff>455295</xdr:colOff>
      <xdr:row>27</xdr:row>
      <xdr:rowOff>169545</xdr:rowOff>
    </xdr:to>
    <xdr:sp macro="" textlink="">
      <xdr:nvSpPr>
        <xdr:cNvPr id="3" name="AutoShape 2" descr="Graph of  Discharge, cubic feet per second">
          <a:extLst>
            <a:ext uri="{FF2B5EF4-FFF2-40B4-BE49-F238E27FC236}">
              <a16:creationId xmlns:a16="http://schemas.microsoft.com/office/drawing/2014/main" id="{00000000-0008-0000-1F00-000003000000}"/>
            </a:ext>
          </a:extLst>
        </xdr:cNvPr>
        <xdr:cNvSpPr>
          <a:spLocks noChangeAspect="1" noChangeArrowheads="1"/>
        </xdr:cNvSpPr>
      </xdr:nvSpPr>
      <xdr:spPr bwMode="auto">
        <a:xfrm>
          <a:off x="8648700" y="1097280"/>
          <a:ext cx="5560695" cy="3743325"/>
        </a:xfrm>
        <a:prstGeom prst="rect">
          <a:avLst/>
        </a:prstGeom>
        <a:noFill/>
      </xdr:spPr>
    </xdr:sp>
    <xdr:clientData/>
  </xdr:twoCellAnchor>
  <xdr:twoCellAnchor editAs="oneCell">
    <xdr:from>
      <xdr:col>0</xdr:col>
      <xdr:colOff>0</xdr:colOff>
      <xdr:row>48</xdr:row>
      <xdr:rowOff>0</xdr:rowOff>
    </xdr:from>
    <xdr:to>
      <xdr:col>8</xdr:col>
      <xdr:colOff>68580</xdr:colOff>
      <xdr:row>67</xdr:row>
      <xdr:rowOff>114300</xdr:rowOff>
    </xdr:to>
    <xdr:sp macro="" textlink="">
      <xdr:nvSpPr>
        <xdr:cNvPr id="5" name="AutoShape 2" descr="Graph of  Discharge, cubic feet per second">
          <a:extLst>
            <a:ext uri="{FF2B5EF4-FFF2-40B4-BE49-F238E27FC236}">
              <a16:creationId xmlns:a16="http://schemas.microsoft.com/office/drawing/2014/main" id="{00000000-0008-0000-1F00-000005000000}"/>
            </a:ext>
          </a:extLst>
        </xdr:cNvPr>
        <xdr:cNvSpPr>
          <a:spLocks noChangeAspect="1" noChangeArrowheads="1"/>
        </xdr:cNvSpPr>
      </xdr:nvSpPr>
      <xdr:spPr bwMode="auto">
        <a:xfrm>
          <a:off x="0" y="8862060"/>
          <a:ext cx="6164580" cy="3581400"/>
        </a:xfrm>
        <a:prstGeom prst="rect">
          <a:avLst/>
        </a:prstGeom>
        <a:noFill/>
      </xdr:spPr>
    </xdr:sp>
    <xdr:clientData/>
  </xdr:twoCellAnchor>
  <xdr:twoCellAnchor editAs="oneCell">
    <xdr:from>
      <xdr:col>0</xdr:col>
      <xdr:colOff>0</xdr:colOff>
      <xdr:row>48</xdr:row>
      <xdr:rowOff>0</xdr:rowOff>
    </xdr:from>
    <xdr:to>
      <xdr:col>8</xdr:col>
      <xdr:colOff>68580</xdr:colOff>
      <xdr:row>67</xdr:row>
      <xdr:rowOff>114300</xdr:rowOff>
    </xdr:to>
    <xdr:sp macro="" textlink="">
      <xdr:nvSpPr>
        <xdr:cNvPr id="6" name="AutoShape 3" descr="Graph of  Discharge, cubic feet per second">
          <a:extLst>
            <a:ext uri="{FF2B5EF4-FFF2-40B4-BE49-F238E27FC236}">
              <a16:creationId xmlns:a16="http://schemas.microsoft.com/office/drawing/2014/main" id="{00000000-0008-0000-1F00-000006000000}"/>
            </a:ext>
          </a:extLst>
        </xdr:cNvPr>
        <xdr:cNvSpPr>
          <a:spLocks noChangeAspect="1" noChangeArrowheads="1"/>
        </xdr:cNvSpPr>
      </xdr:nvSpPr>
      <xdr:spPr bwMode="auto">
        <a:xfrm>
          <a:off x="0" y="8862060"/>
          <a:ext cx="6164580" cy="3581400"/>
        </a:xfrm>
        <a:prstGeom prst="rect">
          <a:avLst/>
        </a:prstGeom>
        <a:noFill/>
      </xdr:spPr>
    </xdr:sp>
    <xdr:clientData/>
  </xdr:twoCellAnchor>
  <xdr:twoCellAnchor editAs="oneCell">
    <xdr:from>
      <xdr:col>0</xdr:col>
      <xdr:colOff>0</xdr:colOff>
      <xdr:row>43</xdr:row>
      <xdr:rowOff>0</xdr:rowOff>
    </xdr:from>
    <xdr:to>
      <xdr:col>8</xdr:col>
      <xdr:colOff>30480</xdr:colOff>
      <xdr:row>65</xdr:row>
      <xdr:rowOff>41910</xdr:rowOff>
    </xdr:to>
    <xdr:sp macro="" textlink="">
      <xdr:nvSpPr>
        <xdr:cNvPr id="7" name="AutoShape 5" descr="Graph of  Discharge, cubic feet per second">
          <a:extLst>
            <a:ext uri="{FF2B5EF4-FFF2-40B4-BE49-F238E27FC236}">
              <a16:creationId xmlns:a16="http://schemas.microsoft.com/office/drawing/2014/main" id="{00000000-0008-0000-1F00-000007000000}"/>
            </a:ext>
          </a:extLst>
        </xdr:cNvPr>
        <xdr:cNvSpPr>
          <a:spLocks noChangeAspect="1" noChangeArrowheads="1"/>
        </xdr:cNvSpPr>
      </xdr:nvSpPr>
      <xdr:spPr bwMode="auto">
        <a:xfrm>
          <a:off x="0" y="7985760"/>
          <a:ext cx="6126480" cy="4057650"/>
        </a:xfrm>
        <a:prstGeom prst="rect">
          <a:avLst/>
        </a:prstGeom>
        <a:noFill/>
      </xdr:spPr>
    </xdr:sp>
    <xdr:clientData/>
  </xdr:twoCellAnchor>
  <xdr:twoCellAnchor>
    <xdr:from>
      <xdr:col>9</xdr:col>
      <xdr:colOff>613411</xdr:colOff>
      <xdr:row>0</xdr:row>
      <xdr:rowOff>106681</xdr:rowOff>
    </xdr:from>
    <xdr:to>
      <xdr:col>16</xdr:col>
      <xdr:colOff>76200</xdr:colOff>
      <xdr:row>13</xdr:row>
      <xdr:rowOff>108586</xdr:rowOff>
    </xdr:to>
    <xdr:graphicFrame macro="">
      <xdr:nvGraphicFramePr>
        <xdr:cNvPr id="8" name="Chart 7">
          <a:extLst>
            <a:ext uri="{FF2B5EF4-FFF2-40B4-BE49-F238E27FC236}">
              <a16:creationId xmlns:a16="http://schemas.microsoft.com/office/drawing/2014/main" id="{00000000-0008-0000-1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9" name="Chart 8">
          <a:extLst>
            <a:ext uri="{FF2B5EF4-FFF2-40B4-BE49-F238E27FC236}">
              <a16:creationId xmlns:a16="http://schemas.microsoft.com/office/drawing/2014/main" id="{00000000-0008-0000-1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10" name="Chart 9">
          <a:extLst>
            <a:ext uri="{FF2B5EF4-FFF2-40B4-BE49-F238E27FC236}">
              <a16:creationId xmlns:a16="http://schemas.microsoft.com/office/drawing/2014/main" id="{00000000-0008-0000-1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11" name="Chart 10">
          <a:extLst>
            <a:ext uri="{FF2B5EF4-FFF2-40B4-BE49-F238E27FC236}">
              <a16:creationId xmlns:a16="http://schemas.microsoft.com/office/drawing/2014/main" id="{00000000-0008-0000-1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8</xdr:col>
      <xdr:colOff>419100</xdr:colOff>
      <xdr:row>64</xdr:row>
      <xdr:rowOff>144780</xdr:rowOff>
    </xdr:to>
    <xdr:sp macro="" textlink="">
      <xdr:nvSpPr>
        <xdr:cNvPr id="5" name="AutoShape 1" descr="Graph of  Discharge, cubic feet per second">
          <a:extLst>
            <a:ext uri="{FF2B5EF4-FFF2-40B4-BE49-F238E27FC236}">
              <a16:creationId xmlns:a16="http://schemas.microsoft.com/office/drawing/2014/main" id="{00000000-0008-0000-2000-000005000000}"/>
            </a:ext>
          </a:extLst>
        </xdr:cNvPr>
        <xdr:cNvSpPr>
          <a:spLocks noChangeAspect="1" noChangeArrowheads="1"/>
        </xdr:cNvSpPr>
      </xdr:nvSpPr>
      <xdr:spPr bwMode="auto">
        <a:xfrm>
          <a:off x="0" y="8343900"/>
          <a:ext cx="5958840" cy="3429000"/>
        </a:xfrm>
        <a:prstGeom prst="rect">
          <a:avLst/>
        </a:prstGeom>
        <a:noFill/>
      </xdr:spPr>
    </xdr:sp>
    <xdr:clientData/>
  </xdr:twoCellAnchor>
  <xdr:twoCellAnchor editAs="oneCell">
    <xdr:from>
      <xdr:col>0</xdr:col>
      <xdr:colOff>0</xdr:colOff>
      <xdr:row>48</xdr:row>
      <xdr:rowOff>0</xdr:rowOff>
    </xdr:from>
    <xdr:to>
      <xdr:col>8</xdr:col>
      <xdr:colOff>419100</xdr:colOff>
      <xdr:row>66</xdr:row>
      <xdr:rowOff>152400</xdr:rowOff>
    </xdr:to>
    <xdr:sp macro="" textlink="">
      <xdr:nvSpPr>
        <xdr:cNvPr id="6" name="AutoShape 2" descr="Graph of  Discharge, cubic feet per second">
          <a:extLst>
            <a:ext uri="{FF2B5EF4-FFF2-40B4-BE49-F238E27FC236}">
              <a16:creationId xmlns:a16="http://schemas.microsoft.com/office/drawing/2014/main" id="{00000000-0008-0000-2000-000006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48</xdr:row>
      <xdr:rowOff>0</xdr:rowOff>
    </xdr:from>
    <xdr:to>
      <xdr:col>8</xdr:col>
      <xdr:colOff>419100</xdr:colOff>
      <xdr:row>66</xdr:row>
      <xdr:rowOff>152400</xdr:rowOff>
    </xdr:to>
    <xdr:sp macro="" textlink="">
      <xdr:nvSpPr>
        <xdr:cNvPr id="7" name="AutoShape 3" descr="Graph of  Discharge, cubic feet per second">
          <a:extLst>
            <a:ext uri="{FF2B5EF4-FFF2-40B4-BE49-F238E27FC236}">
              <a16:creationId xmlns:a16="http://schemas.microsoft.com/office/drawing/2014/main" id="{00000000-0008-0000-2000-000007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43</xdr:row>
      <xdr:rowOff>0</xdr:rowOff>
    </xdr:from>
    <xdr:to>
      <xdr:col>8</xdr:col>
      <xdr:colOff>381000</xdr:colOff>
      <xdr:row>64</xdr:row>
      <xdr:rowOff>57150</xdr:rowOff>
    </xdr:to>
    <xdr:sp macro="" textlink="">
      <xdr:nvSpPr>
        <xdr:cNvPr id="8" name="AutoShape 5" descr="Graph of  Discharge, cubic feet per second">
          <a:extLst>
            <a:ext uri="{FF2B5EF4-FFF2-40B4-BE49-F238E27FC236}">
              <a16:creationId xmlns:a16="http://schemas.microsoft.com/office/drawing/2014/main" id="{00000000-0008-0000-2000-000008000000}"/>
            </a:ext>
          </a:extLst>
        </xdr:cNvPr>
        <xdr:cNvSpPr>
          <a:spLocks noChangeAspect="1" noChangeArrowheads="1"/>
        </xdr:cNvSpPr>
      </xdr:nvSpPr>
      <xdr:spPr bwMode="auto">
        <a:xfrm>
          <a:off x="0" y="7818120"/>
          <a:ext cx="5920740" cy="3890010"/>
        </a:xfrm>
        <a:prstGeom prst="rect">
          <a:avLst/>
        </a:prstGeom>
        <a:noFill/>
      </xdr:spPr>
    </xdr:sp>
    <xdr:clientData/>
  </xdr:twoCellAnchor>
  <xdr:twoCellAnchor>
    <xdr:from>
      <xdr:col>9</xdr:col>
      <xdr:colOff>521971</xdr:colOff>
      <xdr:row>0</xdr:row>
      <xdr:rowOff>106681</xdr:rowOff>
    </xdr:from>
    <xdr:to>
      <xdr:col>18</xdr:col>
      <xdr:colOff>327660</xdr:colOff>
      <xdr:row>13</xdr:row>
      <xdr:rowOff>108586</xdr:rowOff>
    </xdr:to>
    <xdr:graphicFrame macro="">
      <xdr:nvGraphicFramePr>
        <xdr:cNvPr id="9" name="Chart 8">
          <a:extLst>
            <a:ext uri="{FF2B5EF4-FFF2-40B4-BE49-F238E27FC236}">
              <a16:creationId xmlns:a16="http://schemas.microsoft.com/office/drawing/2014/main" id="{00000000-0008-0000-2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10" name="Chart 9">
          <a:extLst>
            <a:ext uri="{FF2B5EF4-FFF2-40B4-BE49-F238E27FC236}">
              <a16:creationId xmlns:a16="http://schemas.microsoft.com/office/drawing/2014/main" id="{00000000-0008-0000-2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11" name="Chart 10">
          <a:extLst>
            <a:ext uri="{FF2B5EF4-FFF2-40B4-BE49-F238E27FC236}">
              <a16:creationId xmlns:a16="http://schemas.microsoft.com/office/drawing/2014/main" id="{00000000-0008-0000-2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12" name="Chart 11">
          <a:extLst>
            <a:ext uri="{FF2B5EF4-FFF2-40B4-BE49-F238E27FC236}">
              <a16:creationId xmlns:a16="http://schemas.microsoft.com/office/drawing/2014/main" id="{00000000-0008-0000-2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38100</xdr:colOff>
      <xdr:row>6</xdr:row>
      <xdr:rowOff>76200</xdr:rowOff>
    </xdr:from>
    <xdr:to>
      <xdr:col>19</xdr:col>
      <xdr:colOff>188595</xdr:colOff>
      <xdr:row>27</xdr:row>
      <xdr:rowOff>169545</xdr:rowOff>
    </xdr:to>
    <xdr:sp macro="" textlink="">
      <xdr:nvSpPr>
        <xdr:cNvPr id="3" name="AutoShape 2" descr="Graph of  Discharge, cubic feet per second">
          <a:extLst>
            <a:ext uri="{FF2B5EF4-FFF2-40B4-BE49-F238E27FC236}">
              <a16:creationId xmlns:a16="http://schemas.microsoft.com/office/drawing/2014/main" id="{00000000-0008-0000-2100-000003000000}"/>
            </a:ext>
          </a:extLst>
        </xdr:cNvPr>
        <xdr:cNvSpPr>
          <a:spLocks noChangeAspect="1" noChangeArrowheads="1"/>
        </xdr:cNvSpPr>
      </xdr:nvSpPr>
      <xdr:spPr bwMode="auto">
        <a:xfrm>
          <a:off x="8648700" y="1097280"/>
          <a:ext cx="5705475" cy="3621405"/>
        </a:xfrm>
        <a:prstGeom prst="rect">
          <a:avLst/>
        </a:prstGeom>
        <a:noFill/>
      </xdr:spPr>
    </xdr:sp>
    <xdr:clientData/>
  </xdr:twoCellAnchor>
  <xdr:twoCellAnchor editAs="oneCell">
    <xdr:from>
      <xdr:col>0</xdr:col>
      <xdr:colOff>0</xdr:colOff>
      <xdr:row>46</xdr:row>
      <xdr:rowOff>0</xdr:rowOff>
    </xdr:from>
    <xdr:to>
      <xdr:col>8</xdr:col>
      <xdr:colOff>243840</xdr:colOff>
      <xdr:row>65</xdr:row>
      <xdr:rowOff>83820</xdr:rowOff>
    </xdr:to>
    <xdr:sp macro="" textlink="">
      <xdr:nvSpPr>
        <xdr:cNvPr id="4" name="AutoShape 1" descr="Graph of  Discharge, cubic feet per second">
          <a:extLst>
            <a:ext uri="{FF2B5EF4-FFF2-40B4-BE49-F238E27FC236}">
              <a16:creationId xmlns:a16="http://schemas.microsoft.com/office/drawing/2014/main" id="{00000000-0008-0000-2100-000004000000}"/>
            </a:ext>
          </a:extLst>
        </xdr:cNvPr>
        <xdr:cNvSpPr>
          <a:spLocks noChangeAspect="1" noChangeArrowheads="1"/>
        </xdr:cNvSpPr>
      </xdr:nvSpPr>
      <xdr:spPr bwMode="auto">
        <a:xfrm>
          <a:off x="0" y="8343900"/>
          <a:ext cx="5958840" cy="3429000"/>
        </a:xfrm>
        <a:prstGeom prst="rect">
          <a:avLst/>
        </a:prstGeom>
        <a:noFill/>
      </xdr:spPr>
    </xdr:sp>
    <xdr:clientData/>
  </xdr:twoCellAnchor>
  <xdr:twoCellAnchor editAs="oneCell">
    <xdr:from>
      <xdr:col>0</xdr:col>
      <xdr:colOff>0</xdr:colOff>
      <xdr:row>48</xdr:row>
      <xdr:rowOff>0</xdr:rowOff>
    </xdr:from>
    <xdr:to>
      <xdr:col>8</xdr:col>
      <xdr:colOff>243840</xdr:colOff>
      <xdr:row>67</xdr:row>
      <xdr:rowOff>91440</xdr:rowOff>
    </xdr:to>
    <xdr:sp macro="" textlink="">
      <xdr:nvSpPr>
        <xdr:cNvPr id="5" name="AutoShape 2" descr="Graph of  Discharge, cubic feet per second">
          <a:extLst>
            <a:ext uri="{FF2B5EF4-FFF2-40B4-BE49-F238E27FC236}">
              <a16:creationId xmlns:a16="http://schemas.microsoft.com/office/drawing/2014/main" id="{00000000-0008-0000-2100-000005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48</xdr:row>
      <xdr:rowOff>0</xdr:rowOff>
    </xdr:from>
    <xdr:to>
      <xdr:col>8</xdr:col>
      <xdr:colOff>243840</xdr:colOff>
      <xdr:row>67</xdr:row>
      <xdr:rowOff>91440</xdr:rowOff>
    </xdr:to>
    <xdr:sp macro="" textlink="">
      <xdr:nvSpPr>
        <xdr:cNvPr id="6" name="AutoShape 3" descr="Graph of  Discharge, cubic feet per second">
          <a:extLst>
            <a:ext uri="{FF2B5EF4-FFF2-40B4-BE49-F238E27FC236}">
              <a16:creationId xmlns:a16="http://schemas.microsoft.com/office/drawing/2014/main" id="{00000000-0008-0000-2100-000006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43</xdr:row>
      <xdr:rowOff>0</xdr:rowOff>
    </xdr:from>
    <xdr:to>
      <xdr:col>8</xdr:col>
      <xdr:colOff>205740</xdr:colOff>
      <xdr:row>65</xdr:row>
      <xdr:rowOff>11430</xdr:rowOff>
    </xdr:to>
    <xdr:sp macro="" textlink="">
      <xdr:nvSpPr>
        <xdr:cNvPr id="7" name="AutoShape 5" descr="Graph of  Discharge, cubic feet per second">
          <a:extLst>
            <a:ext uri="{FF2B5EF4-FFF2-40B4-BE49-F238E27FC236}">
              <a16:creationId xmlns:a16="http://schemas.microsoft.com/office/drawing/2014/main" id="{00000000-0008-0000-2100-000007000000}"/>
            </a:ext>
          </a:extLst>
        </xdr:cNvPr>
        <xdr:cNvSpPr>
          <a:spLocks noChangeAspect="1" noChangeArrowheads="1"/>
        </xdr:cNvSpPr>
      </xdr:nvSpPr>
      <xdr:spPr bwMode="auto">
        <a:xfrm>
          <a:off x="0" y="7818120"/>
          <a:ext cx="5920740" cy="3890010"/>
        </a:xfrm>
        <a:prstGeom prst="rect">
          <a:avLst/>
        </a:prstGeom>
        <a:noFill/>
      </xdr:spPr>
    </xdr:sp>
    <xdr:clientData/>
  </xdr:twoCellAnchor>
  <xdr:twoCellAnchor>
    <xdr:from>
      <xdr:col>9</xdr:col>
      <xdr:colOff>613411</xdr:colOff>
      <xdr:row>0</xdr:row>
      <xdr:rowOff>106681</xdr:rowOff>
    </xdr:from>
    <xdr:to>
      <xdr:col>16</xdr:col>
      <xdr:colOff>76200</xdr:colOff>
      <xdr:row>13</xdr:row>
      <xdr:rowOff>108586</xdr:rowOff>
    </xdr:to>
    <xdr:graphicFrame macro="">
      <xdr:nvGraphicFramePr>
        <xdr:cNvPr id="8" name="Chart 7">
          <a:extLst>
            <a:ext uri="{FF2B5EF4-FFF2-40B4-BE49-F238E27FC236}">
              <a16:creationId xmlns:a16="http://schemas.microsoft.com/office/drawing/2014/main" id="{00000000-0008-0000-2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9" name="Chart 8">
          <a:extLst>
            <a:ext uri="{FF2B5EF4-FFF2-40B4-BE49-F238E27FC236}">
              <a16:creationId xmlns:a16="http://schemas.microsoft.com/office/drawing/2014/main" id="{00000000-0008-0000-2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10" name="Chart 9">
          <a:extLst>
            <a:ext uri="{FF2B5EF4-FFF2-40B4-BE49-F238E27FC236}">
              <a16:creationId xmlns:a16="http://schemas.microsoft.com/office/drawing/2014/main" id="{00000000-0008-0000-2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11" name="Chart 10">
          <a:extLst>
            <a:ext uri="{FF2B5EF4-FFF2-40B4-BE49-F238E27FC236}">
              <a16:creationId xmlns:a16="http://schemas.microsoft.com/office/drawing/2014/main" id="{00000000-0008-0000-2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38100</xdr:colOff>
      <xdr:row>6</xdr:row>
      <xdr:rowOff>76200</xdr:rowOff>
    </xdr:from>
    <xdr:to>
      <xdr:col>18</xdr:col>
      <xdr:colOff>43815</xdr:colOff>
      <xdr:row>27</xdr:row>
      <xdr:rowOff>169545</xdr:rowOff>
    </xdr:to>
    <xdr:sp macro="" textlink="">
      <xdr:nvSpPr>
        <xdr:cNvPr id="3" name="AutoShape 2" descr="Graph of  Discharge, cubic feet per second">
          <a:extLst>
            <a:ext uri="{FF2B5EF4-FFF2-40B4-BE49-F238E27FC236}">
              <a16:creationId xmlns:a16="http://schemas.microsoft.com/office/drawing/2014/main" id="{00000000-0008-0000-2200-000003000000}"/>
            </a:ext>
          </a:extLst>
        </xdr:cNvPr>
        <xdr:cNvSpPr>
          <a:spLocks noChangeAspect="1" noChangeArrowheads="1"/>
        </xdr:cNvSpPr>
      </xdr:nvSpPr>
      <xdr:spPr bwMode="auto">
        <a:xfrm>
          <a:off x="8648700" y="1097280"/>
          <a:ext cx="5705475" cy="3621405"/>
        </a:xfrm>
        <a:prstGeom prst="rect">
          <a:avLst/>
        </a:prstGeom>
        <a:noFill/>
      </xdr:spPr>
    </xdr:sp>
    <xdr:clientData/>
  </xdr:twoCellAnchor>
  <xdr:twoCellAnchor editAs="oneCell">
    <xdr:from>
      <xdr:col>0</xdr:col>
      <xdr:colOff>0</xdr:colOff>
      <xdr:row>46</xdr:row>
      <xdr:rowOff>0</xdr:rowOff>
    </xdr:from>
    <xdr:to>
      <xdr:col>8</xdr:col>
      <xdr:colOff>381000</xdr:colOff>
      <xdr:row>64</xdr:row>
      <xdr:rowOff>144780</xdr:rowOff>
    </xdr:to>
    <xdr:sp macro="" textlink="">
      <xdr:nvSpPr>
        <xdr:cNvPr id="4" name="AutoShape 1" descr="Graph of  Discharge, cubic feet per second">
          <a:extLst>
            <a:ext uri="{FF2B5EF4-FFF2-40B4-BE49-F238E27FC236}">
              <a16:creationId xmlns:a16="http://schemas.microsoft.com/office/drawing/2014/main" id="{00000000-0008-0000-2200-000004000000}"/>
            </a:ext>
          </a:extLst>
        </xdr:cNvPr>
        <xdr:cNvSpPr>
          <a:spLocks noChangeAspect="1" noChangeArrowheads="1"/>
        </xdr:cNvSpPr>
      </xdr:nvSpPr>
      <xdr:spPr bwMode="auto">
        <a:xfrm>
          <a:off x="0" y="8343900"/>
          <a:ext cx="5958840" cy="3429000"/>
        </a:xfrm>
        <a:prstGeom prst="rect">
          <a:avLst/>
        </a:prstGeom>
        <a:noFill/>
      </xdr:spPr>
    </xdr:sp>
    <xdr:clientData/>
  </xdr:twoCellAnchor>
  <xdr:twoCellAnchor editAs="oneCell">
    <xdr:from>
      <xdr:col>0</xdr:col>
      <xdr:colOff>0</xdr:colOff>
      <xdr:row>48</xdr:row>
      <xdr:rowOff>0</xdr:rowOff>
    </xdr:from>
    <xdr:to>
      <xdr:col>8</xdr:col>
      <xdr:colOff>381000</xdr:colOff>
      <xdr:row>66</xdr:row>
      <xdr:rowOff>152400</xdr:rowOff>
    </xdr:to>
    <xdr:sp macro="" textlink="">
      <xdr:nvSpPr>
        <xdr:cNvPr id="5" name="AutoShape 2" descr="Graph of  Discharge, cubic feet per second">
          <a:extLst>
            <a:ext uri="{FF2B5EF4-FFF2-40B4-BE49-F238E27FC236}">
              <a16:creationId xmlns:a16="http://schemas.microsoft.com/office/drawing/2014/main" id="{00000000-0008-0000-2200-000005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48</xdr:row>
      <xdr:rowOff>0</xdr:rowOff>
    </xdr:from>
    <xdr:to>
      <xdr:col>8</xdr:col>
      <xdr:colOff>381000</xdr:colOff>
      <xdr:row>66</xdr:row>
      <xdr:rowOff>152400</xdr:rowOff>
    </xdr:to>
    <xdr:sp macro="" textlink="">
      <xdr:nvSpPr>
        <xdr:cNvPr id="6" name="AutoShape 3" descr="Graph of  Discharge, cubic feet per second">
          <a:extLst>
            <a:ext uri="{FF2B5EF4-FFF2-40B4-BE49-F238E27FC236}">
              <a16:creationId xmlns:a16="http://schemas.microsoft.com/office/drawing/2014/main" id="{00000000-0008-0000-2200-000006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43</xdr:row>
      <xdr:rowOff>0</xdr:rowOff>
    </xdr:from>
    <xdr:to>
      <xdr:col>8</xdr:col>
      <xdr:colOff>342900</xdr:colOff>
      <xdr:row>64</xdr:row>
      <xdr:rowOff>57150</xdr:rowOff>
    </xdr:to>
    <xdr:sp macro="" textlink="">
      <xdr:nvSpPr>
        <xdr:cNvPr id="7" name="AutoShape 5" descr="Graph of  Discharge, cubic feet per second">
          <a:extLst>
            <a:ext uri="{FF2B5EF4-FFF2-40B4-BE49-F238E27FC236}">
              <a16:creationId xmlns:a16="http://schemas.microsoft.com/office/drawing/2014/main" id="{00000000-0008-0000-2200-000007000000}"/>
            </a:ext>
          </a:extLst>
        </xdr:cNvPr>
        <xdr:cNvSpPr>
          <a:spLocks noChangeAspect="1" noChangeArrowheads="1"/>
        </xdr:cNvSpPr>
      </xdr:nvSpPr>
      <xdr:spPr bwMode="auto">
        <a:xfrm>
          <a:off x="0" y="7818120"/>
          <a:ext cx="5920740" cy="3890010"/>
        </a:xfrm>
        <a:prstGeom prst="rect">
          <a:avLst/>
        </a:prstGeom>
        <a:noFill/>
      </xdr:spPr>
    </xdr:sp>
    <xdr:clientData/>
  </xdr:twoCellAnchor>
  <xdr:twoCellAnchor>
    <xdr:from>
      <xdr:col>9</xdr:col>
      <xdr:colOff>613411</xdr:colOff>
      <xdr:row>0</xdr:row>
      <xdr:rowOff>106681</xdr:rowOff>
    </xdr:from>
    <xdr:to>
      <xdr:col>16</xdr:col>
      <xdr:colOff>76200</xdr:colOff>
      <xdr:row>13</xdr:row>
      <xdr:rowOff>108586</xdr:rowOff>
    </xdr:to>
    <xdr:graphicFrame macro="">
      <xdr:nvGraphicFramePr>
        <xdr:cNvPr id="8" name="Chart 7">
          <a:extLst>
            <a:ext uri="{FF2B5EF4-FFF2-40B4-BE49-F238E27FC236}">
              <a16:creationId xmlns:a16="http://schemas.microsoft.com/office/drawing/2014/main" id="{00000000-0008-0000-2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9" name="Chart 8">
          <a:extLst>
            <a:ext uri="{FF2B5EF4-FFF2-40B4-BE49-F238E27FC236}">
              <a16:creationId xmlns:a16="http://schemas.microsoft.com/office/drawing/2014/main" id="{00000000-0008-0000-2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10" name="Chart 9">
          <a:extLst>
            <a:ext uri="{FF2B5EF4-FFF2-40B4-BE49-F238E27FC236}">
              <a16:creationId xmlns:a16="http://schemas.microsoft.com/office/drawing/2014/main" id="{00000000-0008-0000-2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11" name="Chart 10">
          <a:extLst>
            <a:ext uri="{FF2B5EF4-FFF2-40B4-BE49-F238E27FC236}">
              <a16:creationId xmlns:a16="http://schemas.microsoft.com/office/drawing/2014/main" id="{00000000-0008-0000-22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38100</xdr:colOff>
      <xdr:row>6</xdr:row>
      <xdr:rowOff>76200</xdr:rowOff>
    </xdr:from>
    <xdr:to>
      <xdr:col>19</xdr:col>
      <xdr:colOff>36195</xdr:colOff>
      <xdr:row>27</xdr:row>
      <xdr:rowOff>169545</xdr:rowOff>
    </xdr:to>
    <xdr:sp macro="" textlink="">
      <xdr:nvSpPr>
        <xdr:cNvPr id="3" name="AutoShape 2" descr="Graph of  Discharge, cubic feet per second">
          <a:extLst>
            <a:ext uri="{FF2B5EF4-FFF2-40B4-BE49-F238E27FC236}">
              <a16:creationId xmlns:a16="http://schemas.microsoft.com/office/drawing/2014/main" id="{00000000-0008-0000-2300-000003000000}"/>
            </a:ext>
          </a:extLst>
        </xdr:cNvPr>
        <xdr:cNvSpPr>
          <a:spLocks noChangeAspect="1" noChangeArrowheads="1"/>
        </xdr:cNvSpPr>
      </xdr:nvSpPr>
      <xdr:spPr bwMode="auto">
        <a:xfrm>
          <a:off x="8648700" y="1097280"/>
          <a:ext cx="5705475" cy="3621405"/>
        </a:xfrm>
        <a:prstGeom prst="rect">
          <a:avLst/>
        </a:prstGeom>
        <a:noFill/>
      </xdr:spPr>
    </xdr:sp>
    <xdr:clientData/>
  </xdr:twoCellAnchor>
  <xdr:twoCellAnchor editAs="oneCell">
    <xdr:from>
      <xdr:col>0</xdr:col>
      <xdr:colOff>0</xdr:colOff>
      <xdr:row>46</xdr:row>
      <xdr:rowOff>0</xdr:rowOff>
    </xdr:from>
    <xdr:to>
      <xdr:col>8</xdr:col>
      <xdr:colOff>495300</xdr:colOff>
      <xdr:row>64</xdr:row>
      <xdr:rowOff>144780</xdr:rowOff>
    </xdr:to>
    <xdr:sp macro="" textlink="">
      <xdr:nvSpPr>
        <xdr:cNvPr id="4" name="AutoShape 1" descr="Graph of  Discharge, cubic feet per second">
          <a:extLst>
            <a:ext uri="{FF2B5EF4-FFF2-40B4-BE49-F238E27FC236}">
              <a16:creationId xmlns:a16="http://schemas.microsoft.com/office/drawing/2014/main" id="{00000000-0008-0000-2300-000004000000}"/>
            </a:ext>
          </a:extLst>
        </xdr:cNvPr>
        <xdr:cNvSpPr>
          <a:spLocks noChangeAspect="1" noChangeArrowheads="1"/>
        </xdr:cNvSpPr>
      </xdr:nvSpPr>
      <xdr:spPr bwMode="auto">
        <a:xfrm>
          <a:off x="0" y="8343900"/>
          <a:ext cx="5958840" cy="3429000"/>
        </a:xfrm>
        <a:prstGeom prst="rect">
          <a:avLst/>
        </a:prstGeom>
        <a:noFill/>
      </xdr:spPr>
    </xdr:sp>
    <xdr:clientData/>
  </xdr:twoCellAnchor>
  <xdr:twoCellAnchor editAs="oneCell">
    <xdr:from>
      <xdr:col>0</xdr:col>
      <xdr:colOff>0</xdr:colOff>
      <xdr:row>48</xdr:row>
      <xdr:rowOff>0</xdr:rowOff>
    </xdr:from>
    <xdr:to>
      <xdr:col>8</xdr:col>
      <xdr:colOff>495300</xdr:colOff>
      <xdr:row>66</xdr:row>
      <xdr:rowOff>152400</xdr:rowOff>
    </xdr:to>
    <xdr:sp macro="" textlink="">
      <xdr:nvSpPr>
        <xdr:cNvPr id="5" name="AutoShape 2" descr="Graph of  Discharge, cubic feet per second">
          <a:extLst>
            <a:ext uri="{FF2B5EF4-FFF2-40B4-BE49-F238E27FC236}">
              <a16:creationId xmlns:a16="http://schemas.microsoft.com/office/drawing/2014/main" id="{00000000-0008-0000-2300-000005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48</xdr:row>
      <xdr:rowOff>0</xdr:rowOff>
    </xdr:from>
    <xdr:to>
      <xdr:col>8</xdr:col>
      <xdr:colOff>495300</xdr:colOff>
      <xdr:row>66</xdr:row>
      <xdr:rowOff>152400</xdr:rowOff>
    </xdr:to>
    <xdr:sp macro="" textlink="">
      <xdr:nvSpPr>
        <xdr:cNvPr id="6" name="AutoShape 3" descr="Graph of  Discharge, cubic feet per second">
          <a:extLst>
            <a:ext uri="{FF2B5EF4-FFF2-40B4-BE49-F238E27FC236}">
              <a16:creationId xmlns:a16="http://schemas.microsoft.com/office/drawing/2014/main" id="{00000000-0008-0000-2300-000006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43</xdr:row>
      <xdr:rowOff>0</xdr:rowOff>
    </xdr:from>
    <xdr:to>
      <xdr:col>8</xdr:col>
      <xdr:colOff>457200</xdr:colOff>
      <xdr:row>64</xdr:row>
      <xdr:rowOff>57150</xdr:rowOff>
    </xdr:to>
    <xdr:sp macro="" textlink="">
      <xdr:nvSpPr>
        <xdr:cNvPr id="7" name="AutoShape 5" descr="Graph of  Discharge, cubic feet per second">
          <a:extLst>
            <a:ext uri="{FF2B5EF4-FFF2-40B4-BE49-F238E27FC236}">
              <a16:creationId xmlns:a16="http://schemas.microsoft.com/office/drawing/2014/main" id="{00000000-0008-0000-2300-000007000000}"/>
            </a:ext>
          </a:extLst>
        </xdr:cNvPr>
        <xdr:cNvSpPr>
          <a:spLocks noChangeAspect="1" noChangeArrowheads="1"/>
        </xdr:cNvSpPr>
      </xdr:nvSpPr>
      <xdr:spPr bwMode="auto">
        <a:xfrm>
          <a:off x="0" y="7818120"/>
          <a:ext cx="5920740" cy="3890010"/>
        </a:xfrm>
        <a:prstGeom prst="rect">
          <a:avLst/>
        </a:prstGeom>
        <a:noFill/>
      </xdr:spPr>
    </xdr:sp>
    <xdr:clientData/>
  </xdr:twoCellAnchor>
  <xdr:twoCellAnchor>
    <xdr:from>
      <xdr:col>9</xdr:col>
      <xdr:colOff>613411</xdr:colOff>
      <xdr:row>0</xdr:row>
      <xdr:rowOff>106681</xdr:rowOff>
    </xdr:from>
    <xdr:to>
      <xdr:col>16</xdr:col>
      <xdr:colOff>76200</xdr:colOff>
      <xdr:row>13</xdr:row>
      <xdr:rowOff>108586</xdr:rowOff>
    </xdr:to>
    <xdr:graphicFrame macro="">
      <xdr:nvGraphicFramePr>
        <xdr:cNvPr id="8" name="Chart 7">
          <a:extLst>
            <a:ext uri="{FF2B5EF4-FFF2-40B4-BE49-F238E27FC236}">
              <a16:creationId xmlns:a16="http://schemas.microsoft.com/office/drawing/2014/main" id="{00000000-0008-0000-2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9" name="Chart 8">
          <a:extLst>
            <a:ext uri="{FF2B5EF4-FFF2-40B4-BE49-F238E27FC236}">
              <a16:creationId xmlns:a16="http://schemas.microsoft.com/office/drawing/2014/main" id="{00000000-0008-0000-2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10" name="Chart 9">
          <a:extLst>
            <a:ext uri="{FF2B5EF4-FFF2-40B4-BE49-F238E27FC236}">
              <a16:creationId xmlns:a16="http://schemas.microsoft.com/office/drawing/2014/main" id="{00000000-0008-0000-2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11" name="Chart 10">
          <a:extLst>
            <a:ext uri="{FF2B5EF4-FFF2-40B4-BE49-F238E27FC236}">
              <a16:creationId xmlns:a16="http://schemas.microsoft.com/office/drawing/2014/main" id="{00000000-0008-0000-23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38100</xdr:colOff>
      <xdr:row>6</xdr:row>
      <xdr:rowOff>76200</xdr:rowOff>
    </xdr:from>
    <xdr:to>
      <xdr:col>19</xdr:col>
      <xdr:colOff>561975</xdr:colOff>
      <xdr:row>27</xdr:row>
      <xdr:rowOff>169545</xdr:rowOff>
    </xdr:to>
    <xdr:sp macro="" textlink="">
      <xdr:nvSpPr>
        <xdr:cNvPr id="3" name="AutoShape 2" descr="Graph of  Discharge, cubic feet per second">
          <a:extLst>
            <a:ext uri="{FF2B5EF4-FFF2-40B4-BE49-F238E27FC236}">
              <a16:creationId xmlns:a16="http://schemas.microsoft.com/office/drawing/2014/main" id="{00000000-0008-0000-2400-000003000000}"/>
            </a:ext>
          </a:extLst>
        </xdr:cNvPr>
        <xdr:cNvSpPr>
          <a:spLocks noChangeAspect="1" noChangeArrowheads="1"/>
        </xdr:cNvSpPr>
      </xdr:nvSpPr>
      <xdr:spPr bwMode="auto">
        <a:xfrm>
          <a:off x="8648700" y="1097280"/>
          <a:ext cx="5705475" cy="3621405"/>
        </a:xfrm>
        <a:prstGeom prst="rect">
          <a:avLst/>
        </a:prstGeom>
        <a:noFill/>
      </xdr:spPr>
    </xdr:sp>
    <xdr:clientData/>
  </xdr:twoCellAnchor>
  <xdr:twoCellAnchor editAs="oneCell">
    <xdr:from>
      <xdr:col>0</xdr:col>
      <xdr:colOff>0</xdr:colOff>
      <xdr:row>46</xdr:row>
      <xdr:rowOff>0</xdr:rowOff>
    </xdr:from>
    <xdr:to>
      <xdr:col>7</xdr:col>
      <xdr:colOff>754380</xdr:colOff>
      <xdr:row>64</xdr:row>
      <xdr:rowOff>144780</xdr:rowOff>
    </xdr:to>
    <xdr:sp macro="" textlink="">
      <xdr:nvSpPr>
        <xdr:cNvPr id="4" name="AutoShape 1" descr="Graph of  Discharge, cubic feet per second">
          <a:extLst>
            <a:ext uri="{FF2B5EF4-FFF2-40B4-BE49-F238E27FC236}">
              <a16:creationId xmlns:a16="http://schemas.microsoft.com/office/drawing/2014/main" id="{00000000-0008-0000-2400-000004000000}"/>
            </a:ext>
          </a:extLst>
        </xdr:cNvPr>
        <xdr:cNvSpPr>
          <a:spLocks noChangeAspect="1" noChangeArrowheads="1"/>
        </xdr:cNvSpPr>
      </xdr:nvSpPr>
      <xdr:spPr bwMode="auto">
        <a:xfrm>
          <a:off x="0" y="8343900"/>
          <a:ext cx="5958840" cy="3429000"/>
        </a:xfrm>
        <a:prstGeom prst="rect">
          <a:avLst/>
        </a:prstGeom>
        <a:noFill/>
      </xdr:spPr>
    </xdr:sp>
    <xdr:clientData/>
  </xdr:twoCellAnchor>
  <xdr:twoCellAnchor editAs="oneCell">
    <xdr:from>
      <xdr:col>0</xdr:col>
      <xdr:colOff>0</xdr:colOff>
      <xdr:row>48</xdr:row>
      <xdr:rowOff>0</xdr:rowOff>
    </xdr:from>
    <xdr:to>
      <xdr:col>7</xdr:col>
      <xdr:colOff>754380</xdr:colOff>
      <xdr:row>66</xdr:row>
      <xdr:rowOff>152400</xdr:rowOff>
    </xdr:to>
    <xdr:sp macro="" textlink="">
      <xdr:nvSpPr>
        <xdr:cNvPr id="5" name="AutoShape 2" descr="Graph of  Discharge, cubic feet per second">
          <a:extLst>
            <a:ext uri="{FF2B5EF4-FFF2-40B4-BE49-F238E27FC236}">
              <a16:creationId xmlns:a16="http://schemas.microsoft.com/office/drawing/2014/main" id="{00000000-0008-0000-2400-000005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43</xdr:row>
      <xdr:rowOff>0</xdr:rowOff>
    </xdr:from>
    <xdr:to>
      <xdr:col>7</xdr:col>
      <xdr:colOff>716280</xdr:colOff>
      <xdr:row>64</xdr:row>
      <xdr:rowOff>57150</xdr:rowOff>
    </xdr:to>
    <xdr:sp macro="" textlink="">
      <xdr:nvSpPr>
        <xdr:cNvPr id="7" name="AutoShape 5" descr="Graph of  Discharge, cubic feet per second">
          <a:extLst>
            <a:ext uri="{FF2B5EF4-FFF2-40B4-BE49-F238E27FC236}">
              <a16:creationId xmlns:a16="http://schemas.microsoft.com/office/drawing/2014/main" id="{00000000-0008-0000-2400-000007000000}"/>
            </a:ext>
          </a:extLst>
        </xdr:cNvPr>
        <xdr:cNvSpPr>
          <a:spLocks noChangeAspect="1" noChangeArrowheads="1"/>
        </xdr:cNvSpPr>
      </xdr:nvSpPr>
      <xdr:spPr bwMode="auto">
        <a:xfrm>
          <a:off x="0" y="7818120"/>
          <a:ext cx="5920740" cy="3890010"/>
        </a:xfrm>
        <a:prstGeom prst="rect">
          <a:avLst/>
        </a:prstGeom>
        <a:noFill/>
      </xdr:spPr>
    </xdr:sp>
    <xdr:clientData/>
  </xdr:twoCellAnchor>
  <xdr:twoCellAnchor>
    <xdr:from>
      <xdr:col>9</xdr:col>
      <xdr:colOff>613411</xdr:colOff>
      <xdr:row>0</xdr:row>
      <xdr:rowOff>106681</xdr:rowOff>
    </xdr:from>
    <xdr:to>
      <xdr:col>16</xdr:col>
      <xdr:colOff>76200</xdr:colOff>
      <xdr:row>13</xdr:row>
      <xdr:rowOff>108586</xdr:rowOff>
    </xdr:to>
    <xdr:graphicFrame macro="">
      <xdr:nvGraphicFramePr>
        <xdr:cNvPr id="8" name="Chart 7">
          <a:extLst>
            <a:ext uri="{FF2B5EF4-FFF2-40B4-BE49-F238E27FC236}">
              <a16:creationId xmlns:a16="http://schemas.microsoft.com/office/drawing/2014/main" id="{00000000-0008-0000-2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9" name="Chart 8">
          <a:extLst>
            <a:ext uri="{FF2B5EF4-FFF2-40B4-BE49-F238E27FC236}">
              <a16:creationId xmlns:a16="http://schemas.microsoft.com/office/drawing/2014/main" id="{00000000-0008-0000-2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10" name="Chart 9">
          <a:extLst>
            <a:ext uri="{FF2B5EF4-FFF2-40B4-BE49-F238E27FC236}">
              <a16:creationId xmlns:a16="http://schemas.microsoft.com/office/drawing/2014/main" id="{00000000-0008-0000-2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11" name="Chart 10">
          <a:extLst>
            <a:ext uri="{FF2B5EF4-FFF2-40B4-BE49-F238E27FC236}">
              <a16:creationId xmlns:a16="http://schemas.microsoft.com/office/drawing/2014/main" id="{00000000-0008-0000-2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38100</xdr:colOff>
      <xdr:row>3</xdr:row>
      <xdr:rowOff>76200</xdr:rowOff>
    </xdr:from>
    <xdr:to>
      <xdr:col>18</xdr:col>
      <xdr:colOff>554355</xdr:colOff>
      <xdr:row>24</xdr:row>
      <xdr:rowOff>169545</xdr:rowOff>
    </xdr:to>
    <xdr:sp macro="" textlink="">
      <xdr:nvSpPr>
        <xdr:cNvPr id="3" name="AutoShape 2" descr="Graph of  Discharge, cubic feet per second">
          <a:extLst>
            <a:ext uri="{FF2B5EF4-FFF2-40B4-BE49-F238E27FC236}">
              <a16:creationId xmlns:a16="http://schemas.microsoft.com/office/drawing/2014/main" id="{00000000-0008-0000-2500-000003000000}"/>
            </a:ext>
          </a:extLst>
        </xdr:cNvPr>
        <xdr:cNvSpPr>
          <a:spLocks noChangeAspect="1" noChangeArrowheads="1"/>
        </xdr:cNvSpPr>
      </xdr:nvSpPr>
      <xdr:spPr bwMode="auto">
        <a:xfrm>
          <a:off x="8648700" y="1097280"/>
          <a:ext cx="5705475" cy="3621405"/>
        </a:xfrm>
        <a:prstGeom prst="rect">
          <a:avLst/>
        </a:prstGeom>
        <a:noFill/>
      </xdr:spPr>
    </xdr:sp>
    <xdr:clientData/>
  </xdr:twoCellAnchor>
  <xdr:twoCellAnchor editAs="oneCell">
    <xdr:from>
      <xdr:col>0</xdr:col>
      <xdr:colOff>0</xdr:colOff>
      <xdr:row>30</xdr:row>
      <xdr:rowOff>0</xdr:rowOff>
    </xdr:from>
    <xdr:to>
      <xdr:col>8</xdr:col>
      <xdr:colOff>129540</xdr:colOff>
      <xdr:row>49</xdr:row>
      <xdr:rowOff>114300</xdr:rowOff>
    </xdr:to>
    <xdr:sp macro="" textlink="">
      <xdr:nvSpPr>
        <xdr:cNvPr id="5" name="AutoShape 2" descr="Graph of  Discharge, cubic feet per second">
          <a:extLst>
            <a:ext uri="{FF2B5EF4-FFF2-40B4-BE49-F238E27FC236}">
              <a16:creationId xmlns:a16="http://schemas.microsoft.com/office/drawing/2014/main" id="{00000000-0008-0000-2500-000005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25</xdr:row>
      <xdr:rowOff>0</xdr:rowOff>
    </xdr:from>
    <xdr:to>
      <xdr:col>8</xdr:col>
      <xdr:colOff>91440</xdr:colOff>
      <xdr:row>47</xdr:row>
      <xdr:rowOff>41910</xdr:rowOff>
    </xdr:to>
    <xdr:sp macro="" textlink="">
      <xdr:nvSpPr>
        <xdr:cNvPr id="7" name="AutoShape 5" descr="Graph of  Discharge, cubic feet per second">
          <a:extLst>
            <a:ext uri="{FF2B5EF4-FFF2-40B4-BE49-F238E27FC236}">
              <a16:creationId xmlns:a16="http://schemas.microsoft.com/office/drawing/2014/main" id="{00000000-0008-0000-2500-000007000000}"/>
            </a:ext>
          </a:extLst>
        </xdr:cNvPr>
        <xdr:cNvSpPr>
          <a:spLocks noChangeAspect="1" noChangeArrowheads="1"/>
        </xdr:cNvSpPr>
      </xdr:nvSpPr>
      <xdr:spPr bwMode="auto">
        <a:xfrm>
          <a:off x="0" y="7818120"/>
          <a:ext cx="5920740" cy="3890010"/>
        </a:xfrm>
        <a:prstGeom prst="rect">
          <a:avLst/>
        </a:prstGeom>
        <a:noFill/>
      </xdr:spPr>
    </xdr:sp>
    <xdr:clientData/>
  </xdr:twoCellAnchor>
  <xdr:twoCellAnchor>
    <xdr:from>
      <xdr:col>9</xdr:col>
      <xdr:colOff>1055371</xdr:colOff>
      <xdr:row>3</xdr:row>
      <xdr:rowOff>7621</xdr:rowOff>
    </xdr:from>
    <xdr:to>
      <xdr:col>16</xdr:col>
      <xdr:colOff>518160</xdr:colOff>
      <xdr:row>16</xdr:row>
      <xdr:rowOff>24766</xdr:rowOff>
    </xdr:to>
    <xdr:graphicFrame macro="">
      <xdr:nvGraphicFramePr>
        <xdr:cNvPr id="8" name="Chart 7">
          <a:extLst>
            <a:ext uri="{FF2B5EF4-FFF2-40B4-BE49-F238E27FC236}">
              <a16:creationId xmlns:a16="http://schemas.microsoft.com/office/drawing/2014/main" id="{00000000-0008-0000-2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1150619</xdr:colOff>
      <xdr:row>23</xdr:row>
      <xdr:rowOff>3810</xdr:rowOff>
    </xdr:from>
    <xdr:to>
      <xdr:col>16</xdr:col>
      <xdr:colOff>548640</xdr:colOff>
      <xdr:row>38</xdr:row>
      <xdr:rowOff>26670</xdr:rowOff>
    </xdr:to>
    <xdr:graphicFrame macro="">
      <xdr:nvGraphicFramePr>
        <xdr:cNvPr id="9" name="Chart 8">
          <a:extLst>
            <a:ext uri="{FF2B5EF4-FFF2-40B4-BE49-F238E27FC236}">
              <a16:creationId xmlns:a16="http://schemas.microsoft.com/office/drawing/2014/main" id="{00000000-0008-0000-2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1202054</xdr:colOff>
      <xdr:row>39</xdr:row>
      <xdr:rowOff>173355</xdr:rowOff>
    </xdr:from>
    <xdr:to>
      <xdr:col>16</xdr:col>
      <xdr:colOff>236220</xdr:colOff>
      <xdr:row>55</xdr:row>
      <xdr:rowOff>20955</xdr:rowOff>
    </xdr:to>
    <xdr:graphicFrame macro="">
      <xdr:nvGraphicFramePr>
        <xdr:cNvPr id="10" name="Chart 9">
          <a:extLst>
            <a:ext uri="{FF2B5EF4-FFF2-40B4-BE49-F238E27FC236}">
              <a16:creationId xmlns:a16="http://schemas.microsoft.com/office/drawing/2014/main" id="{00000000-0008-0000-2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1264918</xdr:colOff>
      <xdr:row>57</xdr:row>
      <xdr:rowOff>28575</xdr:rowOff>
    </xdr:from>
    <xdr:to>
      <xdr:col>16</xdr:col>
      <xdr:colOff>289560</xdr:colOff>
      <xdr:row>73</xdr:row>
      <xdr:rowOff>158115</xdr:rowOff>
    </xdr:to>
    <xdr:graphicFrame macro="">
      <xdr:nvGraphicFramePr>
        <xdr:cNvPr id="11" name="Chart 10">
          <a:extLst>
            <a:ext uri="{FF2B5EF4-FFF2-40B4-BE49-F238E27FC236}">
              <a16:creationId xmlns:a16="http://schemas.microsoft.com/office/drawing/2014/main" id="{00000000-0008-0000-2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38100</xdr:colOff>
      <xdr:row>6</xdr:row>
      <xdr:rowOff>76200</xdr:rowOff>
    </xdr:from>
    <xdr:to>
      <xdr:col>19</xdr:col>
      <xdr:colOff>356235</xdr:colOff>
      <xdr:row>27</xdr:row>
      <xdr:rowOff>169545</xdr:rowOff>
    </xdr:to>
    <xdr:sp macro="" textlink="">
      <xdr:nvSpPr>
        <xdr:cNvPr id="3" name="AutoShape 2" descr="Graph of  Discharge, cubic feet per second">
          <a:extLst>
            <a:ext uri="{FF2B5EF4-FFF2-40B4-BE49-F238E27FC236}">
              <a16:creationId xmlns:a16="http://schemas.microsoft.com/office/drawing/2014/main" id="{00000000-0008-0000-2600-000003000000}"/>
            </a:ext>
          </a:extLst>
        </xdr:cNvPr>
        <xdr:cNvSpPr>
          <a:spLocks noChangeAspect="1" noChangeArrowheads="1"/>
        </xdr:cNvSpPr>
      </xdr:nvSpPr>
      <xdr:spPr bwMode="auto">
        <a:xfrm>
          <a:off x="8648700" y="1097280"/>
          <a:ext cx="5705475" cy="3621405"/>
        </a:xfrm>
        <a:prstGeom prst="rect">
          <a:avLst/>
        </a:prstGeom>
        <a:noFill/>
      </xdr:spPr>
    </xdr:sp>
    <xdr:clientData/>
  </xdr:twoCellAnchor>
  <xdr:twoCellAnchor editAs="oneCell">
    <xdr:from>
      <xdr:col>0</xdr:col>
      <xdr:colOff>0</xdr:colOff>
      <xdr:row>46</xdr:row>
      <xdr:rowOff>0</xdr:rowOff>
    </xdr:from>
    <xdr:to>
      <xdr:col>8</xdr:col>
      <xdr:colOff>365760</xdr:colOff>
      <xdr:row>64</xdr:row>
      <xdr:rowOff>152400</xdr:rowOff>
    </xdr:to>
    <xdr:sp macro="" textlink="">
      <xdr:nvSpPr>
        <xdr:cNvPr id="4" name="AutoShape 1" descr="Graph of  Discharge, cubic feet per second">
          <a:extLst>
            <a:ext uri="{FF2B5EF4-FFF2-40B4-BE49-F238E27FC236}">
              <a16:creationId xmlns:a16="http://schemas.microsoft.com/office/drawing/2014/main" id="{00000000-0008-0000-2600-000004000000}"/>
            </a:ext>
          </a:extLst>
        </xdr:cNvPr>
        <xdr:cNvSpPr>
          <a:spLocks noChangeAspect="1" noChangeArrowheads="1"/>
        </xdr:cNvSpPr>
      </xdr:nvSpPr>
      <xdr:spPr bwMode="auto">
        <a:xfrm>
          <a:off x="0" y="8343900"/>
          <a:ext cx="5958840" cy="3429000"/>
        </a:xfrm>
        <a:prstGeom prst="rect">
          <a:avLst/>
        </a:prstGeom>
        <a:noFill/>
      </xdr:spPr>
    </xdr:sp>
    <xdr:clientData/>
  </xdr:twoCellAnchor>
  <xdr:twoCellAnchor editAs="oneCell">
    <xdr:from>
      <xdr:col>0</xdr:col>
      <xdr:colOff>0</xdr:colOff>
      <xdr:row>48</xdr:row>
      <xdr:rowOff>0</xdr:rowOff>
    </xdr:from>
    <xdr:to>
      <xdr:col>8</xdr:col>
      <xdr:colOff>365760</xdr:colOff>
      <xdr:row>66</xdr:row>
      <xdr:rowOff>160020</xdr:rowOff>
    </xdr:to>
    <xdr:sp macro="" textlink="">
      <xdr:nvSpPr>
        <xdr:cNvPr id="5" name="AutoShape 2" descr="Graph of  Discharge, cubic feet per second">
          <a:extLst>
            <a:ext uri="{FF2B5EF4-FFF2-40B4-BE49-F238E27FC236}">
              <a16:creationId xmlns:a16="http://schemas.microsoft.com/office/drawing/2014/main" id="{00000000-0008-0000-2600-000005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48</xdr:row>
      <xdr:rowOff>0</xdr:rowOff>
    </xdr:from>
    <xdr:to>
      <xdr:col>8</xdr:col>
      <xdr:colOff>365760</xdr:colOff>
      <xdr:row>66</xdr:row>
      <xdr:rowOff>160020</xdr:rowOff>
    </xdr:to>
    <xdr:sp macro="" textlink="">
      <xdr:nvSpPr>
        <xdr:cNvPr id="6" name="AutoShape 3" descr="Graph of  Discharge, cubic feet per second">
          <a:extLst>
            <a:ext uri="{FF2B5EF4-FFF2-40B4-BE49-F238E27FC236}">
              <a16:creationId xmlns:a16="http://schemas.microsoft.com/office/drawing/2014/main" id="{00000000-0008-0000-2600-000006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43</xdr:row>
      <xdr:rowOff>0</xdr:rowOff>
    </xdr:from>
    <xdr:to>
      <xdr:col>8</xdr:col>
      <xdr:colOff>327660</xdr:colOff>
      <xdr:row>64</xdr:row>
      <xdr:rowOff>64770</xdr:rowOff>
    </xdr:to>
    <xdr:sp macro="" textlink="">
      <xdr:nvSpPr>
        <xdr:cNvPr id="7" name="AutoShape 5" descr="Graph of  Discharge, cubic feet per second">
          <a:extLst>
            <a:ext uri="{FF2B5EF4-FFF2-40B4-BE49-F238E27FC236}">
              <a16:creationId xmlns:a16="http://schemas.microsoft.com/office/drawing/2014/main" id="{00000000-0008-0000-2600-000007000000}"/>
            </a:ext>
          </a:extLst>
        </xdr:cNvPr>
        <xdr:cNvSpPr>
          <a:spLocks noChangeAspect="1" noChangeArrowheads="1"/>
        </xdr:cNvSpPr>
      </xdr:nvSpPr>
      <xdr:spPr bwMode="auto">
        <a:xfrm>
          <a:off x="0" y="7818120"/>
          <a:ext cx="5920740" cy="3890010"/>
        </a:xfrm>
        <a:prstGeom prst="rect">
          <a:avLst/>
        </a:prstGeom>
        <a:noFill/>
      </xdr:spPr>
    </xdr:sp>
    <xdr:clientData/>
  </xdr:twoCellAnchor>
  <xdr:twoCellAnchor>
    <xdr:from>
      <xdr:col>9</xdr:col>
      <xdr:colOff>613411</xdr:colOff>
      <xdr:row>0</xdr:row>
      <xdr:rowOff>106681</xdr:rowOff>
    </xdr:from>
    <xdr:to>
      <xdr:col>16</xdr:col>
      <xdr:colOff>76200</xdr:colOff>
      <xdr:row>13</xdr:row>
      <xdr:rowOff>108586</xdr:rowOff>
    </xdr:to>
    <xdr:graphicFrame macro="">
      <xdr:nvGraphicFramePr>
        <xdr:cNvPr id="8" name="Chart 7">
          <a:extLst>
            <a:ext uri="{FF2B5EF4-FFF2-40B4-BE49-F238E27FC236}">
              <a16:creationId xmlns:a16="http://schemas.microsoft.com/office/drawing/2014/main" id="{00000000-0008-0000-2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9" name="Chart 8">
          <a:extLst>
            <a:ext uri="{FF2B5EF4-FFF2-40B4-BE49-F238E27FC236}">
              <a16:creationId xmlns:a16="http://schemas.microsoft.com/office/drawing/2014/main" id="{00000000-0008-0000-2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10" name="Chart 9">
          <a:extLst>
            <a:ext uri="{FF2B5EF4-FFF2-40B4-BE49-F238E27FC236}">
              <a16:creationId xmlns:a16="http://schemas.microsoft.com/office/drawing/2014/main" id="{00000000-0008-0000-2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11" name="Chart 10">
          <a:extLst>
            <a:ext uri="{FF2B5EF4-FFF2-40B4-BE49-F238E27FC236}">
              <a16:creationId xmlns:a16="http://schemas.microsoft.com/office/drawing/2014/main" id="{00000000-0008-0000-2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38100</xdr:colOff>
      <xdr:row>6</xdr:row>
      <xdr:rowOff>76200</xdr:rowOff>
    </xdr:from>
    <xdr:to>
      <xdr:col>18</xdr:col>
      <xdr:colOff>546735</xdr:colOff>
      <xdr:row>27</xdr:row>
      <xdr:rowOff>169545</xdr:rowOff>
    </xdr:to>
    <xdr:sp macro="" textlink="">
      <xdr:nvSpPr>
        <xdr:cNvPr id="3" name="AutoShape 2" descr="Graph of  Discharge, cubic feet per second">
          <a:extLst>
            <a:ext uri="{FF2B5EF4-FFF2-40B4-BE49-F238E27FC236}">
              <a16:creationId xmlns:a16="http://schemas.microsoft.com/office/drawing/2014/main" id="{00000000-0008-0000-2700-000003000000}"/>
            </a:ext>
          </a:extLst>
        </xdr:cNvPr>
        <xdr:cNvSpPr>
          <a:spLocks noChangeAspect="1" noChangeArrowheads="1"/>
        </xdr:cNvSpPr>
      </xdr:nvSpPr>
      <xdr:spPr bwMode="auto">
        <a:xfrm>
          <a:off x="8648700" y="1097280"/>
          <a:ext cx="5705475" cy="3621405"/>
        </a:xfrm>
        <a:prstGeom prst="rect">
          <a:avLst/>
        </a:prstGeom>
        <a:noFill/>
      </xdr:spPr>
    </xdr:sp>
    <xdr:clientData/>
  </xdr:twoCellAnchor>
  <xdr:twoCellAnchor editAs="oneCell">
    <xdr:from>
      <xdr:col>0</xdr:col>
      <xdr:colOff>0</xdr:colOff>
      <xdr:row>46</xdr:row>
      <xdr:rowOff>0</xdr:rowOff>
    </xdr:from>
    <xdr:to>
      <xdr:col>8</xdr:col>
      <xdr:colOff>190500</xdr:colOff>
      <xdr:row>64</xdr:row>
      <xdr:rowOff>144780</xdr:rowOff>
    </xdr:to>
    <xdr:sp macro="" textlink="">
      <xdr:nvSpPr>
        <xdr:cNvPr id="4" name="AutoShape 1" descr="Graph of  Discharge, cubic feet per second">
          <a:extLst>
            <a:ext uri="{FF2B5EF4-FFF2-40B4-BE49-F238E27FC236}">
              <a16:creationId xmlns:a16="http://schemas.microsoft.com/office/drawing/2014/main" id="{00000000-0008-0000-2700-000004000000}"/>
            </a:ext>
          </a:extLst>
        </xdr:cNvPr>
        <xdr:cNvSpPr>
          <a:spLocks noChangeAspect="1" noChangeArrowheads="1"/>
        </xdr:cNvSpPr>
      </xdr:nvSpPr>
      <xdr:spPr bwMode="auto">
        <a:xfrm>
          <a:off x="0" y="8343900"/>
          <a:ext cx="5958840" cy="3429000"/>
        </a:xfrm>
        <a:prstGeom prst="rect">
          <a:avLst/>
        </a:prstGeom>
        <a:noFill/>
      </xdr:spPr>
    </xdr:sp>
    <xdr:clientData/>
  </xdr:twoCellAnchor>
  <xdr:twoCellAnchor editAs="oneCell">
    <xdr:from>
      <xdr:col>0</xdr:col>
      <xdr:colOff>0</xdr:colOff>
      <xdr:row>48</xdr:row>
      <xdr:rowOff>0</xdr:rowOff>
    </xdr:from>
    <xdr:to>
      <xdr:col>8</xdr:col>
      <xdr:colOff>190500</xdr:colOff>
      <xdr:row>66</xdr:row>
      <xdr:rowOff>152400</xdr:rowOff>
    </xdr:to>
    <xdr:sp macro="" textlink="">
      <xdr:nvSpPr>
        <xdr:cNvPr id="5" name="AutoShape 2" descr="Graph of  Discharge, cubic feet per second">
          <a:extLst>
            <a:ext uri="{FF2B5EF4-FFF2-40B4-BE49-F238E27FC236}">
              <a16:creationId xmlns:a16="http://schemas.microsoft.com/office/drawing/2014/main" id="{00000000-0008-0000-2700-000005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48</xdr:row>
      <xdr:rowOff>0</xdr:rowOff>
    </xdr:from>
    <xdr:to>
      <xdr:col>8</xdr:col>
      <xdr:colOff>190500</xdr:colOff>
      <xdr:row>66</xdr:row>
      <xdr:rowOff>152400</xdr:rowOff>
    </xdr:to>
    <xdr:sp macro="" textlink="">
      <xdr:nvSpPr>
        <xdr:cNvPr id="6" name="AutoShape 3" descr="Graph of  Discharge, cubic feet per second">
          <a:extLst>
            <a:ext uri="{FF2B5EF4-FFF2-40B4-BE49-F238E27FC236}">
              <a16:creationId xmlns:a16="http://schemas.microsoft.com/office/drawing/2014/main" id="{00000000-0008-0000-2700-000006000000}"/>
            </a:ext>
          </a:extLst>
        </xdr:cNvPr>
        <xdr:cNvSpPr>
          <a:spLocks noChangeAspect="1" noChangeArrowheads="1"/>
        </xdr:cNvSpPr>
      </xdr:nvSpPr>
      <xdr:spPr bwMode="auto">
        <a:xfrm>
          <a:off x="0" y="8694420"/>
          <a:ext cx="5958840" cy="3436620"/>
        </a:xfrm>
        <a:prstGeom prst="rect">
          <a:avLst/>
        </a:prstGeom>
        <a:noFill/>
      </xdr:spPr>
    </xdr:sp>
    <xdr:clientData/>
  </xdr:twoCellAnchor>
  <xdr:twoCellAnchor editAs="oneCell">
    <xdr:from>
      <xdr:col>0</xdr:col>
      <xdr:colOff>0</xdr:colOff>
      <xdr:row>43</xdr:row>
      <xdr:rowOff>0</xdr:rowOff>
    </xdr:from>
    <xdr:to>
      <xdr:col>8</xdr:col>
      <xdr:colOff>152400</xdr:colOff>
      <xdr:row>64</xdr:row>
      <xdr:rowOff>57150</xdr:rowOff>
    </xdr:to>
    <xdr:sp macro="" textlink="">
      <xdr:nvSpPr>
        <xdr:cNvPr id="7" name="AutoShape 5" descr="Graph of  Discharge, cubic feet per second">
          <a:extLst>
            <a:ext uri="{FF2B5EF4-FFF2-40B4-BE49-F238E27FC236}">
              <a16:creationId xmlns:a16="http://schemas.microsoft.com/office/drawing/2014/main" id="{00000000-0008-0000-2700-000007000000}"/>
            </a:ext>
          </a:extLst>
        </xdr:cNvPr>
        <xdr:cNvSpPr>
          <a:spLocks noChangeAspect="1" noChangeArrowheads="1"/>
        </xdr:cNvSpPr>
      </xdr:nvSpPr>
      <xdr:spPr bwMode="auto">
        <a:xfrm>
          <a:off x="0" y="7818120"/>
          <a:ext cx="5920740" cy="3890010"/>
        </a:xfrm>
        <a:prstGeom prst="rect">
          <a:avLst/>
        </a:prstGeom>
        <a:noFill/>
      </xdr:spPr>
    </xdr:sp>
    <xdr:clientData/>
  </xdr:twoCellAnchor>
  <xdr:twoCellAnchor>
    <xdr:from>
      <xdr:col>9</xdr:col>
      <xdr:colOff>613411</xdr:colOff>
      <xdr:row>0</xdr:row>
      <xdr:rowOff>106681</xdr:rowOff>
    </xdr:from>
    <xdr:to>
      <xdr:col>16</xdr:col>
      <xdr:colOff>76200</xdr:colOff>
      <xdr:row>13</xdr:row>
      <xdr:rowOff>108586</xdr:rowOff>
    </xdr:to>
    <xdr:graphicFrame macro="">
      <xdr:nvGraphicFramePr>
        <xdr:cNvPr id="8" name="Chart 7">
          <a:extLst>
            <a:ext uri="{FF2B5EF4-FFF2-40B4-BE49-F238E27FC236}">
              <a16:creationId xmlns:a16="http://schemas.microsoft.com/office/drawing/2014/main" id="{00000000-0008-0000-2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9" name="Chart 8">
          <a:extLst>
            <a:ext uri="{FF2B5EF4-FFF2-40B4-BE49-F238E27FC236}">
              <a16:creationId xmlns:a16="http://schemas.microsoft.com/office/drawing/2014/main" id="{00000000-0008-0000-2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10" name="Chart 9">
          <a:extLst>
            <a:ext uri="{FF2B5EF4-FFF2-40B4-BE49-F238E27FC236}">
              <a16:creationId xmlns:a16="http://schemas.microsoft.com/office/drawing/2014/main" id="{00000000-0008-0000-2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11" name="Chart 10">
          <a:extLst>
            <a:ext uri="{FF2B5EF4-FFF2-40B4-BE49-F238E27FC236}">
              <a16:creationId xmlns:a16="http://schemas.microsoft.com/office/drawing/2014/main" id="{00000000-0008-0000-2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38100</xdr:colOff>
      <xdr:row>6</xdr:row>
      <xdr:rowOff>76200</xdr:rowOff>
    </xdr:from>
    <xdr:to>
      <xdr:col>19</xdr:col>
      <xdr:colOff>441960</xdr:colOff>
      <xdr:row>27</xdr:row>
      <xdr:rowOff>160020</xdr:rowOff>
    </xdr:to>
    <xdr:sp macro="" textlink="">
      <xdr:nvSpPr>
        <xdr:cNvPr id="2" name="AutoShape 2" descr="Graph of  Discharge, cubic feet per second">
          <a:extLst>
            <a:ext uri="{FF2B5EF4-FFF2-40B4-BE49-F238E27FC236}">
              <a16:creationId xmlns:a16="http://schemas.microsoft.com/office/drawing/2014/main" id="{00000000-0008-0000-2800-000002000000}"/>
            </a:ext>
          </a:extLst>
        </xdr:cNvPr>
        <xdr:cNvSpPr>
          <a:spLocks noChangeAspect="1" noChangeArrowheads="1"/>
        </xdr:cNvSpPr>
      </xdr:nvSpPr>
      <xdr:spPr bwMode="auto">
        <a:xfrm>
          <a:off x="8486775" y="1104900"/>
          <a:ext cx="5766435" cy="3522345"/>
        </a:xfrm>
        <a:prstGeom prst="rect">
          <a:avLst/>
        </a:prstGeom>
        <a:noFill/>
      </xdr:spPr>
    </xdr:sp>
    <xdr:clientData/>
  </xdr:twoCellAnchor>
  <xdr:twoCellAnchor editAs="oneCell">
    <xdr:from>
      <xdr:col>0</xdr:col>
      <xdr:colOff>0</xdr:colOff>
      <xdr:row>43</xdr:row>
      <xdr:rowOff>0</xdr:rowOff>
    </xdr:from>
    <xdr:to>
      <xdr:col>7</xdr:col>
      <xdr:colOff>85725</xdr:colOff>
      <xdr:row>62</xdr:row>
      <xdr:rowOff>19050</xdr:rowOff>
    </xdr:to>
    <xdr:sp macro="" textlink="">
      <xdr:nvSpPr>
        <xdr:cNvPr id="6" name="AutoShape 5" descr="Graph of  Discharge, cubic feet per second">
          <a:extLst>
            <a:ext uri="{FF2B5EF4-FFF2-40B4-BE49-F238E27FC236}">
              <a16:creationId xmlns:a16="http://schemas.microsoft.com/office/drawing/2014/main" id="{00000000-0008-0000-2800-000006000000}"/>
            </a:ext>
          </a:extLst>
        </xdr:cNvPr>
        <xdr:cNvSpPr>
          <a:spLocks noChangeAspect="1" noChangeArrowheads="1"/>
        </xdr:cNvSpPr>
      </xdr:nvSpPr>
      <xdr:spPr bwMode="auto">
        <a:xfrm>
          <a:off x="0" y="7858125"/>
          <a:ext cx="5953125" cy="3857625"/>
        </a:xfrm>
        <a:prstGeom prst="rect">
          <a:avLst/>
        </a:prstGeom>
        <a:noFill/>
      </xdr:spPr>
    </xdr:sp>
    <xdr:clientData/>
  </xdr:twoCellAnchor>
  <xdr:twoCellAnchor>
    <xdr:from>
      <xdr:col>9</xdr:col>
      <xdr:colOff>238125</xdr:colOff>
      <xdr:row>0</xdr:row>
      <xdr:rowOff>106681</xdr:rowOff>
    </xdr:from>
    <xdr:to>
      <xdr:col>18</xdr:col>
      <xdr:colOff>295275</xdr:colOff>
      <xdr:row>17</xdr:row>
      <xdr:rowOff>28575</xdr:rowOff>
    </xdr:to>
    <xdr:graphicFrame macro="">
      <xdr:nvGraphicFramePr>
        <xdr:cNvPr id="7" name="Chart 6">
          <a:extLst>
            <a:ext uri="{FF2B5EF4-FFF2-40B4-BE49-F238E27FC236}">
              <a16:creationId xmlns:a16="http://schemas.microsoft.com/office/drawing/2014/main" id="{00000000-0008-0000-2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571499</xdr:colOff>
      <xdr:row>43</xdr:row>
      <xdr:rowOff>171450</xdr:rowOff>
    </xdr:from>
    <xdr:to>
      <xdr:col>18</xdr:col>
      <xdr:colOff>581025</xdr:colOff>
      <xdr:row>59</xdr:row>
      <xdr:rowOff>19050</xdr:rowOff>
    </xdr:to>
    <xdr:graphicFrame macro="">
      <xdr:nvGraphicFramePr>
        <xdr:cNvPr id="8" name="Chart 7">
          <a:extLst>
            <a:ext uri="{FF2B5EF4-FFF2-40B4-BE49-F238E27FC236}">
              <a16:creationId xmlns:a16="http://schemas.microsoft.com/office/drawing/2014/main" id="{00000000-0008-0000-2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561974</xdr:colOff>
      <xdr:row>60</xdr:row>
      <xdr:rowOff>28575</xdr:rowOff>
    </xdr:from>
    <xdr:to>
      <xdr:col>18</xdr:col>
      <xdr:colOff>590550</xdr:colOff>
      <xdr:row>75</xdr:row>
      <xdr:rowOff>66675</xdr:rowOff>
    </xdr:to>
    <xdr:graphicFrame macro="">
      <xdr:nvGraphicFramePr>
        <xdr:cNvPr id="9" name="Chart 8">
          <a:extLst>
            <a:ext uri="{FF2B5EF4-FFF2-40B4-BE49-F238E27FC236}">
              <a16:creationId xmlns:a16="http://schemas.microsoft.com/office/drawing/2014/main" id="{00000000-0008-0000-2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571498</xdr:colOff>
      <xdr:row>76</xdr:row>
      <xdr:rowOff>104775</xdr:rowOff>
    </xdr:from>
    <xdr:to>
      <xdr:col>18</xdr:col>
      <xdr:colOff>590549</xdr:colOff>
      <xdr:row>93</xdr:row>
      <xdr:rowOff>66675</xdr:rowOff>
    </xdr:to>
    <xdr:graphicFrame macro="">
      <xdr:nvGraphicFramePr>
        <xdr:cNvPr id="10" name="Chart 9">
          <a:extLst>
            <a:ext uri="{FF2B5EF4-FFF2-40B4-BE49-F238E27FC236}">
              <a16:creationId xmlns:a16="http://schemas.microsoft.com/office/drawing/2014/main" id="{00000000-0008-0000-2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76199</xdr:colOff>
      <xdr:row>1</xdr:row>
      <xdr:rowOff>57151</xdr:rowOff>
    </xdr:from>
    <xdr:to>
      <xdr:col>18</xdr:col>
      <xdr:colOff>142874</xdr:colOff>
      <xdr:row>19</xdr:row>
      <xdr:rowOff>76201</xdr:rowOff>
    </xdr:to>
    <xdr:graphicFrame macro="">
      <xdr:nvGraphicFramePr>
        <xdr:cNvPr id="3409" name="Chart 1">
          <a:extLst>
            <a:ext uri="{FF2B5EF4-FFF2-40B4-BE49-F238E27FC236}">
              <a16:creationId xmlns:a16="http://schemas.microsoft.com/office/drawing/2014/main" id="{00000000-0008-0000-0400-000051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20</xdr:row>
      <xdr:rowOff>0</xdr:rowOff>
    </xdr:from>
    <xdr:to>
      <xdr:col>18</xdr:col>
      <xdr:colOff>523875</xdr:colOff>
      <xdr:row>41</xdr:row>
      <xdr:rowOff>104775</xdr:rowOff>
    </xdr:to>
    <xdr:graphicFrame macro="">
      <xdr:nvGraphicFramePr>
        <xdr:cNvPr id="3410" name="Chart 2">
          <a:extLst>
            <a:ext uri="{FF2B5EF4-FFF2-40B4-BE49-F238E27FC236}">
              <a16:creationId xmlns:a16="http://schemas.microsoft.com/office/drawing/2014/main" id="{00000000-0008-0000-0400-000052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9525</xdr:colOff>
      <xdr:row>42</xdr:row>
      <xdr:rowOff>76201</xdr:rowOff>
    </xdr:from>
    <xdr:to>
      <xdr:col>18</xdr:col>
      <xdr:colOff>533400</xdr:colOff>
      <xdr:row>62</xdr:row>
      <xdr:rowOff>57151</xdr:rowOff>
    </xdr:to>
    <xdr:graphicFrame macro="">
      <xdr:nvGraphicFramePr>
        <xdr:cNvPr id="3411" name="Chart 3">
          <a:extLst>
            <a:ext uri="{FF2B5EF4-FFF2-40B4-BE49-F238E27FC236}">
              <a16:creationId xmlns:a16="http://schemas.microsoft.com/office/drawing/2014/main" id="{00000000-0008-0000-0400-000053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590550</xdr:colOff>
      <xdr:row>63</xdr:row>
      <xdr:rowOff>57151</xdr:rowOff>
    </xdr:from>
    <xdr:to>
      <xdr:col>19</xdr:col>
      <xdr:colOff>19050</xdr:colOff>
      <xdr:row>82</xdr:row>
      <xdr:rowOff>133351</xdr:rowOff>
    </xdr:to>
    <xdr:graphicFrame macro="">
      <xdr:nvGraphicFramePr>
        <xdr:cNvPr id="3412" name="Chart 4">
          <a:extLst>
            <a:ext uri="{FF2B5EF4-FFF2-40B4-BE49-F238E27FC236}">
              <a16:creationId xmlns:a16="http://schemas.microsoft.com/office/drawing/2014/main" id="{00000000-0008-0000-0400-0000540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76199</xdr:colOff>
      <xdr:row>1</xdr:row>
      <xdr:rowOff>57151</xdr:rowOff>
    </xdr:from>
    <xdr:to>
      <xdr:col>19</xdr:col>
      <xdr:colOff>9525</xdr:colOff>
      <xdr:row>19</xdr:row>
      <xdr:rowOff>76201</xdr:rowOff>
    </xdr:to>
    <xdr:graphicFrame macro="">
      <xdr:nvGraphicFramePr>
        <xdr:cNvPr id="6" name="Chart 1">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38100</xdr:colOff>
      <xdr:row>20</xdr:row>
      <xdr:rowOff>0</xdr:rowOff>
    </xdr:from>
    <xdr:to>
      <xdr:col>18</xdr:col>
      <xdr:colOff>523875</xdr:colOff>
      <xdr:row>41</xdr:row>
      <xdr:rowOff>104775</xdr:rowOff>
    </xdr:to>
    <xdr:graphicFrame macro="">
      <xdr:nvGraphicFramePr>
        <xdr:cNvPr id="7" name="Chart 2">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9525</xdr:colOff>
      <xdr:row>42</xdr:row>
      <xdr:rowOff>76201</xdr:rowOff>
    </xdr:from>
    <xdr:to>
      <xdr:col>18</xdr:col>
      <xdr:colOff>533400</xdr:colOff>
      <xdr:row>62</xdr:row>
      <xdr:rowOff>57151</xdr:rowOff>
    </xdr:to>
    <xdr:graphicFrame macro="">
      <xdr:nvGraphicFramePr>
        <xdr:cNvPr id="8" name="Chart 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590550</xdr:colOff>
      <xdr:row>63</xdr:row>
      <xdr:rowOff>57151</xdr:rowOff>
    </xdr:from>
    <xdr:to>
      <xdr:col>19</xdr:col>
      <xdr:colOff>19050</xdr:colOff>
      <xdr:row>82</xdr:row>
      <xdr:rowOff>133351</xdr:rowOff>
    </xdr:to>
    <xdr:graphicFrame macro="">
      <xdr:nvGraphicFramePr>
        <xdr:cNvPr id="9" name="Chart 4">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266700</xdr:colOff>
      <xdr:row>63</xdr:row>
      <xdr:rowOff>55244</xdr:rowOff>
    </xdr:from>
    <xdr:to>
      <xdr:col>23</xdr:col>
      <xdr:colOff>38100</xdr:colOff>
      <xdr:row>82</xdr:row>
      <xdr:rowOff>160019</xdr:rowOff>
    </xdr:to>
    <xdr:graphicFrame macro="">
      <xdr:nvGraphicFramePr>
        <xdr:cNvPr id="2" name="Chart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289560</xdr:colOff>
      <xdr:row>23</xdr:row>
      <xdr:rowOff>22860</xdr:rowOff>
    </xdr:from>
    <xdr:to>
      <xdr:col>26</xdr:col>
      <xdr:colOff>274320</xdr:colOff>
      <xdr:row>41</xdr:row>
      <xdr:rowOff>80010</xdr:rowOff>
    </xdr:to>
    <xdr:graphicFrame macro="">
      <xdr:nvGraphicFramePr>
        <xdr:cNvPr id="3" name="Chart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281940</xdr:colOff>
      <xdr:row>42</xdr:row>
      <xdr:rowOff>129540</xdr:rowOff>
    </xdr:from>
    <xdr:to>
      <xdr:col>26</xdr:col>
      <xdr:colOff>243840</xdr:colOff>
      <xdr:row>61</xdr:row>
      <xdr:rowOff>19050</xdr:rowOff>
    </xdr:to>
    <xdr:graphicFrame macro="">
      <xdr:nvGraphicFramePr>
        <xdr:cNvPr id="4" name="Chart 3">
          <a:extLst>
            <a:ext uri="{FF2B5EF4-FFF2-40B4-BE49-F238E27FC236}">
              <a16:creationId xmlns:a16="http://schemas.microsoft.com/office/drawing/2014/main" id="{00000000-0008-0000-2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281940</xdr:colOff>
      <xdr:row>2</xdr:row>
      <xdr:rowOff>0</xdr:rowOff>
    </xdr:from>
    <xdr:to>
      <xdr:col>32</xdr:col>
      <xdr:colOff>304800</xdr:colOff>
      <xdr:row>21</xdr:row>
      <xdr:rowOff>144780</xdr:rowOff>
    </xdr:to>
    <xdr:graphicFrame macro="">
      <xdr:nvGraphicFramePr>
        <xdr:cNvPr id="5" name="Chart 4">
          <a:extLst>
            <a:ext uri="{FF2B5EF4-FFF2-40B4-BE49-F238E27FC236}">
              <a16:creationId xmlns:a16="http://schemas.microsoft.com/office/drawing/2014/main"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386714</xdr:colOff>
      <xdr:row>2</xdr:row>
      <xdr:rowOff>85725</xdr:rowOff>
    </xdr:from>
    <xdr:to>
      <xdr:col>21</xdr:col>
      <xdr:colOff>348615</xdr:colOff>
      <xdr:row>27</xdr:row>
      <xdr:rowOff>51434</xdr:rowOff>
    </xdr:to>
    <xdr:graphicFrame macro="">
      <xdr:nvGraphicFramePr>
        <xdr:cNvPr id="2" name="Chart 1">
          <a:extLst>
            <a:ext uri="{FF2B5EF4-FFF2-40B4-BE49-F238E27FC236}">
              <a16:creationId xmlns:a16="http://schemas.microsoft.com/office/drawing/2014/main" id="{00000000-0008-0000-2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257174</xdr:colOff>
      <xdr:row>17</xdr:row>
      <xdr:rowOff>152399</xdr:rowOff>
    </xdr:from>
    <xdr:to>
      <xdr:col>16</xdr:col>
      <xdr:colOff>257174</xdr:colOff>
      <xdr:row>39</xdr:row>
      <xdr:rowOff>66674</xdr:rowOff>
    </xdr:to>
    <xdr:graphicFrame macro="">
      <xdr:nvGraphicFramePr>
        <xdr:cNvPr id="2" name="Chart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161925</xdr:colOff>
      <xdr:row>18</xdr:row>
      <xdr:rowOff>9524</xdr:rowOff>
    </xdr:from>
    <xdr:to>
      <xdr:col>31</xdr:col>
      <xdr:colOff>400050</xdr:colOff>
      <xdr:row>39</xdr:row>
      <xdr:rowOff>0</xdr:rowOff>
    </xdr:to>
    <xdr:graphicFrame macro="">
      <xdr:nvGraphicFramePr>
        <xdr:cNvPr id="3" name="Chart 2">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33</xdr:col>
      <xdr:colOff>0</xdr:colOff>
      <xdr:row>1</xdr:row>
      <xdr:rowOff>0</xdr:rowOff>
    </xdr:from>
    <xdr:to>
      <xdr:col>42</xdr:col>
      <xdr:colOff>415290</xdr:colOff>
      <xdr:row>4</xdr:row>
      <xdr:rowOff>99060</xdr:rowOff>
    </xdr:to>
    <xdr:sp macro="" textlink="">
      <xdr:nvSpPr>
        <xdr:cNvPr id="4" name="AutoShape 2" descr="Graph of  Discharge, cubic feet per second">
          <a:extLst>
            <a:ext uri="{FF2B5EF4-FFF2-40B4-BE49-F238E27FC236}">
              <a16:creationId xmlns:a16="http://schemas.microsoft.com/office/drawing/2014/main" id="{00000000-0008-0000-2C00-000004000000}"/>
            </a:ext>
          </a:extLst>
        </xdr:cNvPr>
        <xdr:cNvSpPr>
          <a:spLocks noChangeAspect="1" noChangeArrowheads="1"/>
        </xdr:cNvSpPr>
      </xdr:nvSpPr>
      <xdr:spPr bwMode="auto">
        <a:xfrm>
          <a:off x="13658850" y="161925"/>
          <a:ext cx="5901690" cy="3522345"/>
        </a:xfrm>
        <a:prstGeom prst="rect">
          <a:avLst/>
        </a:prstGeom>
        <a:noFill/>
      </xdr:spPr>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739140</xdr:colOff>
      <xdr:row>17</xdr:row>
      <xdr:rowOff>99060</xdr:rowOff>
    </xdr:from>
    <xdr:to>
      <xdr:col>9</xdr:col>
      <xdr:colOff>289560</xdr:colOff>
      <xdr:row>38</xdr:row>
      <xdr:rowOff>7620</xdr:rowOff>
    </xdr:to>
    <xdr:graphicFrame macro="">
      <xdr:nvGraphicFramePr>
        <xdr:cNvPr id="3" name="Chart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205740</xdr:colOff>
      <xdr:row>17</xdr:row>
      <xdr:rowOff>83820</xdr:rowOff>
    </xdr:from>
    <xdr:to>
      <xdr:col>18</xdr:col>
      <xdr:colOff>198120</xdr:colOff>
      <xdr:row>38</xdr:row>
      <xdr:rowOff>0</xdr:rowOff>
    </xdr:to>
    <xdr:graphicFrame macro="">
      <xdr:nvGraphicFramePr>
        <xdr:cNvPr id="4" name="Chart 3">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312420</xdr:colOff>
      <xdr:row>1</xdr:row>
      <xdr:rowOff>22860</xdr:rowOff>
    </xdr:from>
    <xdr:to>
      <xdr:col>19</xdr:col>
      <xdr:colOff>7620</xdr:colOff>
      <xdr:row>16</xdr:row>
      <xdr:rowOff>114300</xdr:rowOff>
    </xdr:to>
    <xdr:graphicFrame macro="">
      <xdr:nvGraphicFramePr>
        <xdr:cNvPr id="5" name="Chart 4">
          <a:extLst>
            <a:ext uri="{FF2B5EF4-FFF2-40B4-BE49-F238E27FC236}">
              <a16:creationId xmlns:a16="http://schemas.microsoft.com/office/drawing/2014/main" id="{00000000-0008-0000-2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739140</xdr:colOff>
      <xdr:row>40</xdr:row>
      <xdr:rowOff>22860</xdr:rowOff>
    </xdr:from>
    <xdr:to>
      <xdr:col>9</xdr:col>
      <xdr:colOff>274320</xdr:colOff>
      <xdr:row>57</xdr:row>
      <xdr:rowOff>114300</xdr:rowOff>
    </xdr:to>
    <xdr:graphicFrame macro="">
      <xdr:nvGraphicFramePr>
        <xdr:cNvPr id="6" name="Chart 5">
          <a:extLst>
            <a:ext uri="{FF2B5EF4-FFF2-40B4-BE49-F238E27FC236}">
              <a16:creationId xmlns:a16="http://schemas.microsoft.com/office/drawing/2014/main" id="{00000000-0008-0000-2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5</xdr:col>
      <xdr:colOff>22860</xdr:colOff>
      <xdr:row>17</xdr:row>
      <xdr:rowOff>53340</xdr:rowOff>
    </xdr:from>
    <xdr:to>
      <xdr:col>10</xdr:col>
      <xdr:colOff>929640</xdr:colOff>
      <xdr:row>33</xdr:row>
      <xdr:rowOff>114300</xdr:rowOff>
    </xdr:to>
    <xdr:graphicFrame macro="">
      <xdr:nvGraphicFramePr>
        <xdr:cNvPr id="3" name="Chart 2">
          <a:extLst>
            <a:ext uri="{FF2B5EF4-FFF2-40B4-BE49-F238E27FC236}">
              <a16:creationId xmlns:a16="http://schemas.microsoft.com/office/drawing/2014/main" id="{00000000-0008-0000-3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495300</xdr:colOff>
      <xdr:row>125</xdr:row>
      <xdr:rowOff>129540</xdr:rowOff>
    </xdr:from>
    <xdr:to>
      <xdr:col>39</xdr:col>
      <xdr:colOff>533400</xdr:colOff>
      <xdr:row>144</xdr:row>
      <xdr:rowOff>38100</xdr:rowOff>
    </xdr:to>
    <xdr:graphicFrame macro="">
      <xdr:nvGraphicFramePr>
        <xdr:cNvPr id="4" name="Chart 3">
          <a:extLst>
            <a:ext uri="{FF2B5EF4-FFF2-40B4-BE49-F238E27FC236}">
              <a16:creationId xmlns:a16="http://schemas.microsoft.com/office/drawing/2014/main" id="{00000000-0008-0000-3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171451</xdr:colOff>
      <xdr:row>47</xdr:row>
      <xdr:rowOff>28575</xdr:rowOff>
    </xdr:from>
    <xdr:to>
      <xdr:col>11</xdr:col>
      <xdr:colOff>171451</xdr:colOff>
      <xdr:row>61</xdr:row>
      <xdr:rowOff>19050</xdr:rowOff>
    </xdr:to>
    <xdr:graphicFrame macro="">
      <xdr:nvGraphicFramePr>
        <xdr:cNvPr id="4519" name="Chart 1">
          <a:extLst>
            <a:ext uri="{FF2B5EF4-FFF2-40B4-BE49-F238E27FC236}">
              <a16:creationId xmlns:a16="http://schemas.microsoft.com/office/drawing/2014/main" id="{00000000-0008-0000-0500-0000A71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171451</xdr:colOff>
      <xdr:row>47</xdr:row>
      <xdr:rowOff>28575</xdr:rowOff>
    </xdr:from>
    <xdr:to>
      <xdr:col>11</xdr:col>
      <xdr:colOff>171451</xdr:colOff>
      <xdr:row>61</xdr:row>
      <xdr:rowOff>19050</xdr:rowOff>
    </xdr:to>
    <xdr:graphicFrame macro="">
      <xdr:nvGraphicFramePr>
        <xdr:cNvPr id="7" name="Chart 1">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62</xdr:row>
      <xdr:rowOff>19050</xdr:rowOff>
    </xdr:from>
    <xdr:to>
      <xdr:col>5</xdr:col>
      <xdr:colOff>333375</xdr:colOff>
      <xdr:row>75</xdr:row>
      <xdr:rowOff>104775</xdr:rowOff>
    </xdr:to>
    <xdr:graphicFrame macro="">
      <xdr:nvGraphicFramePr>
        <xdr:cNvPr id="8" name="Chart 2">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123825</xdr:rowOff>
    </xdr:from>
    <xdr:to>
      <xdr:col>5</xdr:col>
      <xdr:colOff>495300</xdr:colOff>
      <xdr:row>91</xdr:row>
      <xdr:rowOff>28575</xdr:rowOff>
    </xdr:to>
    <xdr:graphicFrame macro="">
      <xdr:nvGraphicFramePr>
        <xdr:cNvPr id="9" name="Chart 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285750</xdr:colOff>
      <xdr:row>62</xdr:row>
      <xdr:rowOff>66675</xdr:rowOff>
    </xdr:from>
    <xdr:to>
      <xdr:col>14</xdr:col>
      <xdr:colOff>123825</xdr:colOff>
      <xdr:row>75</xdr:row>
      <xdr:rowOff>142875</xdr:rowOff>
    </xdr:to>
    <xdr:graphicFrame macro="">
      <xdr:nvGraphicFramePr>
        <xdr:cNvPr id="10" name="Chart 4">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295275</xdr:colOff>
      <xdr:row>77</xdr:row>
      <xdr:rowOff>104775</xdr:rowOff>
    </xdr:from>
    <xdr:to>
      <xdr:col>13</xdr:col>
      <xdr:colOff>790575</xdr:colOff>
      <xdr:row>91</xdr:row>
      <xdr:rowOff>47625</xdr:rowOff>
    </xdr:to>
    <xdr:graphicFrame macro="">
      <xdr:nvGraphicFramePr>
        <xdr:cNvPr id="11" name="Chart 5">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495300</xdr:colOff>
      <xdr:row>61</xdr:row>
      <xdr:rowOff>47625</xdr:rowOff>
    </xdr:from>
    <xdr:to>
      <xdr:col>22</xdr:col>
      <xdr:colOff>238125</xdr:colOff>
      <xdr:row>78</xdr:row>
      <xdr:rowOff>38100</xdr:rowOff>
    </xdr:to>
    <xdr:graphicFrame macro="">
      <xdr:nvGraphicFramePr>
        <xdr:cNvPr id="12" name="Chart 11">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381000</xdr:colOff>
      <xdr:row>40</xdr:row>
      <xdr:rowOff>47625</xdr:rowOff>
    </xdr:from>
    <xdr:to>
      <xdr:col>20</xdr:col>
      <xdr:colOff>485775</xdr:colOff>
      <xdr:row>59</xdr:row>
      <xdr:rowOff>104775</xdr:rowOff>
    </xdr:to>
    <xdr:graphicFrame macro="">
      <xdr:nvGraphicFramePr>
        <xdr:cNvPr id="8" name="Chart 2">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47625</xdr:colOff>
      <xdr:row>43</xdr:row>
      <xdr:rowOff>19050</xdr:rowOff>
    </xdr:from>
    <xdr:to>
      <xdr:col>20</xdr:col>
      <xdr:colOff>285751</xdr:colOff>
      <xdr:row>46</xdr:row>
      <xdr:rowOff>114300</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8401050" y="7038975"/>
          <a:ext cx="1457326" cy="609600"/>
        </a:xfrm>
        <a:prstGeom prst="rect">
          <a:avLst/>
        </a:prstGeom>
        <a:ln/>
      </xdr:spPr>
      <xdr:style>
        <a:lnRef idx="2">
          <a:schemeClr val="accent2"/>
        </a:lnRef>
        <a:fillRef idx="1">
          <a:schemeClr val="lt1"/>
        </a:fillRef>
        <a:effectRef idx="0">
          <a:schemeClr val="accent2"/>
        </a:effectRef>
        <a:fontRef idx="minor">
          <a:schemeClr val="dk1"/>
        </a:fontRef>
      </xdr:style>
      <xdr:txBody>
        <a:bodyPr wrap="square" rtlCol="0" anchor="t"/>
        <a:lstStyle/>
        <a:p>
          <a:r>
            <a:rPr lang="en-US" sz="800" b="0" i="0" u="none" strike="noStrike">
              <a:solidFill>
                <a:schemeClr val="dk1"/>
              </a:solidFill>
              <a:latin typeface="+mn-lt"/>
              <a:ea typeface="+mn-ea"/>
              <a:cs typeface="+mn-cs"/>
            </a:rPr>
            <a:t>30-45</a:t>
          </a:r>
          <a:r>
            <a:rPr lang="en-US" sz="800"/>
            <a:t> </a:t>
          </a:r>
          <a:r>
            <a:rPr lang="en-US" sz="800" b="0" i="0" u="none" strike="noStrike">
              <a:solidFill>
                <a:schemeClr val="dk1"/>
              </a:solidFill>
              <a:latin typeface="+mn-lt"/>
              <a:ea typeface="+mn-ea"/>
              <a:cs typeface="+mn-cs"/>
            </a:rPr>
            <a:t>Mesotrophic</a:t>
          </a:r>
          <a:r>
            <a:rPr lang="en-US" sz="800"/>
            <a:t> </a:t>
          </a:r>
        </a:p>
        <a:p>
          <a:r>
            <a:rPr lang="en-US" sz="800" b="0" i="0" u="none" strike="noStrike">
              <a:solidFill>
                <a:schemeClr val="dk1"/>
              </a:solidFill>
              <a:latin typeface="+mn-lt"/>
              <a:ea typeface="+mn-ea"/>
              <a:cs typeface="+mn-cs"/>
            </a:rPr>
            <a:t>45-50</a:t>
          </a:r>
          <a:r>
            <a:rPr lang="en-US" sz="800"/>
            <a:t> </a:t>
          </a:r>
          <a:r>
            <a:rPr lang="en-US" sz="800" b="0" i="0" u="none" strike="noStrike">
              <a:solidFill>
                <a:schemeClr val="dk1"/>
              </a:solidFill>
              <a:latin typeface="+mn-lt"/>
              <a:ea typeface="+mn-ea"/>
              <a:cs typeface="+mn-cs"/>
            </a:rPr>
            <a:t>Mesotrophic-Eutrophic</a:t>
          </a:r>
          <a:r>
            <a:rPr lang="en-US" sz="800"/>
            <a:t>  </a:t>
          </a:r>
          <a:r>
            <a:rPr lang="en-US" sz="800" b="0" i="0" u="none" strike="noStrike">
              <a:solidFill>
                <a:schemeClr val="dk1"/>
              </a:solidFill>
              <a:latin typeface="+mn-lt"/>
              <a:ea typeface="+mn-ea"/>
              <a:cs typeface="+mn-cs"/>
            </a:rPr>
            <a:t>50-65</a:t>
          </a:r>
          <a:r>
            <a:rPr lang="en-US" sz="800"/>
            <a:t> </a:t>
          </a:r>
          <a:r>
            <a:rPr lang="en-US" sz="800" b="0" i="0" u="none" strike="noStrike">
              <a:solidFill>
                <a:schemeClr val="dk1"/>
              </a:solidFill>
              <a:latin typeface="+mn-lt"/>
              <a:ea typeface="+mn-ea"/>
              <a:cs typeface="+mn-cs"/>
            </a:rPr>
            <a:t>Eutrophic</a:t>
          </a:r>
        </a:p>
        <a:p>
          <a:r>
            <a:rPr lang="en-US" sz="800"/>
            <a:t> </a:t>
          </a:r>
          <a:r>
            <a:rPr lang="en-US" sz="800" b="0" i="0" u="none" strike="noStrike">
              <a:solidFill>
                <a:schemeClr val="dk1"/>
              </a:solidFill>
              <a:latin typeface="+mn-lt"/>
              <a:ea typeface="+mn-ea"/>
              <a:cs typeface="+mn-cs"/>
            </a:rPr>
            <a:t>65+</a:t>
          </a:r>
          <a:r>
            <a:rPr lang="en-US" sz="800"/>
            <a:t> </a:t>
          </a:r>
          <a:r>
            <a:rPr lang="en-US" sz="800" b="0" i="0" u="none" strike="noStrike">
              <a:solidFill>
                <a:schemeClr val="dk1"/>
              </a:solidFill>
              <a:latin typeface="+mn-lt"/>
              <a:ea typeface="+mn-ea"/>
              <a:cs typeface="+mn-cs"/>
            </a:rPr>
            <a:t>Hypereutrophic</a:t>
          </a:r>
          <a:r>
            <a:rPr lang="en-US" sz="800"/>
            <a:t> </a:t>
          </a:r>
        </a:p>
      </xdr:txBody>
    </xdr:sp>
    <xdr:clientData/>
  </xdr:twoCellAnchor>
  <xdr:twoCellAnchor>
    <xdr:from>
      <xdr:col>6</xdr:col>
      <xdr:colOff>352425</xdr:colOff>
      <xdr:row>60</xdr:row>
      <xdr:rowOff>114300</xdr:rowOff>
    </xdr:from>
    <xdr:to>
      <xdr:col>20</xdr:col>
      <xdr:colOff>561975</xdr:colOff>
      <xdr:row>79</xdr:row>
      <xdr:rowOff>28575</xdr:rowOff>
    </xdr:to>
    <xdr:graphicFrame macro="">
      <xdr:nvGraphicFramePr>
        <xdr:cNvPr id="7" name="Chart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76200</xdr:colOff>
      <xdr:row>63</xdr:row>
      <xdr:rowOff>38100</xdr:rowOff>
    </xdr:from>
    <xdr:to>
      <xdr:col>20</xdr:col>
      <xdr:colOff>314326</xdr:colOff>
      <xdr:row>67</xdr:row>
      <xdr:rowOff>0</xdr:rowOff>
    </xdr:to>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8429625" y="10325100"/>
          <a:ext cx="1457326" cy="609600"/>
        </a:xfrm>
        <a:prstGeom prst="rect">
          <a:avLst/>
        </a:prstGeom>
        <a:gradFill>
          <a:gsLst>
            <a:gs pos="34000">
              <a:schemeClr val="bg1">
                <a:lumMod val="95000"/>
              </a:schemeClr>
            </a:gs>
            <a:gs pos="50000">
              <a:srgbClr val="4F81BD">
                <a:tint val="44500"/>
                <a:satMod val="160000"/>
              </a:srgbClr>
            </a:gs>
            <a:gs pos="100000">
              <a:srgbClr val="4F81BD">
                <a:tint val="23500"/>
                <a:satMod val="160000"/>
              </a:srgbClr>
            </a:gs>
          </a:gsLst>
          <a:lin ang="5400000" scaled="0"/>
        </a:gradFill>
        <a:ln/>
      </xdr:spPr>
      <xdr:style>
        <a:lnRef idx="2">
          <a:schemeClr val="accent2"/>
        </a:lnRef>
        <a:fillRef idx="1">
          <a:schemeClr val="lt1"/>
        </a:fillRef>
        <a:effectRef idx="0">
          <a:schemeClr val="accent2"/>
        </a:effectRef>
        <a:fontRef idx="minor">
          <a:schemeClr val="dk1"/>
        </a:fontRef>
      </xdr:style>
      <xdr:txBody>
        <a:bodyPr wrap="square" rtlCol="0" anchor="t"/>
        <a:lstStyle/>
        <a:p>
          <a:r>
            <a:rPr lang="en-US" sz="800" b="0" i="0" u="none" strike="noStrike">
              <a:solidFill>
                <a:schemeClr val="dk1"/>
              </a:solidFill>
              <a:latin typeface="+mn-lt"/>
              <a:ea typeface="+mn-ea"/>
              <a:cs typeface="+mn-cs"/>
            </a:rPr>
            <a:t>30-45</a:t>
          </a:r>
          <a:r>
            <a:rPr lang="en-US" sz="800"/>
            <a:t> </a:t>
          </a:r>
          <a:r>
            <a:rPr lang="en-US" sz="800" b="0" i="0" u="none" strike="noStrike">
              <a:solidFill>
                <a:schemeClr val="dk1"/>
              </a:solidFill>
              <a:latin typeface="+mn-lt"/>
              <a:ea typeface="+mn-ea"/>
              <a:cs typeface="+mn-cs"/>
            </a:rPr>
            <a:t>Mesotrophic</a:t>
          </a:r>
          <a:r>
            <a:rPr lang="en-US" sz="800"/>
            <a:t> </a:t>
          </a:r>
        </a:p>
        <a:p>
          <a:r>
            <a:rPr lang="en-US" sz="800" b="0" i="0" u="none" strike="noStrike">
              <a:solidFill>
                <a:schemeClr val="dk1"/>
              </a:solidFill>
              <a:latin typeface="+mn-lt"/>
              <a:ea typeface="+mn-ea"/>
              <a:cs typeface="+mn-cs"/>
            </a:rPr>
            <a:t>45-50</a:t>
          </a:r>
          <a:r>
            <a:rPr lang="en-US" sz="800"/>
            <a:t> </a:t>
          </a:r>
          <a:r>
            <a:rPr lang="en-US" sz="800" b="0" i="0" u="none" strike="noStrike">
              <a:solidFill>
                <a:schemeClr val="dk1"/>
              </a:solidFill>
              <a:latin typeface="+mn-lt"/>
              <a:ea typeface="+mn-ea"/>
              <a:cs typeface="+mn-cs"/>
            </a:rPr>
            <a:t>Mesotrophic-Eutrophic</a:t>
          </a:r>
          <a:r>
            <a:rPr lang="en-US" sz="800"/>
            <a:t>  </a:t>
          </a:r>
          <a:r>
            <a:rPr lang="en-US" sz="800" b="0" i="0" u="none" strike="noStrike">
              <a:solidFill>
                <a:schemeClr val="dk1"/>
              </a:solidFill>
              <a:latin typeface="+mn-lt"/>
              <a:ea typeface="+mn-ea"/>
              <a:cs typeface="+mn-cs"/>
            </a:rPr>
            <a:t>50-65</a:t>
          </a:r>
          <a:r>
            <a:rPr lang="en-US" sz="800"/>
            <a:t> </a:t>
          </a:r>
          <a:r>
            <a:rPr lang="en-US" sz="800" b="0" i="0" u="none" strike="noStrike">
              <a:solidFill>
                <a:schemeClr val="dk1"/>
              </a:solidFill>
              <a:latin typeface="+mn-lt"/>
              <a:ea typeface="+mn-ea"/>
              <a:cs typeface="+mn-cs"/>
            </a:rPr>
            <a:t>Eutrophic</a:t>
          </a:r>
        </a:p>
        <a:p>
          <a:r>
            <a:rPr lang="en-US" sz="800"/>
            <a:t> </a:t>
          </a:r>
          <a:r>
            <a:rPr lang="en-US" sz="800" b="0" i="0" u="none" strike="noStrike">
              <a:solidFill>
                <a:schemeClr val="dk1"/>
              </a:solidFill>
              <a:latin typeface="+mn-lt"/>
              <a:ea typeface="+mn-ea"/>
              <a:cs typeface="+mn-cs"/>
            </a:rPr>
            <a:t>65+</a:t>
          </a:r>
          <a:r>
            <a:rPr lang="en-US" sz="800"/>
            <a:t> </a:t>
          </a:r>
          <a:r>
            <a:rPr lang="en-US" sz="800" b="0" i="0" u="none" strike="noStrike">
              <a:solidFill>
                <a:schemeClr val="dk1"/>
              </a:solidFill>
              <a:latin typeface="+mn-lt"/>
              <a:ea typeface="+mn-ea"/>
              <a:cs typeface="+mn-cs"/>
            </a:rPr>
            <a:t>Hypereutrophic</a:t>
          </a:r>
          <a:r>
            <a:rPr lang="en-US" sz="800"/>
            <a:t> </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0.61617</cdr:x>
      <cdr:y>0.24597</cdr:y>
    </cdr:from>
    <cdr:to>
      <cdr:x>0.61617</cdr:x>
      <cdr:y>0.24597</cdr:y>
    </cdr:to>
    <cdr:sp macro="" textlink="">
      <cdr:nvSpPr>
        <cdr:cNvPr id="7170" name="Text Box 2"/>
        <cdr:cNvSpPr txBox="1">
          <a:spLocks xmlns:a="http://schemas.openxmlformats.org/drawingml/2006/main" noChangeArrowheads="1"/>
        </cdr:cNvSpPr>
      </cdr:nvSpPr>
      <cdr:spPr bwMode="auto">
        <a:xfrm xmlns:a="http://schemas.openxmlformats.org/drawingml/2006/main">
          <a:off x="3336768" y="750552"/>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strike="noStrike">
              <a:solidFill>
                <a:srgbClr val="FF0000"/>
              </a:solidFill>
              <a:latin typeface="Arial"/>
              <a:cs typeface="Arial"/>
            </a:rPr>
            <a:t>Eutrophic</a:t>
          </a:r>
        </a:p>
      </cdr:txBody>
    </cdr:sp>
  </cdr:relSizeAnchor>
  <cdr:relSizeAnchor xmlns:cdr="http://schemas.openxmlformats.org/drawingml/2006/chartDrawing">
    <cdr:from>
      <cdr:x>0.47618</cdr:x>
      <cdr:y>0.52397</cdr:y>
    </cdr:from>
    <cdr:to>
      <cdr:x>0.47618</cdr:x>
      <cdr:y>0.52397</cdr:y>
    </cdr:to>
    <cdr:sp macro="" textlink="">
      <cdr:nvSpPr>
        <cdr:cNvPr id="7171" name="Text Box 3"/>
        <cdr:cNvSpPr txBox="1">
          <a:spLocks xmlns:a="http://schemas.openxmlformats.org/drawingml/2006/main" noChangeArrowheads="1"/>
        </cdr:cNvSpPr>
      </cdr:nvSpPr>
      <cdr:spPr bwMode="auto">
        <a:xfrm xmlns:a="http://schemas.openxmlformats.org/drawingml/2006/main">
          <a:off x="2579387" y="159525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strike="noStrike">
              <a:solidFill>
                <a:srgbClr val="FF0000"/>
              </a:solidFill>
              <a:latin typeface="Arial"/>
              <a:cs typeface="Arial"/>
            </a:rPr>
            <a:t>Mesotropic</a:t>
          </a:r>
        </a:p>
      </cdr:txBody>
    </cdr:sp>
  </cdr:relSizeAnchor>
</c:userShapes>
</file>

<file path=xl/drawings/drawing8.xml><?xml version="1.0" encoding="utf-8"?>
<c:userShapes xmlns:c="http://schemas.openxmlformats.org/drawingml/2006/chart">
  <cdr:relSizeAnchor xmlns:cdr="http://schemas.openxmlformats.org/drawingml/2006/chartDrawing">
    <cdr:from>
      <cdr:x>0.49607</cdr:x>
      <cdr:y>0.20226</cdr:y>
    </cdr:from>
    <cdr:to>
      <cdr:x>0.49607</cdr:x>
      <cdr:y>0.20226</cdr:y>
    </cdr:to>
    <cdr:sp macro="" textlink="">
      <cdr:nvSpPr>
        <cdr:cNvPr id="6146" name="Text Box 2"/>
        <cdr:cNvSpPr txBox="1">
          <a:spLocks xmlns:a="http://schemas.openxmlformats.org/drawingml/2006/main" noChangeArrowheads="1"/>
        </cdr:cNvSpPr>
      </cdr:nvSpPr>
      <cdr:spPr bwMode="auto">
        <a:xfrm xmlns:a="http://schemas.openxmlformats.org/drawingml/2006/main">
          <a:off x="2757881" y="61003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1" i="0" strike="noStrike">
              <a:solidFill>
                <a:srgbClr val="FF0000"/>
              </a:solidFill>
              <a:latin typeface="Arial"/>
              <a:cs typeface="Arial"/>
            </a:rPr>
            <a:t>Eutrophic zone</a:t>
          </a:r>
        </a:p>
      </cdr:txBody>
    </cdr:sp>
  </cdr:relSizeAnchor>
  <cdr:relSizeAnchor xmlns:cdr="http://schemas.openxmlformats.org/drawingml/2006/chartDrawing">
    <cdr:from>
      <cdr:x>0.49607</cdr:x>
      <cdr:y>0.5092</cdr:y>
    </cdr:from>
    <cdr:to>
      <cdr:x>0.49607</cdr:x>
      <cdr:y>0.5092</cdr:y>
    </cdr:to>
    <cdr:sp macro="" textlink="">
      <cdr:nvSpPr>
        <cdr:cNvPr id="6147" name="Text Box 3"/>
        <cdr:cNvSpPr txBox="1">
          <a:spLocks xmlns:a="http://schemas.openxmlformats.org/drawingml/2006/main" noChangeArrowheads="1"/>
        </cdr:cNvSpPr>
      </cdr:nvSpPr>
      <cdr:spPr bwMode="auto">
        <a:xfrm xmlns:a="http://schemas.openxmlformats.org/drawingml/2006/main">
          <a:off x="2757881" y="1530961"/>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1" i="0" strike="noStrike">
              <a:solidFill>
                <a:srgbClr val="FF0000"/>
              </a:solidFill>
              <a:latin typeface="Arial"/>
              <a:cs typeface="Arial"/>
            </a:rPr>
            <a:t>Mesotrophic zone</a:t>
          </a:r>
        </a:p>
      </cdr:txBody>
    </cdr:sp>
  </cdr:relSizeAnchor>
  <cdr:relSizeAnchor xmlns:cdr="http://schemas.openxmlformats.org/drawingml/2006/chartDrawing">
    <cdr:from>
      <cdr:x>0.48698</cdr:x>
      <cdr:y>0.65976</cdr:y>
    </cdr:from>
    <cdr:to>
      <cdr:x>0.48698</cdr:x>
      <cdr:y>0.65976</cdr:y>
    </cdr:to>
    <cdr:sp macro="" textlink="">
      <cdr:nvSpPr>
        <cdr:cNvPr id="6148" name="Text Box 4"/>
        <cdr:cNvSpPr txBox="1">
          <a:spLocks xmlns:a="http://schemas.openxmlformats.org/drawingml/2006/main" noChangeArrowheads="1"/>
        </cdr:cNvSpPr>
      </cdr:nvSpPr>
      <cdr:spPr bwMode="auto">
        <a:xfrm xmlns:a="http://schemas.openxmlformats.org/drawingml/2006/main">
          <a:off x="2707396" y="1982708"/>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1" i="0" strike="noStrike">
              <a:solidFill>
                <a:srgbClr val="FF0000"/>
              </a:solidFill>
              <a:latin typeface="Arial"/>
              <a:cs typeface="Arial"/>
            </a:rPr>
            <a:t>Oligotropic zone</a:t>
          </a:r>
        </a:p>
      </cdr:txBody>
    </cdr:sp>
  </cdr:relSizeAnchor>
</c:userShapes>
</file>

<file path=xl/drawings/drawing9.xml><?xml version="1.0" encoding="utf-8"?>
<xdr:wsDr xmlns:xdr="http://schemas.openxmlformats.org/drawingml/2006/spreadsheetDrawing" xmlns:a="http://schemas.openxmlformats.org/drawingml/2006/main">
  <xdr:twoCellAnchor>
    <xdr:from>
      <xdr:col>18</xdr:col>
      <xdr:colOff>219075</xdr:colOff>
      <xdr:row>53</xdr:row>
      <xdr:rowOff>171450</xdr:rowOff>
    </xdr:from>
    <xdr:to>
      <xdr:col>40</xdr:col>
      <xdr:colOff>400050</xdr:colOff>
      <xdr:row>70</xdr:row>
      <xdr:rowOff>47625</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200025</xdr:colOff>
      <xdr:row>33</xdr:row>
      <xdr:rowOff>57150</xdr:rowOff>
    </xdr:from>
    <xdr:to>
      <xdr:col>40</xdr:col>
      <xdr:colOff>409575</xdr:colOff>
      <xdr:row>52</xdr:row>
      <xdr:rowOff>142875</xdr:rowOff>
    </xdr:to>
    <xdr:graphicFrame macro="">
      <xdr:nvGraphicFramePr>
        <xdr:cNvPr id="7" name="Chart 3">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410D2B3\Users\Russell\Documents\Bear%20Creek%20Association\Watershed%202009\2009%20Bear%20Creek%20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Trophic"/>
      <sheetName val="Annual Reservoir Trends"/>
      <sheetName val="Nitrate Trends"/>
      <sheetName val="Phosphorus Trends"/>
      <sheetName val="Loading"/>
      <sheetName val="Carlson"/>
      <sheetName val="Walker"/>
      <sheetName val="Monthly Discharge"/>
      <sheetName val="Temperature"/>
      <sheetName val="Conductance"/>
      <sheetName val="pH"/>
      <sheetName val="Oxygen"/>
      <sheetName val="T &amp; Diss Phosphorus"/>
      <sheetName val="Nitrate &amp; T Nitrogen"/>
      <sheetName val="TSS"/>
      <sheetName val="Chlsecchi"/>
      <sheetName val="Phytoplankton"/>
      <sheetName val="Monthly Chemistry"/>
      <sheetName val="1-26-09"/>
      <sheetName val="2-23-09"/>
      <sheetName val="3-16-09"/>
      <sheetName val="4-27-09"/>
      <sheetName val="Aeration Tests"/>
      <sheetName val="5-18-09"/>
      <sheetName val="6-22-09"/>
      <sheetName val="7-6-09"/>
      <sheetName val="7-20-09"/>
      <sheetName val="8-3-09"/>
      <sheetName val="8-17-09"/>
      <sheetName val="9-16-09"/>
      <sheetName val="9-28-09"/>
      <sheetName val="10-19-09"/>
      <sheetName val="11-16-09"/>
      <sheetName val="12-14-09"/>
      <sheetName val="Field Sheet"/>
      <sheetName val="Temp DO Comp"/>
      <sheetName val="Aeartion Log"/>
      <sheetName val="Flow"/>
      <sheetName val="Fishery Data"/>
      <sheetName val="Sheet1"/>
    </sheetNames>
    <sheetDataSet>
      <sheetData sheetId="0"/>
      <sheetData sheetId="1"/>
      <sheetData sheetId="2"/>
      <sheetData sheetId="3"/>
      <sheetData sheetId="4">
        <row r="4">
          <cell r="A4" t="str">
            <v>Turkey Creek Inflow</v>
          </cell>
        </row>
        <row r="5">
          <cell r="A5" t="str">
            <v>Bear Creek Inflow</v>
          </cell>
        </row>
        <row r="31">
          <cell r="B31">
            <v>0</v>
          </cell>
          <cell r="C31">
            <v>0</v>
          </cell>
          <cell r="D31">
            <v>0</v>
          </cell>
          <cell r="E31">
            <v>0</v>
          </cell>
          <cell r="F31">
            <v>0</v>
          </cell>
          <cell r="G31">
            <v>0</v>
          </cell>
          <cell r="H31">
            <v>0</v>
          </cell>
          <cell r="I31">
            <v>0</v>
          </cell>
          <cell r="J31">
            <v>0</v>
          </cell>
          <cell r="K31">
            <v>0</v>
          </cell>
          <cell r="L31">
            <v>0</v>
          </cell>
          <cell r="M31">
            <v>0</v>
          </cell>
        </row>
      </sheetData>
      <sheetData sheetId="5"/>
      <sheetData sheetId="6">
        <row r="2">
          <cell r="X2">
            <v>1988</v>
          </cell>
        </row>
      </sheetData>
      <sheetData sheetId="7">
        <row r="23">
          <cell r="B23" t="str">
            <v>Jan</v>
          </cell>
          <cell r="C23" t="str">
            <v>Feb</v>
          </cell>
          <cell r="D23" t="str">
            <v>Mar</v>
          </cell>
          <cell r="E23" t="str">
            <v>Apr</v>
          </cell>
          <cell r="F23" t="str">
            <v>May</v>
          </cell>
          <cell r="G23" t="str">
            <v>Jun</v>
          </cell>
          <cell r="H23" t="str">
            <v>Jul</v>
          </cell>
          <cell r="I23" t="str">
            <v>Aug</v>
          </cell>
          <cell r="J23" t="str">
            <v>Sep</v>
          </cell>
          <cell r="K23" t="str">
            <v>Oct</v>
          </cell>
          <cell r="L23" t="str">
            <v>Nov</v>
          </cell>
          <cell r="M23" t="str">
            <v>Dec</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6" workbookViewId="0">
      <selection activeCell="S30" sqref="S30"/>
    </sheetView>
  </sheetViews>
  <sheetFormatPr defaultRowHeight="12.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S21"/>
  <sheetViews>
    <sheetView zoomScale="75" zoomScaleNormal="75" workbookViewId="0">
      <selection activeCell="U8" sqref="U8"/>
    </sheetView>
  </sheetViews>
  <sheetFormatPr defaultRowHeight="13" x14ac:dyDescent="0.3"/>
  <cols>
    <col min="1" max="1" width="21.453125" style="1" bestFit="1" customWidth="1"/>
    <col min="2" max="2" width="9.36328125" style="1" bestFit="1" customWidth="1"/>
    <col min="3" max="3" width="9.453125" style="1" bestFit="1" customWidth="1"/>
    <col min="4" max="4" width="9.36328125" style="1" bestFit="1" customWidth="1"/>
    <col min="5" max="5" width="9.08984375" bestFit="1" customWidth="1"/>
    <col min="6" max="6" width="9.6328125" bestFit="1" customWidth="1"/>
    <col min="7" max="7" width="9.36328125" bestFit="1" customWidth="1"/>
    <col min="8" max="8" width="8.08984375" bestFit="1" customWidth="1"/>
    <col min="9" max="9" width="8.54296875" bestFit="1" customWidth="1"/>
    <col min="10" max="10" width="8.36328125" bestFit="1" customWidth="1"/>
    <col min="11" max="11" width="9.6328125" bestFit="1" customWidth="1"/>
    <col min="12" max="12" width="9.36328125" bestFit="1" customWidth="1"/>
    <col min="13" max="13" width="9.6328125" bestFit="1" customWidth="1"/>
    <col min="14" max="15" width="9.36328125" bestFit="1" customWidth="1"/>
    <col min="16" max="16" width="9.08984375" bestFit="1" customWidth="1"/>
    <col min="17" max="17" width="10.453125" bestFit="1" customWidth="1"/>
    <col min="18" max="18" width="7" bestFit="1" customWidth="1"/>
    <col min="19" max="19" width="11.54296875" bestFit="1" customWidth="1"/>
    <col min="20" max="20" width="9.6328125" bestFit="1" customWidth="1"/>
    <col min="21" max="21" width="10.90625" bestFit="1" customWidth="1"/>
    <col min="22" max="22" width="9.90625" bestFit="1" customWidth="1"/>
    <col min="23" max="23" width="10.36328125" bestFit="1" customWidth="1"/>
    <col min="24" max="24" width="10.90625" bestFit="1" customWidth="1"/>
    <col min="25" max="25" width="11.08984375" bestFit="1" customWidth="1"/>
    <col min="26" max="26" width="11.36328125" customWidth="1"/>
    <col min="27" max="27" width="11" customWidth="1"/>
    <col min="28" max="28" width="10.453125" customWidth="1"/>
    <col min="29" max="29" width="12.54296875" customWidth="1"/>
    <col min="30" max="30" width="10.90625" bestFit="1" customWidth="1"/>
  </cols>
  <sheetData>
    <row r="1" spans="1:19" ht="17.5" x14ac:dyDescent="0.35">
      <c r="A1" s="829" t="s">
        <v>512</v>
      </c>
      <c r="B1" s="829"/>
      <c r="C1" s="829"/>
      <c r="D1" s="829"/>
      <c r="E1" s="829"/>
      <c r="F1" s="829"/>
      <c r="G1" s="829"/>
      <c r="H1" s="829"/>
      <c r="I1" s="829"/>
      <c r="J1" s="829"/>
      <c r="K1" s="829"/>
      <c r="L1" s="829"/>
      <c r="M1" s="829"/>
      <c r="N1" s="829"/>
      <c r="O1" s="829"/>
      <c r="P1" s="829"/>
    </row>
    <row r="2" spans="1:19" s="7" customFormat="1" ht="26" x14ac:dyDescent="0.3">
      <c r="A2" s="139" t="s">
        <v>2</v>
      </c>
      <c r="B2" s="337">
        <v>40567</v>
      </c>
      <c r="C2" s="337">
        <v>40595</v>
      </c>
      <c r="D2" s="337">
        <v>40627</v>
      </c>
      <c r="E2" s="337">
        <v>40658</v>
      </c>
      <c r="F2" s="337">
        <v>40686</v>
      </c>
      <c r="G2" s="337">
        <v>40721</v>
      </c>
      <c r="H2" s="338">
        <v>40743</v>
      </c>
      <c r="I2" s="338">
        <v>40749</v>
      </c>
      <c r="J2" s="338">
        <v>40763</v>
      </c>
      <c r="K2" s="337">
        <v>40777</v>
      </c>
      <c r="L2" s="337">
        <v>40798</v>
      </c>
      <c r="M2" s="339">
        <v>40812</v>
      </c>
      <c r="N2" s="339">
        <v>40840</v>
      </c>
      <c r="O2" s="339">
        <v>40875</v>
      </c>
      <c r="P2" s="338">
        <v>40893</v>
      </c>
      <c r="Q2" s="140" t="s">
        <v>103</v>
      </c>
      <c r="R2" s="141" t="s">
        <v>92</v>
      </c>
      <c r="S2" s="141" t="s">
        <v>121</v>
      </c>
    </row>
    <row r="3" spans="1:19" s="3" customFormat="1" ht="14" x14ac:dyDescent="0.3">
      <c r="A3" s="142" t="s">
        <v>28</v>
      </c>
      <c r="B3" s="82">
        <v>1.7</v>
      </c>
      <c r="C3" s="82">
        <v>0.7</v>
      </c>
      <c r="D3" s="82">
        <v>4.5999999999999996</v>
      </c>
      <c r="E3" s="82">
        <v>6.8</v>
      </c>
      <c r="F3" s="82">
        <v>9.9</v>
      </c>
      <c r="G3" s="82">
        <v>14.3</v>
      </c>
      <c r="H3" s="82">
        <v>18.100000000000001</v>
      </c>
      <c r="I3" s="82">
        <v>15.8</v>
      </c>
      <c r="J3" s="540">
        <v>14.9</v>
      </c>
      <c r="K3" s="82">
        <v>15.5</v>
      </c>
      <c r="L3" s="82">
        <v>13.71</v>
      </c>
      <c r="M3" s="82">
        <v>13.7</v>
      </c>
      <c r="N3" s="82">
        <v>13.7</v>
      </c>
      <c r="O3" s="82">
        <v>8.9</v>
      </c>
      <c r="P3" s="82">
        <v>1.5</v>
      </c>
      <c r="Q3" s="214">
        <f>AVERAGE(E3:P3)</f>
        <v>12.234166666666669</v>
      </c>
      <c r="R3" s="215">
        <f>MAX(E3:Q3)</f>
        <v>18.100000000000001</v>
      </c>
      <c r="S3" s="215">
        <f>AVERAGE(H3:M3)</f>
        <v>15.285000000000004</v>
      </c>
    </row>
    <row r="4" spans="1:19" s="3" customFormat="1" ht="14" x14ac:dyDescent="0.3">
      <c r="A4" s="143" t="s">
        <v>29</v>
      </c>
      <c r="B4" s="82">
        <v>0.8</v>
      </c>
      <c r="C4" s="82">
        <v>0</v>
      </c>
      <c r="D4" s="82">
        <v>2.1</v>
      </c>
      <c r="E4" s="82">
        <v>6.3</v>
      </c>
      <c r="F4" s="82">
        <v>10.3</v>
      </c>
      <c r="G4" s="82">
        <v>15.9</v>
      </c>
      <c r="H4" s="82">
        <v>20.6</v>
      </c>
      <c r="I4" s="82">
        <v>17.600000000000001</v>
      </c>
      <c r="J4" s="540">
        <v>16.600000000000001</v>
      </c>
      <c r="K4" s="82">
        <v>17</v>
      </c>
      <c r="L4" s="82">
        <v>13.55</v>
      </c>
      <c r="M4" s="82">
        <v>13.3</v>
      </c>
      <c r="N4" s="82">
        <v>13.3</v>
      </c>
      <c r="O4" s="82">
        <v>6.8</v>
      </c>
      <c r="P4" s="82">
        <v>0.4</v>
      </c>
      <c r="Q4" s="214">
        <f>AVERAGE(E4:P4)</f>
        <v>12.637500000000003</v>
      </c>
      <c r="R4" s="215">
        <f t="shared" ref="R4:R17" si="0">MAX(E4:Q4)</f>
        <v>20.6</v>
      </c>
      <c r="S4" s="215">
        <f t="shared" ref="S4:S17" si="1">AVERAGE(H4:M4)</f>
        <v>16.441666666666666</v>
      </c>
    </row>
    <row r="5" spans="1:19" s="3" customFormat="1" ht="14" x14ac:dyDescent="0.3">
      <c r="A5" s="143" t="s">
        <v>146</v>
      </c>
      <c r="B5" s="82">
        <v>2.9</v>
      </c>
      <c r="C5" s="82">
        <v>4.9000000000000004</v>
      </c>
      <c r="D5" s="82">
        <v>6.4</v>
      </c>
      <c r="E5" s="82">
        <v>10.6</v>
      </c>
      <c r="F5" s="82">
        <v>14.8</v>
      </c>
      <c r="G5" s="82">
        <v>20.2</v>
      </c>
      <c r="H5" s="82">
        <v>23.9</v>
      </c>
      <c r="I5" s="82">
        <v>23.3</v>
      </c>
      <c r="J5" s="540">
        <v>23.3</v>
      </c>
      <c r="K5" s="82">
        <v>22</v>
      </c>
      <c r="L5" s="82">
        <v>19.71</v>
      </c>
      <c r="M5" s="82">
        <v>18.2</v>
      </c>
      <c r="N5" s="82">
        <v>18.2</v>
      </c>
      <c r="O5" s="82">
        <v>11.5</v>
      </c>
      <c r="P5" s="82">
        <v>4.4000000000000004</v>
      </c>
      <c r="Q5" s="214">
        <f>AVERAGE(E5:P5)</f>
        <v>17.509166666666665</v>
      </c>
      <c r="R5" s="215">
        <f t="shared" si="0"/>
        <v>23.9</v>
      </c>
      <c r="S5" s="215">
        <f t="shared" si="1"/>
        <v>21.734999999999999</v>
      </c>
    </row>
    <row r="6" spans="1:19" s="3" customFormat="1" ht="14" x14ac:dyDescent="0.3">
      <c r="A6" s="150"/>
      <c r="B6" s="223"/>
      <c r="C6" s="223"/>
      <c r="D6" s="223"/>
      <c r="E6" s="223"/>
      <c r="F6" s="223"/>
      <c r="G6" s="223"/>
      <c r="H6" s="223"/>
      <c r="I6" s="223"/>
      <c r="J6" s="223"/>
      <c r="K6" s="223"/>
      <c r="L6" s="223"/>
      <c r="M6" s="223"/>
      <c r="N6" s="223"/>
      <c r="O6" s="223"/>
      <c r="P6" s="223"/>
      <c r="Q6" s="214"/>
      <c r="R6" s="215"/>
      <c r="S6" s="215"/>
    </row>
    <row r="7" spans="1:19" s="3" customFormat="1" ht="14" x14ac:dyDescent="0.3">
      <c r="A7" s="622" t="s">
        <v>506</v>
      </c>
      <c r="B7" s="82">
        <v>3.8</v>
      </c>
      <c r="C7" s="82">
        <v>5.3</v>
      </c>
      <c r="D7" s="82">
        <v>8.5</v>
      </c>
      <c r="E7" s="82">
        <v>11</v>
      </c>
      <c r="F7" s="82">
        <v>14.1</v>
      </c>
      <c r="G7" s="82">
        <v>20.5</v>
      </c>
      <c r="H7" s="82">
        <v>23.3</v>
      </c>
      <c r="I7" s="82">
        <v>23.3</v>
      </c>
      <c r="J7" s="526">
        <v>22.8</v>
      </c>
      <c r="K7" s="82">
        <v>22.4</v>
      </c>
      <c r="L7" s="82">
        <v>19.899999999999999</v>
      </c>
      <c r="M7" s="82">
        <v>17.8</v>
      </c>
      <c r="N7" s="82">
        <v>13.5</v>
      </c>
      <c r="O7" s="82">
        <v>13</v>
      </c>
      <c r="P7" s="82">
        <v>3.5</v>
      </c>
      <c r="Q7" s="214">
        <f t="shared" ref="Q7:Q17" si="2">AVERAGE(E7:P7)</f>
        <v>17.091666666666669</v>
      </c>
      <c r="R7" s="215">
        <f t="shared" si="0"/>
        <v>23.3</v>
      </c>
      <c r="S7" s="215">
        <f t="shared" si="1"/>
        <v>21.583333333333339</v>
      </c>
    </row>
    <row r="8" spans="1:19" s="3" customFormat="1" ht="14" x14ac:dyDescent="0.3">
      <c r="A8" s="622" t="s">
        <v>175</v>
      </c>
      <c r="B8" s="82">
        <v>4.5999999999999996</v>
      </c>
      <c r="C8" s="82">
        <v>5.4</v>
      </c>
      <c r="D8" s="82">
        <v>8</v>
      </c>
      <c r="E8" s="82">
        <v>10.9</v>
      </c>
      <c r="F8" s="82">
        <v>13.7</v>
      </c>
      <c r="G8" s="82">
        <v>20.5</v>
      </c>
      <c r="H8" s="82">
        <v>23</v>
      </c>
      <c r="I8" s="82">
        <v>23.3</v>
      </c>
      <c r="J8" s="526">
        <v>22.8</v>
      </c>
      <c r="K8" s="82">
        <v>22.3</v>
      </c>
      <c r="L8" s="82">
        <v>19.8</v>
      </c>
      <c r="M8" s="82">
        <v>17.8</v>
      </c>
      <c r="N8" s="82">
        <v>13.5</v>
      </c>
      <c r="O8" s="82">
        <v>12.7</v>
      </c>
      <c r="P8" s="82">
        <v>3.7</v>
      </c>
      <c r="Q8" s="214">
        <f t="shared" si="2"/>
        <v>17</v>
      </c>
      <c r="R8" s="215">
        <f t="shared" si="0"/>
        <v>23.3</v>
      </c>
      <c r="S8" s="215">
        <f t="shared" si="1"/>
        <v>21.5</v>
      </c>
    </row>
    <row r="9" spans="1:19" s="3" customFormat="1" ht="14" x14ac:dyDescent="0.3">
      <c r="A9" s="622" t="s">
        <v>507</v>
      </c>
      <c r="B9" s="82">
        <v>4.5999999999999996</v>
      </c>
      <c r="C9" s="82">
        <v>5.4</v>
      </c>
      <c r="D9" s="82">
        <v>7.4</v>
      </c>
      <c r="E9" s="82">
        <v>10.8</v>
      </c>
      <c r="F9" s="82">
        <v>13.4</v>
      </c>
      <c r="G9" s="82">
        <v>20.399999999999999</v>
      </c>
      <c r="H9" s="82">
        <v>22.6</v>
      </c>
      <c r="I9" s="82">
        <v>23.1</v>
      </c>
      <c r="J9" s="526">
        <v>22.8</v>
      </c>
      <c r="K9" s="82">
        <v>22.2</v>
      </c>
      <c r="L9" s="82">
        <v>19.8</v>
      </c>
      <c r="M9" s="82">
        <v>17.8</v>
      </c>
      <c r="N9" s="82">
        <v>13.5</v>
      </c>
      <c r="O9" s="82">
        <v>12.6</v>
      </c>
      <c r="P9" s="82">
        <v>3.7</v>
      </c>
      <c r="Q9" s="214">
        <f t="shared" si="2"/>
        <v>16.891666666666669</v>
      </c>
      <c r="R9" s="215">
        <f t="shared" si="0"/>
        <v>23.1</v>
      </c>
      <c r="S9" s="215">
        <f t="shared" si="1"/>
        <v>21.383333333333336</v>
      </c>
    </row>
    <row r="10" spans="1:19" s="3" customFormat="1" ht="14" x14ac:dyDescent="0.3">
      <c r="A10" s="622" t="s">
        <v>176</v>
      </c>
      <c r="B10" s="82">
        <v>4.5999999999999996</v>
      </c>
      <c r="C10" s="82">
        <v>5.3</v>
      </c>
      <c r="D10" s="82">
        <v>7.3</v>
      </c>
      <c r="E10" s="82">
        <v>10.8</v>
      </c>
      <c r="F10" s="82">
        <v>13.2</v>
      </c>
      <c r="G10" s="82">
        <v>20.100000000000001</v>
      </c>
      <c r="H10" s="82">
        <v>22.5</v>
      </c>
      <c r="I10" s="82">
        <v>23</v>
      </c>
      <c r="J10" s="526">
        <v>22.6</v>
      </c>
      <c r="K10" s="82">
        <v>22.2</v>
      </c>
      <c r="L10" s="82">
        <v>19.77</v>
      </c>
      <c r="M10" s="82">
        <v>17.8</v>
      </c>
      <c r="N10" s="82">
        <v>13.5</v>
      </c>
      <c r="O10" s="82">
        <v>12.5</v>
      </c>
      <c r="P10" s="82">
        <v>3.9</v>
      </c>
      <c r="Q10" s="214">
        <f t="shared" si="2"/>
        <v>16.822500000000002</v>
      </c>
      <c r="R10" s="215">
        <f t="shared" si="0"/>
        <v>23</v>
      </c>
      <c r="S10" s="215">
        <f t="shared" si="1"/>
        <v>21.311666666666664</v>
      </c>
    </row>
    <row r="11" spans="1:19" s="3" customFormat="1" ht="14" x14ac:dyDescent="0.3">
      <c r="A11" s="622" t="s">
        <v>508</v>
      </c>
      <c r="B11" s="82">
        <v>4.4000000000000004</v>
      </c>
      <c r="C11" s="82">
        <v>4.8</v>
      </c>
      <c r="D11" s="82">
        <v>7.3</v>
      </c>
      <c r="E11" s="82">
        <v>10.8</v>
      </c>
      <c r="F11" s="82">
        <v>12.7</v>
      </c>
      <c r="G11" s="82">
        <v>20</v>
      </c>
      <c r="H11" s="82">
        <v>22.2</v>
      </c>
      <c r="I11" s="82">
        <v>22.9</v>
      </c>
      <c r="J11" s="526">
        <v>22.5</v>
      </c>
      <c r="K11" s="82">
        <v>22.2</v>
      </c>
      <c r="L11" s="82">
        <v>19.760000000000002</v>
      </c>
      <c r="M11" s="82">
        <v>17.7</v>
      </c>
      <c r="N11" s="82">
        <v>13.5</v>
      </c>
      <c r="O11" s="82">
        <v>12.5</v>
      </c>
      <c r="P11" s="82">
        <v>3.9</v>
      </c>
      <c r="Q11" s="214">
        <f t="shared" si="2"/>
        <v>16.721666666666664</v>
      </c>
      <c r="R11" s="215">
        <f t="shared" si="0"/>
        <v>22.9</v>
      </c>
      <c r="S11" s="215">
        <f t="shared" si="1"/>
        <v>21.21</v>
      </c>
    </row>
    <row r="12" spans="1:19" s="3" customFormat="1" ht="14" x14ac:dyDescent="0.3">
      <c r="A12" s="622" t="s">
        <v>177</v>
      </c>
      <c r="B12" s="82">
        <v>4.3</v>
      </c>
      <c r="C12" s="82">
        <v>4.5999999999999996</v>
      </c>
      <c r="D12" s="82">
        <v>7.3</v>
      </c>
      <c r="E12" s="82">
        <v>10.8</v>
      </c>
      <c r="F12" s="82">
        <v>12.5</v>
      </c>
      <c r="G12" s="82">
        <v>20</v>
      </c>
      <c r="H12" s="82">
        <v>22.3</v>
      </c>
      <c r="I12" s="82">
        <v>22.8</v>
      </c>
      <c r="J12" s="526">
        <v>22.5</v>
      </c>
      <c r="K12" s="82">
        <v>22.2</v>
      </c>
      <c r="L12" s="82">
        <v>19.72</v>
      </c>
      <c r="M12" s="82">
        <v>17.7</v>
      </c>
      <c r="N12" s="82">
        <v>13.5</v>
      </c>
      <c r="O12" s="82">
        <v>12.5</v>
      </c>
      <c r="P12" s="82">
        <v>3.8</v>
      </c>
      <c r="Q12" s="214">
        <f t="shared" si="2"/>
        <v>16.693333333333332</v>
      </c>
      <c r="R12" s="215">
        <f t="shared" si="0"/>
        <v>22.8</v>
      </c>
      <c r="S12" s="215">
        <f t="shared" si="1"/>
        <v>21.203333333333333</v>
      </c>
    </row>
    <row r="13" spans="1:19" s="3" customFormat="1" ht="14" x14ac:dyDescent="0.3">
      <c r="A13" s="622" t="s">
        <v>509</v>
      </c>
      <c r="B13" s="82">
        <v>4.2</v>
      </c>
      <c r="C13" s="82">
        <v>4.4000000000000004</v>
      </c>
      <c r="D13" s="82">
        <v>7.3</v>
      </c>
      <c r="E13" s="82">
        <v>10.8</v>
      </c>
      <c r="F13" s="82">
        <v>12.5</v>
      </c>
      <c r="G13" s="82">
        <v>19.899999999999999</v>
      </c>
      <c r="H13" s="82">
        <v>22.2</v>
      </c>
      <c r="I13" s="82">
        <v>22.8</v>
      </c>
      <c r="J13" s="526">
        <v>22.4</v>
      </c>
      <c r="K13" s="82">
        <v>22.2</v>
      </c>
      <c r="L13" s="82">
        <v>19.71</v>
      </c>
      <c r="M13" s="82">
        <v>17.7</v>
      </c>
      <c r="N13" s="82">
        <v>13.5</v>
      </c>
      <c r="O13" s="82">
        <v>12.5</v>
      </c>
      <c r="P13" s="82">
        <v>3.7</v>
      </c>
      <c r="Q13" s="214">
        <f t="shared" si="2"/>
        <v>16.659166666666664</v>
      </c>
      <c r="R13" s="215">
        <f t="shared" si="0"/>
        <v>22.8</v>
      </c>
      <c r="S13" s="215">
        <f t="shared" si="1"/>
        <v>21.168333333333333</v>
      </c>
    </row>
    <row r="14" spans="1:19" s="3" customFormat="1" ht="14" x14ac:dyDescent="0.3">
      <c r="A14" s="622" t="s">
        <v>178</v>
      </c>
      <c r="B14" s="82">
        <v>4.0999999999999996</v>
      </c>
      <c r="C14" s="82">
        <v>4.2</v>
      </c>
      <c r="D14" s="82">
        <v>7.3</v>
      </c>
      <c r="E14" s="82">
        <v>10.8</v>
      </c>
      <c r="F14" s="82">
        <v>12.2</v>
      </c>
      <c r="G14" s="82">
        <v>19.899999999999999</v>
      </c>
      <c r="H14" s="82">
        <v>22.2</v>
      </c>
      <c r="I14" s="82">
        <v>22.8</v>
      </c>
      <c r="J14" s="526">
        <v>22.3</v>
      </c>
      <c r="K14" s="82">
        <v>22.2</v>
      </c>
      <c r="L14" s="192">
        <v>19.690000000000001</v>
      </c>
      <c r="M14" s="82">
        <v>17.7</v>
      </c>
      <c r="N14" s="82">
        <v>13.5</v>
      </c>
      <c r="O14" s="82">
        <v>12.5</v>
      </c>
      <c r="P14" s="82">
        <v>3.5</v>
      </c>
      <c r="Q14" s="214">
        <f t="shared" si="2"/>
        <v>16.607499999999998</v>
      </c>
      <c r="R14" s="215">
        <f t="shared" si="0"/>
        <v>22.8</v>
      </c>
      <c r="S14" s="215">
        <f t="shared" si="1"/>
        <v>21.148333333333333</v>
      </c>
    </row>
    <row r="15" spans="1:19" s="3" customFormat="1" ht="14" x14ac:dyDescent="0.3">
      <c r="A15" s="622" t="s">
        <v>179</v>
      </c>
      <c r="B15" s="82">
        <v>4</v>
      </c>
      <c r="C15" s="82">
        <v>4.2</v>
      </c>
      <c r="D15" s="82">
        <v>7.3</v>
      </c>
      <c r="E15" s="82">
        <v>10.7</v>
      </c>
      <c r="F15" s="82">
        <v>12</v>
      </c>
      <c r="G15" s="82">
        <v>19.600000000000001</v>
      </c>
      <c r="H15" s="82">
        <v>21.9</v>
      </c>
      <c r="I15" s="82">
        <v>22.7</v>
      </c>
      <c r="J15" s="526">
        <v>22.3</v>
      </c>
      <c r="K15" s="82">
        <v>22.2</v>
      </c>
      <c r="L15" s="82">
        <v>19.68</v>
      </c>
      <c r="M15" s="82">
        <v>17.7</v>
      </c>
      <c r="N15" s="82">
        <v>13.5</v>
      </c>
      <c r="O15" s="82">
        <v>12.45</v>
      </c>
      <c r="P15" s="82">
        <v>3.5</v>
      </c>
      <c r="Q15" s="214">
        <f t="shared" si="2"/>
        <v>16.519166666666663</v>
      </c>
      <c r="R15" s="215">
        <f t="shared" si="0"/>
        <v>22.7</v>
      </c>
      <c r="S15" s="215">
        <f t="shared" si="1"/>
        <v>21.080000000000002</v>
      </c>
    </row>
    <row r="16" spans="1:19" s="3" customFormat="1" ht="14" x14ac:dyDescent="0.3">
      <c r="A16" s="622" t="s">
        <v>180</v>
      </c>
      <c r="B16" s="312">
        <v>4</v>
      </c>
      <c r="C16" s="80">
        <v>4.3</v>
      </c>
      <c r="D16" s="82">
        <v>7.3</v>
      </c>
      <c r="E16" s="82">
        <v>10.7</v>
      </c>
      <c r="F16" s="82">
        <v>11.6</v>
      </c>
      <c r="G16" s="82">
        <v>19.5</v>
      </c>
      <c r="H16" s="82">
        <v>21.7</v>
      </c>
      <c r="I16" s="82">
        <v>22.4</v>
      </c>
      <c r="J16" s="526">
        <v>22.2</v>
      </c>
      <c r="K16" s="82">
        <v>22.2</v>
      </c>
      <c r="L16" s="82">
        <v>19.66</v>
      </c>
      <c r="M16" s="82">
        <v>17.7</v>
      </c>
      <c r="N16" s="82">
        <v>13.4</v>
      </c>
      <c r="O16" s="82">
        <v>12.4</v>
      </c>
      <c r="P16" s="82">
        <v>3.6</v>
      </c>
      <c r="Q16" s="214">
        <f t="shared" si="2"/>
        <v>16.421666666666667</v>
      </c>
      <c r="R16" s="215">
        <f>MAX(E16:Q16)</f>
        <v>22.4</v>
      </c>
      <c r="S16" s="215">
        <f t="shared" si="1"/>
        <v>20.976666666666667</v>
      </c>
    </row>
    <row r="17" spans="1:19" ht="14" x14ac:dyDescent="0.3">
      <c r="A17" s="622" t="s">
        <v>181</v>
      </c>
      <c r="B17" s="312">
        <v>4</v>
      </c>
      <c r="C17" s="453">
        <v>4.3</v>
      </c>
      <c r="D17" s="82">
        <v>7.3</v>
      </c>
      <c r="E17" s="82">
        <v>10.7</v>
      </c>
      <c r="F17" s="82">
        <v>11.6</v>
      </c>
      <c r="G17" s="82">
        <v>19.3</v>
      </c>
      <c r="H17" s="82">
        <v>21.6</v>
      </c>
      <c r="I17" s="82">
        <v>22.3</v>
      </c>
      <c r="J17" s="526">
        <v>22.2</v>
      </c>
      <c r="K17" s="82">
        <v>22.2</v>
      </c>
      <c r="L17" s="82">
        <v>19.64</v>
      </c>
      <c r="M17" s="82">
        <v>17.7</v>
      </c>
      <c r="N17" s="82">
        <v>13.3</v>
      </c>
      <c r="O17" s="82">
        <v>12.4</v>
      </c>
      <c r="P17" s="82">
        <v>3.7</v>
      </c>
      <c r="Q17" s="214">
        <f t="shared" si="2"/>
        <v>16.386666666666667</v>
      </c>
      <c r="R17" s="215">
        <f t="shared" si="0"/>
        <v>22.3</v>
      </c>
      <c r="S17" s="215">
        <f t="shared" si="1"/>
        <v>20.94</v>
      </c>
    </row>
    <row r="18" spans="1:19" ht="14" x14ac:dyDescent="0.3">
      <c r="A18" s="622" t="s">
        <v>182</v>
      </c>
      <c r="B18" s="312">
        <v>4.0999999999999996</v>
      </c>
      <c r="C18" s="80">
        <v>4.4000000000000004</v>
      </c>
      <c r="D18" s="82">
        <v>7.3</v>
      </c>
      <c r="E18" s="82">
        <v>10.7</v>
      </c>
      <c r="F18" s="82">
        <v>11.3</v>
      </c>
      <c r="G18" s="82">
        <v>19.100000000000001</v>
      </c>
      <c r="H18" s="82">
        <v>21.4</v>
      </c>
      <c r="I18" s="82">
        <v>22.2</v>
      </c>
      <c r="J18" s="526">
        <v>22.1</v>
      </c>
      <c r="K18" s="82">
        <v>22.1</v>
      </c>
      <c r="L18" s="82">
        <v>19.61</v>
      </c>
      <c r="M18" s="82">
        <v>17.7</v>
      </c>
      <c r="N18" s="82">
        <v>13.3</v>
      </c>
      <c r="O18" s="82">
        <v>12.4</v>
      </c>
      <c r="P18" s="82">
        <v>3.8</v>
      </c>
      <c r="Q18" s="214">
        <f t="shared" ref="Q18:Q21" si="3">AVERAGE(E18:P18)</f>
        <v>16.309166666666666</v>
      </c>
      <c r="R18" s="215">
        <f t="shared" ref="R18:R21" si="4">MAX(E18:Q18)</f>
        <v>22.2</v>
      </c>
      <c r="S18" s="215">
        <f t="shared" ref="S18:S21" si="5">AVERAGE(H18:M18)</f>
        <v>20.851666666666663</v>
      </c>
    </row>
    <row r="19" spans="1:19" ht="14" x14ac:dyDescent="0.3">
      <c r="A19" s="622" t="s">
        <v>183</v>
      </c>
      <c r="B19" s="312">
        <v>4.2</v>
      </c>
      <c r="C19" s="80">
        <v>4.4000000000000004</v>
      </c>
      <c r="D19" s="82">
        <v>7.3</v>
      </c>
      <c r="E19" s="82">
        <v>10.6</v>
      </c>
      <c r="F19" s="82">
        <v>11.2</v>
      </c>
      <c r="G19" s="82">
        <v>19</v>
      </c>
      <c r="H19" s="82">
        <v>21.2</v>
      </c>
      <c r="I19" s="82">
        <v>21.9</v>
      </c>
      <c r="J19" s="526">
        <v>22</v>
      </c>
      <c r="K19" s="82">
        <v>22</v>
      </c>
      <c r="L19" s="82">
        <v>19.37</v>
      </c>
      <c r="M19" s="82">
        <v>17.600000000000001</v>
      </c>
      <c r="N19" s="82">
        <v>13.3</v>
      </c>
      <c r="O19" s="82">
        <v>12.2</v>
      </c>
      <c r="P19" s="82">
        <v>4</v>
      </c>
      <c r="Q19" s="214">
        <f t="shared" si="3"/>
        <v>16.197500000000002</v>
      </c>
      <c r="R19" s="215">
        <f t="shared" si="4"/>
        <v>22</v>
      </c>
      <c r="S19" s="215">
        <f t="shared" si="5"/>
        <v>20.678333333333331</v>
      </c>
    </row>
    <row r="20" spans="1:19" ht="14" x14ac:dyDescent="0.3">
      <c r="A20" s="622" t="s">
        <v>206</v>
      </c>
      <c r="B20" s="312">
        <v>4.3</v>
      </c>
      <c r="C20" s="80">
        <v>4.8</v>
      </c>
      <c r="D20" s="82">
        <v>7.3</v>
      </c>
      <c r="E20" s="82">
        <v>10.5</v>
      </c>
      <c r="F20" s="82">
        <v>11.1</v>
      </c>
      <c r="G20" s="82">
        <v>18.5</v>
      </c>
      <c r="H20" s="82">
        <v>20.9</v>
      </c>
      <c r="I20" s="82">
        <v>21.7</v>
      </c>
      <c r="J20" s="526">
        <v>21.7</v>
      </c>
      <c r="K20" s="82">
        <v>21.9</v>
      </c>
      <c r="L20" s="82">
        <v>19.18</v>
      </c>
      <c r="M20" s="82">
        <v>17.2</v>
      </c>
      <c r="N20" s="82">
        <v>12.9</v>
      </c>
      <c r="O20" s="82">
        <v>12.3</v>
      </c>
      <c r="P20" s="82">
        <v>4.2</v>
      </c>
      <c r="Q20" s="214">
        <f t="shared" si="3"/>
        <v>16.006666666666668</v>
      </c>
      <c r="R20" s="215">
        <f t="shared" si="4"/>
        <v>21.9</v>
      </c>
      <c r="S20" s="215">
        <f t="shared" si="5"/>
        <v>20.43</v>
      </c>
    </row>
    <row r="21" spans="1:19" ht="14" x14ac:dyDescent="0.3">
      <c r="A21" s="622" t="s">
        <v>207</v>
      </c>
      <c r="B21" s="82">
        <v>4.3</v>
      </c>
      <c r="D21" s="82">
        <v>7</v>
      </c>
      <c r="E21" s="82">
        <v>10.1</v>
      </c>
      <c r="F21" s="82">
        <v>11</v>
      </c>
      <c r="G21" s="82">
        <v>18.3</v>
      </c>
      <c r="H21" s="82">
        <v>20.5</v>
      </c>
      <c r="I21" s="82">
        <v>21.6</v>
      </c>
      <c r="J21" s="526">
        <v>21.6</v>
      </c>
      <c r="K21" s="82">
        <v>21.5</v>
      </c>
      <c r="L21" s="82">
        <v>19.13</v>
      </c>
      <c r="M21" s="82">
        <v>17.2</v>
      </c>
      <c r="N21" s="82">
        <v>12.5</v>
      </c>
      <c r="O21" s="82">
        <v>12.4</v>
      </c>
      <c r="P21" s="82">
        <v>4.4000000000000004</v>
      </c>
      <c r="Q21" s="214">
        <f t="shared" si="3"/>
        <v>15.852499999999999</v>
      </c>
      <c r="R21" s="215">
        <f t="shared" si="4"/>
        <v>21.6</v>
      </c>
      <c r="S21" s="215">
        <f t="shared" si="5"/>
        <v>20.254999999999999</v>
      </c>
    </row>
  </sheetData>
  <mergeCells count="1">
    <mergeCell ref="A1:P1"/>
  </mergeCells>
  <phoneticPr fontId="0" type="noConversion"/>
  <pageMargins left="0.75" right="0.75" top="1" bottom="1" header="0.5" footer="0.5"/>
  <pageSetup scale="4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pageSetUpPr fitToPage="1"/>
  </sheetPr>
  <dimension ref="A1:S23"/>
  <sheetViews>
    <sheetView zoomScale="75" zoomScaleNormal="75" workbookViewId="0">
      <selection activeCell="Q19" sqref="Q19"/>
    </sheetView>
  </sheetViews>
  <sheetFormatPr defaultColWidth="14.08984375" defaultRowHeight="13" x14ac:dyDescent="0.3"/>
  <cols>
    <col min="1" max="1" width="25.08984375" style="1" bestFit="1" customWidth="1"/>
    <col min="2" max="2" width="9.36328125" bestFit="1" customWidth="1"/>
    <col min="3" max="3" width="9.08984375" bestFit="1" customWidth="1"/>
    <col min="4" max="4" width="9.36328125" bestFit="1" customWidth="1"/>
    <col min="5" max="5" width="9.08984375" bestFit="1" customWidth="1"/>
    <col min="6" max="6" width="9.6328125" bestFit="1" customWidth="1"/>
    <col min="7" max="7" width="9.36328125" bestFit="1" customWidth="1"/>
    <col min="8" max="8" width="8.08984375" bestFit="1" customWidth="1"/>
    <col min="9" max="9" width="8.54296875" bestFit="1" customWidth="1"/>
    <col min="10" max="10" width="8.36328125" bestFit="1" customWidth="1"/>
    <col min="11" max="11" width="9.6328125" bestFit="1" customWidth="1"/>
    <col min="12" max="12" width="9.36328125" bestFit="1" customWidth="1"/>
    <col min="13" max="13" width="9.6328125" bestFit="1" customWidth="1"/>
    <col min="14" max="14" width="9.36328125" bestFit="1" customWidth="1"/>
    <col min="15" max="15" width="9.453125" bestFit="1" customWidth="1"/>
    <col min="16" max="16" width="9.36328125" bestFit="1" customWidth="1"/>
    <col min="17" max="17" width="10.453125" bestFit="1" customWidth="1"/>
    <col min="18" max="18" width="7" bestFit="1" customWidth="1"/>
    <col min="19" max="19" width="11.54296875" bestFit="1" customWidth="1"/>
  </cols>
  <sheetData>
    <row r="1" spans="1:19" x14ac:dyDescent="0.3">
      <c r="A1" s="831" t="s">
        <v>4</v>
      </c>
      <c r="B1" s="831"/>
      <c r="C1" s="831"/>
      <c r="D1" s="831"/>
      <c r="E1" s="831"/>
      <c r="F1" s="831"/>
      <c r="G1" s="831"/>
      <c r="H1" s="831"/>
      <c r="I1" s="831"/>
      <c r="J1" s="831"/>
      <c r="K1" s="831"/>
      <c r="L1" s="831"/>
      <c r="M1" s="831"/>
      <c r="N1" s="831"/>
      <c r="O1" s="831"/>
      <c r="P1" s="831"/>
    </row>
    <row r="4" spans="1:19" s="7" customFormat="1" ht="26" x14ac:dyDescent="0.3">
      <c r="A4" s="144" t="s">
        <v>2</v>
      </c>
      <c r="B4" s="337">
        <v>40567</v>
      </c>
      <c r="C4" s="337">
        <v>40595</v>
      </c>
      <c r="D4" s="337">
        <v>40627</v>
      </c>
      <c r="E4" s="337">
        <v>40658</v>
      </c>
      <c r="F4" s="337">
        <v>40686</v>
      </c>
      <c r="G4" s="337">
        <v>40721</v>
      </c>
      <c r="H4" s="338">
        <v>40743</v>
      </c>
      <c r="I4" s="338">
        <v>40749</v>
      </c>
      <c r="J4" s="338">
        <v>40763</v>
      </c>
      <c r="K4" s="337">
        <v>40777</v>
      </c>
      <c r="L4" s="337">
        <v>40798</v>
      </c>
      <c r="M4" s="339">
        <v>40812</v>
      </c>
      <c r="N4" s="339">
        <v>40840</v>
      </c>
      <c r="O4" s="339">
        <v>40875</v>
      </c>
      <c r="P4" s="338">
        <v>40893</v>
      </c>
      <c r="Q4" s="145" t="s">
        <v>103</v>
      </c>
      <c r="R4" s="146" t="s">
        <v>92</v>
      </c>
      <c r="S4" s="146" t="s">
        <v>121</v>
      </c>
    </row>
    <row r="5" spans="1:19" x14ac:dyDescent="0.3">
      <c r="A5" s="94" t="s">
        <v>28</v>
      </c>
      <c r="B5" s="82">
        <v>1.42</v>
      </c>
      <c r="C5" s="82">
        <v>1.19</v>
      </c>
      <c r="D5" s="82">
        <v>0.99</v>
      </c>
      <c r="E5" s="82">
        <v>1.27</v>
      </c>
      <c r="F5" s="82">
        <v>1.28</v>
      </c>
      <c r="G5" s="82">
        <v>1.81</v>
      </c>
      <c r="H5" s="82">
        <v>1.34</v>
      </c>
      <c r="I5" s="82">
        <v>1.59</v>
      </c>
      <c r="J5" s="540">
        <v>1.33</v>
      </c>
      <c r="K5" s="82">
        <v>1.56</v>
      </c>
      <c r="L5" s="82">
        <v>1.83</v>
      </c>
      <c r="M5" s="82">
        <v>1.36</v>
      </c>
      <c r="N5" s="82">
        <v>1.86</v>
      </c>
      <c r="O5" s="82">
        <v>1.86</v>
      </c>
      <c r="P5" s="82">
        <v>1.7</v>
      </c>
      <c r="Q5" s="108">
        <f>AVERAGE(D5:P5)</f>
        <v>1.5215384615384613</v>
      </c>
      <c r="R5" s="107">
        <f>MAX(D5:P5)</f>
        <v>1.86</v>
      </c>
      <c r="S5" s="107">
        <f>AVERAGE(G5:N5)</f>
        <v>1.585</v>
      </c>
    </row>
    <row r="6" spans="1:19" x14ac:dyDescent="0.3">
      <c r="A6" s="94" t="s">
        <v>29</v>
      </c>
      <c r="B6" s="82">
        <v>0.39800000000000002</v>
      </c>
      <c r="C6" s="82">
        <v>0.372</v>
      </c>
      <c r="D6" s="82">
        <v>0.38</v>
      </c>
      <c r="E6" s="82">
        <v>0.34899999999999998</v>
      </c>
      <c r="F6" s="82">
        <v>0.28599999999999998</v>
      </c>
      <c r="G6" s="82">
        <v>0.20100000000000001</v>
      </c>
      <c r="H6" s="82">
        <v>9.6000000000000002E-2</v>
      </c>
      <c r="I6" s="82">
        <v>0.20499999999999999</v>
      </c>
      <c r="J6" s="540">
        <v>0.14899999999999999</v>
      </c>
      <c r="K6" s="82">
        <v>9.2999999999999999E-2</v>
      </c>
      <c r="L6" s="82">
        <v>0.17599999999999999</v>
      </c>
      <c r="M6" s="82">
        <v>0.188</v>
      </c>
      <c r="N6" s="82">
        <v>0.24299999999999999</v>
      </c>
      <c r="O6" s="82">
        <v>0.24299999999999999</v>
      </c>
      <c r="P6" s="82">
        <v>0.29799999999999999</v>
      </c>
      <c r="Q6" s="108">
        <f>AVERAGE(D6:P6)</f>
        <v>0.2236153846153846</v>
      </c>
      <c r="R6" s="107">
        <f>MAX(D6:P6)</f>
        <v>0.38</v>
      </c>
      <c r="S6" s="107">
        <f>AVERAGE(G6:N6)</f>
        <v>0.168875</v>
      </c>
    </row>
    <row r="7" spans="1:19" x14ac:dyDescent="0.3">
      <c r="A7" s="94" t="s">
        <v>146</v>
      </c>
      <c r="B7" s="82">
        <v>0.44400000000000001</v>
      </c>
      <c r="C7" s="82">
        <v>0.48</v>
      </c>
      <c r="D7" s="82">
        <v>0.57899999999999996</v>
      </c>
      <c r="E7" s="82">
        <v>0.61399999999999999</v>
      </c>
      <c r="F7" s="82">
        <v>0.60199999999999998</v>
      </c>
      <c r="G7" s="82">
        <v>0.45800000000000002</v>
      </c>
      <c r="H7" s="82">
        <v>0.158</v>
      </c>
      <c r="I7" s="82">
        <v>0.33700000000000002</v>
      </c>
      <c r="J7" s="540">
        <v>0.26100000000000001</v>
      </c>
      <c r="K7" s="82">
        <v>0.36199999999999999</v>
      </c>
      <c r="L7" s="82">
        <v>0.28799999999999998</v>
      </c>
      <c r="M7" s="82">
        <v>0.311</v>
      </c>
      <c r="N7" s="82">
        <v>0.313</v>
      </c>
      <c r="O7" s="82">
        <v>0.313</v>
      </c>
      <c r="P7" s="82">
        <v>0.40600000000000003</v>
      </c>
      <c r="Q7" s="108">
        <f>AVERAGE(D7:P7)</f>
        <v>0.38476923076923075</v>
      </c>
      <c r="R7" s="107">
        <f>MAX(D7:P7)</f>
        <v>0.61399999999999999</v>
      </c>
      <c r="S7" s="107">
        <f>AVERAGE(G7:N7)</f>
        <v>0.31100000000000005</v>
      </c>
    </row>
    <row r="8" spans="1:19" x14ac:dyDescent="0.3">
      <c r="A8" s="105"/>
      <c r="B8" s="223"/>
      <c r="C8" s="223"/>
      <c r="D8" s="223"/>
      <c r="E8" s="223"/>
      <c r="F8" s="223"/>
      <c r="G8" s="223"/>
      <c r="H8" s="223"/>
      <c r="I8" s="223"/>
      <c r="J8" s="223"/>
      <c r="K8" s="223"/>
      <c r="L8" s="223"/>
      <c r="M8" s="223"/>
      <c r="N8" s="223"/>
      <c r="O8" s="223"/>
      <c r="P8" s="223"/>
      <c r="Q8" s="108"/>
      <c r="R8" s="107"/>
      <c r="S8" s="107"/>
    </row>
    <row r="9" spans="1:19" x14ac:dyDescent="0.3">
      <c r="A9" s="622" t="s">
        <v>506</v>
      </c>
      <c r="B9" s="82">
        <v>0.40799999999999997</v>
      </c>
      <c r="C9" s="82">
        <v>0.45700000000000002</v>
      </c>
      <c r="D9" s="82">
        <v>0.57699999999999996</v>
      </c>
      <c r="E9" s="82">
        <v>0.61699999999999999</v>
      </c>
      <c r="F9" s="82">
        <v>0.60299999999999998</v>
      </c>
      <c r="G9" s="82">
        <v>0.13300000000000001</v>
      </c>
      <c r="H9" s="82">
        <v>0.105</v>
      </c>
      <c r="I9" s="82">
        <v>0.33600000000000002</v>
      </c>
      <c r="J9" s="526">
        <v>0.17299999999999999</v>
      </c>
      <c r="K9" s="82">
        <v>0.28789999999999999</v>
      </c>
      <c r="L9" s="82">
        <v>0.28599999999999998</v>
      </c>
      <c r="M9" s="82">
        <v>0.311</v>
      </c>
      <c r="N9" s="82">
        <v>0.32300000000000001</v>
      </c>
      <c r="O9" s="82">
        <v>0.308</v>
      </c>
      <c r="P9" s="82">
        <v>0.39500000000000002</v>
      </c>
      <c r="Q9" s="108">
        <f>AVERAGE(D9:P9)</f>
        <v>0.34268461538461542</v>
      </c>
      <c r="R9" s="107">
        <f>MAX(D9:P9)</f>
        <v>0.61699999999999999</v>
      </c>
      <c r="S9" s="107">
        <f t="shared" ref="S9:S23" si="0">AVERAGE(G9:N9)</f>
        <v>0.24436250000000001</v>
      </c>
    </row>
    <row r="10" spans="1:19" x14ac:dyDescent="0.3">
      <c r="A10" s="622" t="s">
        <v>175</v>
      </c>
      <c r="B10" s="82">
        <v>0.432</v>
      </c>
      <c r="C10" s="82">
        <v>0.46100000000000002</v>
      </c>
      <c r="D10" s="82">
        <v>0.57799999999999996</v>
      </c>
      <c r="E10" s="82">
        <v>0.61799999999999999</v>
      </c>
      <c r="F10" s="82">
        <v>0.60299999999999998</v>
      </c>
      <c r="G10" s="82">
        <v>0.13500000000000001</v>
      </c>
      <c r="H10" s="82">
        <v>0.106</v>
      </c>
      <c r="I10" s="82">
        <v>0.33500000000000002</v>
      </c>
      <c r="J10" s="526">
        <v>0.185</v>
      </c>
      <c r="K10" s="82">
        <v>0.28860000000000002</v>
      </c>
      <c r="L10" s="82">
        <v>0.28599999999999998</v>
      </c>
      <c r="M10" s="82">
        <v>0.312</v>
      </c>
      <c r="N10" s="82">
        <v>0.32300000000000001</v>
      </c>
      <c r="O10" s="82">
        <v>0.308</v>
      </c>
      <c r="P10" s="82">
        <v>0.40500000000000003</v>
      </c>
      <c r="Q10" s="108">
        <f>AVERAGE(D10:P10)</f>
        <v>0.34481538461538463</v>
      </c>
      <c r="R10" s="107">
        <f>MAX(D10:P10)</f>
        <v>0.61799999999999999</v>
      </c>
      <c r="S10" s="107">
        <f t="shared" si="0"/>
        <v>0.24632500000000002</v>
      </c>
    </row>
    <row r="11" spans="1:19" x14ac:dyDescent="0.3">
      <c r="A11" s="622" t="s">
        <v>507</v>
      </c>
      <c r="B11" s="82">
        <v>0.44400000000000001</v>
      </c>
      <c r="C11" s="82">
        <v>0.47099999999999997</v>
      </c>
      <c r="D11" s="82">
        <v>0.57699999999999996</v>
      </c>
      <c r="E11" s="82">
        <v>0.61799999999999999</v>
      </c>
      <c r="F11" s="82">
        <v>0.60299999999999998</v>
      </c>
      <c r="G11" s="82">
        <v>0.13600000000000001</v>
      </c>
      <c r="H11" s="82">
        <v>0.108</v>
      </c>
      <c r="I11" s="82">
        <v>0.33800000000000002</v>
      </c>
      <c r="J11" s="526">
        <v>0.16800000000000001</v>
      </c>
      <c r="K11" s="82">
        <v>0.28860000000000002</v>
      </c>
      <c r="L11" s="82">
        <v>0.28599999999999998</v>
      </c>
      <c r="M11" s="82">
        <v>0.312</v>
      </c>
      <c r="N11" s="82">
        <v>0.32300000000000001</v>
      </c>
      <c r="O11" s="82">
        <v>0.308</v>
      </c>
      <c r="P11" s="82">
        <v>0.40400000000000003</v>
      </c>
      <c r="Q11" s="108">
        <f t="shared" ref="Q11:Q18" si="1">AVERAGE(C11:P11)</f>
        <v>0.35290000000000005</v>
      </c>
      <c r="R11" s="107">
        <f t="shared" ref="R11:R18" si="2">MAX(C11:P11)</f>
        <v>0.61799999999999999</v>
      </c>
      <c r="S11" s="107">
        <f t="shared" si="0"/>
        <v>0.24495000000000003</v>
      </c>
    </row>
    <row r="12" spans="1:19" x14ac:dyDescent="0.3">
      <c r="A12" s="622" t="s">
        <v>176</v>
      </c>
      <c r="B12" s="82">
        <v>0.45300000000000001</v>
      </c>
      <c r="C12" s="82">
        <v>0.48099999999999998</v>
      </c>
      <c r="D12" s="82">
        <v>0.57699999999999996</v>
      </c>
      <c r="E12" s="82">
        <v>0.61799999999999999</v>
      </c>
      <c r="F12" s="82">
        <v>0.60299999999999998</v>
      </c>
      <c r="G12" s="186">
        <v>0.13600000000000001</v>
      </c>
      <c r="H12" s="82">
        <v>0.108</v>
      </c>
      <c r="I12" s="186">
        <v>0.33600000000000002</v>
      </c>
      <c r="J12" s="526">
        <v>0.27900000000000003</v>
      </c>
      <c r="K12" s="186">
        <v>0.28939999999999999</v>
      </c>
      <c r="L12" s="82">
        <v>0.28599999999999998</v>
      </c>
      <c r="M12" s="82">
        <v>0.312</v>
      </c>
      <c r="N12" s="82">
        <v>0.32300000000000001</v>
      </c>
      <c r="O12" s="186">
        <v>0.311</v>
      </c>
      <c r="P12" s="186">
        <v>0.41199999999999998</v>
      </c>
      <c r="Q12" s="108">
        <f t="shared" si="1"/>
        <v>0.3622428571428572</v>
      </c>
      <c r="R12" s="107">
        <f t="shared" si="2"/>
        <v>0.61799999999999999</v>
      </c>
      <c r="S12" s="107">
        <f t="shared" si="0"/>
        <v>0.25867500000000004</v>
      </c>
    </row>
    <row r="13" spans="1:19" x14ac:dyDescent="0.3">
      <c r="A13" s="622" t="s">
        <v>508</v>
      </c>
      <c r="B13" s="82">
        <v>0.46</v>
      </c>
      <c r="C13" s="82">
        <v>0.51</v>
      </c>
      <c r="D13" s="82">
        <v>0.57799999999999996</v>
      </c>
      <c r="E13" s="82">
        <v>0.61899999999999999</v>
      </c>
      <c r="F13" s="82">
        <v>0.60299999999999998</v>
      </c>
      <c r="G13" s="82">
        <v>0.13700000000000001</v>
      </c>
      <c r="H13" s="82">
        <v>0.108</v>
      </c>
      <c r="I13" s="186">
        <v>0.33600000000000002</v>
      </c>
      <c r="J13" s="526">
        <v>0.27100000000000002</v>
      </c>
      <c r="K13" s="82">
        <v>0.28939999999999999</v>
      </c>
      <c r="L13" s="82">
        <v>0.28599999999999998</v>
      </c>
      <c r="M13" s="82">
        <v>0.312</v>
      </c>
      <c r="N13" s="82">
        <v>0.32300000000000001</v>
      </c>
      <c r="O13" s="186">
        <v>0.311</v>
      </c>
      <c r="P13" s="82">
        <v>0.41499999999999998</v>
      </c>
      <c r="Q13" s="108">
        <f t="shared" si="1"/>
        <v>0.36417142857142865</v>
      </c>
      <c r="R13" s="107">
        <f t="shared" si="2"/>
        <v>0.61899999999999999</v>
      </c>
      <c r="S13" s="107">
        <f t="shared" si="0"/>
        <v>0.25780000000000003</v>
      </c>
    </row>
    <row r="14" spans="1:19" x14ac:dyDescent="0.3">
      <c r="A14" s="622" t="s">
        <v>177</v>
      </c>
      <c r="B14" s="82">
        <v>0.46700000000000003</v>
      </c>
      <c r="C14" s="82">
        <v>0.52100000000000002</v>
      </c>
      <c r="D14" s="82">
        <v>0.57799999999999996</v>
      </c>
      <c r="E14" s="82">
        <v>0.61899999999999999</v>
      </c>
      <c r="F14" s="82">
        <v>0.60299999999999998</v>
      </c>
      <c r="G14" s="82">
        <v>0.13700000000000001</v>
      </c>
      <c r="H14" s="82">
        <v>0.108</v>
      </c>
      <c r="I14" s="186">
        <v>0.33600000000000002</v>
      </c>
      <c r="J14" s="526">
        <v>0.27400000000000002</v>
      </c>
      <c r="K14" s="82">
        <v>0.28960000000000002</v>
      </c>
      <c r="L14" s="82">
        <v>0.28599999999999998</v>
      </c>
      <c r="M14" s="82">
        <v>0.312</v>
      </c>
      <c r="N14" s="82">
        <v>0.32300000000000001</v>
      </c>
      <c r="O14" s="186">
        <v>0.311</v>
      </c>
      <c r="P14" s="82">
        <v>0.41699999999999998</v>
      </c>
      <c r="Q14" s="108">
        <f t="shared" si="1"/>
        <v>0.36532857142857145</v>
      </c>
      <c r="R14" s="107">
        <f t="shared" si="2"/>
        <v>0.61899999999999999</v>
      </c>
      <c r="S14" s="107">
        <f t="shared" si="0"/>
        <v>0.25820000000000004</v>
      </c>
    </row>
    <row r="15" spans="1:19" x14ac:dyDescent="0.3">
      <c r="A15" s="622" t="s">
        <v>509</v>
      </c>
      <c r="B15" s="82">
        <v>0.47499999999999998</v>
      </c>
      <c r="C15" s="82">
        <v>0.54</v>
      </c>
      <c r="D15" s="82">
        <v>0.57799999999999996</v>
      </c>
      <c r="E15" s="82">
        <v>0.61899999999999999</v>
      </c>
      <c r="F15" s="82">
        <v>0.60299999999999998</v>
      </c>
      <c r="G15" s="82">
        <v>0.13700000000000001</v>
      </c>
      <c r="H15" s="82">
        <v>0.107</v>
      </c>
      <c r="I15" s="186">
        <v>0.33600000000000002</v>
      </c>
      <c r="J15" s="526">
        <v>0.27400000000000002</v>
      </c>
      <c r="K15" s="82">
        <v>0.28910000000000002</v>
      </c>
      <c r="L15" s="82">
        <v>0.28599999999999998</v>
      </c>
      <c r="M15" s="82">
        <v>0.312</v>
      </c>
      <c r="N15" s="82">
        <v>0.32300000000000001</v>
      </c>
      <c r="O15" s="186">
        <v>0.311</v>
      </c>
      <c r="P15" s="82">
        <v>0.41899999999999998</v>
      </c>
      <c r="Q15" s="108">
        <f t="shared" si="1"/>
        <v>0.36672142857142859</v>
      </c>
      <c r="R15" s="107">
        <f t="shared" si="2"/>
        <v>0.61899999999999999</v>
      </c>
      <c r="S15" s="107">
        <f t="shared" si="0"/>
        <v>0.25801250000000003</v>
      </c>
    </row>
    <row r="16" spans="1:19" x14ac:dyDescent="0.3">
      <c r="A16" s="622" t="s">
        <v>178</v>
      </c>
      <c r="B16" s="82">
        <v>0.48099999999999998</v>
      </c>
      <c r="C16" s="82">
        <v>0.56899999999999995</v>
      </c>
      <c r="D16" s="82">
        <v>0.57799999999999996</v>
      </c>
      <c r="E16" s="82">
        <v>0.61899999999999999</v>
      </c>
      <c r="F16" s="82">
        <v>0.60599999999999998</v>
      </c>
      <c r="G16" s="82">
        <v>0.13600000000000001</v>
      </c>
      <c r="H16" s="82">
        <v>0.109</v>
      </c>
      <c r="I16" s="186">
        <v>0.33600000000000002</v>
      </c>
      <c r="J16" s="526">
        <v>0.27400000000000002</v>
      </c>
      <c r="K16" s="82">
        <v>0.28939999999999999</v>
      </c>
      <c r="L16" s="82">
        <v>0.28599999999999998</v>
      </c>
      <c r="M16" s="82">
        <v>0.312</v>
      </c>
      <c r="N16" s="82">
        <v>0.32300000000000001</v>
      </c>
      <c r="O16" s="82">
        <v>0.312</v>
      </c>
      <c r="P16" s="82">
        <v>0.42799999999999999</v>
      </c>
      <c r="Q16" s="108">
        <f t="shared" si="1"/>
        <v>0.36981428571428576</v>
      </c>
      <c r="R16" s="107">
        <f t="shared" si="2"/>
        <v>0.61899999999999999</v>
      </c>
      <c r="S16" s="107">
        <f t="shared" si="0"/>
        <v>0.25817500000000004</v>
      </c>
    </row>
    <row r="17" spans="1:19" x14ac:dyDescent="0.3">
      <c r="A17" s="622" t="s">
        <v>179</v>
      </c>
      <c r="B17" s="82">
        <v>0.49299999999999999</v>
      </c>
      <c r="C17" s="82">
        <v>0.61099999999999999</v>
      </c>
      <c r="D17" s="82">
        <v>0.57799999999999996</v>
      </c>
      <c r="E17" s="82">
        <v>0.61899999999999999</v>
      </c>
      <c r="F17" s="82">
        <v>0.61</v>
      </c>
      <c r="G17" s="82">
        <v>0.13800000000000001</v>
      </c>
      <c r="H17" s="82">
        <v>0.109</v>
      </c>
      <c r="I17" s="82">
        <v>0.33700000000000002</v>
      </c>
      <c r="J17" s="526">
        <v>0.27400000000000002</v>
      </c>
      <c r="K17" s="82">
        <v>0.28939999999999999</v>
      </c>
      <c r="L17" s="82">
        <v>0.28599999999999998</v>
      </c>
      <c r="M17" s="82">
        <v>0.312</v>
      </c>
      <c r="N17" s="82">
        <v>0.32400000000000001</v>
      </c>
      <c r="O17" s="82">
        <v>0.313</v>
      </c>
      <c r="P17" s="82">
        <v>0.435</v>
      </c>
      <c r="Q17" s="108">
        <f t="shared" si="1"/>
        <v>0.37395714285714282</v>
      </c>
      <c r="R17" s="107">
        <f t="shared" si="2"/>
        <v>0.61899999999999999</v>
      </c>
      <c r="S17" s="107">
        <f t="shared" si="0"/>
        <v>0.25867500000000004</v>
      </c>
    </row>
    <row r="18" spans="1:19" x14ac:dyDescent="0.3">
      <c r="A18" s="622" t="s">
        <v>180</v>
      </c>
      <c r="B18" s="82">
        <v>0.53500000000000003</v>
      </c>
      <c r="C18" s="82">
        <v>0.63900000000000001</v>
      </c>
      <c r="D18" s="82">
        <v>0.57799999999999996</v>
      </c>
      <c r="E18" s="82">
        <v>0.61899999999999999</v>
      </c>
      <c r="F18" s="82">
        <v>0.61499999999999999</v>
      </c>
      <c r="G18" s="82">
        <v>0.13900000000000001</v>
      </c>
      <c r="H18" s="186">
        <v>0.109</v>
      </c>
      <c r="I18" s="82">
        <v>0.33900000000000002</v>
      </c>
      <c r="J18" s="526">
        <v>0.27400000000000002</v>
      </c>
      <c r="K18" s="82">
        <v>0.28939999999999999</v>
      </c>
      <c r="L18" s="82">
        <v>0.28599999999999998</v>
      </c>
      <c r="M18" s="82">
        <v>0.312</v>
      </c>
      <c r="N18" s="82">
        <v>0.32500000000000001</v>
      </c>
      <c r="O18" s="82">
        <v>0.317</v>
      </c>
      <c r="P18" s="82">
        <v>0.44</v>
      </c>
      <c r="Q18" s="108">
        <f t="shared" si="1"/>
        <v>0.37724285714285716</v>
      </c>
      <c r="R18" s="107">
        <f t="shared" si="2"/>
        <v>0.63900000000000001</v>
      </c>
      <c r="S18" s="107">
        <f t="shared" si="0"/>
        <v>0.25917499999999999</v>
      </c>
    </row>
    <row r="19" spans="1:19" x14ac:dyDescent="0.3">
      <c r="A19" s="622" t="s">
        <v>181</v>
      </c>
      <c r="B19" s="82">
        <v>0.49199999999999999</v>
      </c>
      <c r="C19" s="82">
        <v>0.67200000000000004</v>
      </c>
      <c r="D19" s="82">
        <v>0.57799999999999996</v>
      </c>
      <c r="E19" s="82">
        <v>0.621</v>
      </c>
      <c r="F19" s="82">
        <v>0.61799999999999999</v>
      </c>
      <c r="G19" s="82">
        <v>0.14000000000000001</v>
      </c>
      <c r="H19" s="82">
        <v>0.11</v>
      </c>
      <c r="I19" s="82">
        <v>0.33800000000000002</v>
      </c>
      <c r="J19" s="526">
        <v>0.27500000000000002</v>
      </c>
      <c r="K19" s="82">
        <v>0.28960000000000002</v>
      </c>
      <c r="L19" s="186">
        <v>0.28599999999999998</v>
      </c>
      <c r="M19" s="82">
        <v>0.312</v>
      </c>
      <c r="N19" s="82">
        <v>0.32500000000000001</v>
      </c>
      <c r="O19" s="82">
        <v>0.31900000000000001</v>
      </c>
      <c r="P19" s="82">
        <v>0.46700000000000003</v>
      </c>
      <c r="Q19" s="108">
        <f>AVERAGE(B19:P19)</f>
        <v>0.38950666666666661</v>
      </c>
      <c r="R19" s="107">
        <f>MAX(B19:P19)</f>
        <v>0.67200000000000004</v>
      </c>
      <c r="S19" s="107">
        <f t="shared" si="0"/>
        <v>0.25945000000000001</v>
      </c>
    </row>
    <row r="20" spans="1:19" x14ac:dyDescent="0.3">
      <c r="A20" s="622" t="s">
        <v>182</v>
      </c>
      <c r="B20" s="82">
        <v>0.625</v>
      </c>
      <c r="C20" s="82">
        <v>0.7</v>
      </c>
      <c r="D20" s="82">
        <v>0.57799999999999996</v>
      </c>
      <c r="E20" s="82">
        <v>0.622</v>
      </c>
      <c r="F20" s="82">
        <v>0.62</v>
      </c>
      <c r="G20" s="82">
        <v>0.14099999999999999</v>
      </c>
      <c r="H20" s="82">
        <v>0.11</v>
      </c>
      <c r="I20" s="82">
        <v>0.33900000000000002</v>
      </c>
      <c r="J20" s="526">
        <v>0.27400000000000002</v>
      </c>
      <c r="K20" s="82">
        <v>0.28970000000000001</v>
      </c>
      <c r="L20" s="82">
        <v>0.28699999999999998</v>
      </c>
      <c r="M20" s="82">
        <v>0.312</v>
      </c>
      <c r="N20" s="82">
        <v>0.32500000000000001</v>
      </c>
      <c r="O20" s="82">
        <v>0.31900000000000001</v>
      </c>
      <c r="P20" s="82">
        <v>0.497</v>
      </c>
      <c r="Q20" s="108">
        <f t="shared" ref="Q20:Q23" si="3">AVERAGE(B20:P20)</f>
        <v>0.40258000000000005</v>
      </c>
      <c r="R20" s="107">
        <f t="shared" ref="R20:R23" si="4">MAX(B20:P20)</f>
        <v>0.7</v>
      </c>
      <c r="S20" s="107">
        <f t="shared" si="0"/>
        <v>0.25971250000000001</v>
      </c>
    </row>
    <row r="21" spans="1:19" x14ac:dyDescent="0.3">
      <c r="A21" s="622" t="s">
        <v>183</v>
      </c>
      <c r="B21" s="82">
        <v>0.67100000000000004</v>
      </c>
      <c r="C21" s="82">
        <v>0.72899999999999998</v>
      </c>
      <c r="D21" s="82">
        <v>0.57999999999999996</v>
      </c>
      <c r="E21" s="82">
        <v>0.629</v>
      </c>
      <c r="F21" s="82">
        <v>0.622</v>
      </c>
      <c r="G21" s="82">
        <v>0.14000000000000001</v>
      </c>
      <c r="H21" s="82">
        <v>0.111</v>
      </c>
      <c r="I21" s="82">
        <v>0.33600000000000002</v>
      </c>
      <c r="J21" s="526">
        <v>0.27400000000000002</v>
      </c>
      <c r="K21" s="82">
        <v>0.28849999999999998</v>
      </c>
      <c r="L21" s="82">
        <v>0.28499999999999998</v>
      </c>
      <c r="M21" s="82">
        <v>0.312</v>
      </c>
      <c r="N21" s="82">
        <v>0.32600000000000001</v>
      </c>
      <c r="O21" s="82">
        <v>0.31900000000000001</v>
      </c>
      <c r="P21" s="82">
        <v>0.55700000000000005</v>
      </c>
      <c r="Q21" s="108">
        <f t="shared" si="3"/>
        <v>0.4119666666666667</v>
      </c>
      <c r="R21" s="107">
        <f t="shared" si="4"/>
        <v>0.72899999999999998</v>
      </c>
      <c r="S21" s="107">
        <f t="shared" si="0"/>
        <v>0.25906249999999997</v>
      </c>
    </row>
    <row r="22" spans="1:19" x14ac:dyDescent="0.3">
      <c r="A22" s="622" t="s">
        <v>206</v>
      </c>
      <c r="B22" s="82">
        <v>0.71299999999999997</v>
      </c>
      <c r="C22" s="82">
        <v>0.76600000000000001</v>
      </c>
      <c r="D22" s="82">
        <v>0.58499999999999996</v>
      </c>
      <c r="E22" s="82">
        <v>0.64</v>
      </c>
      <c r="F22" s="82">
        <v>0.625</v>
      </c>
      <c r="G22" s="82">
        <v>0.14099999999999999</v>
      </c>
      <c r="H22" s="82">
        <v>0.112</v>
      </c>
      <c r="I22" s="82">
        <v>0.33500000000000002</v>
      </c>
      <c r="J22" s="526">
        <v>0.27500000000000002</v>
      </c>
      <c r="K22" s="82">
        <v>0.28689999999999999</v>
      </c>
      <c r="L22" s="82">
        <v>0.28299999999999997</v>
      </c>
      <c r="M22" s="82">
        <v>0.30299999999999999</v>
      </c>
      <c r="N22" s="82">
        <v>0.33900000000000002</v>
      </c>
      <c r="O22" s="82">
        <v>0.32400000000000001</v>
      </c>
      <c r="P22" s="82">
        <v>0.71699999999999997</v>
      </c>
      <c r="Q22" s="108">
        <f t="shared" si="3"/>
        <v>0.42966000000000004</v>
      </c>
      <c r="R22" s="107">
        <f t="shared" si="4"/>
        <v>0.76600000000000001</v>
      </c>
      <c r="S22" s="107">
        <f t="shared" si="0"/>
        <v>0.2593625</v>
      </c>
    </row>
    <row r="23" spans="1:19" x14ac:dyDescent="0.3">
      <c r="A23" s="622" t="s">
        <v>207</v>
      </c>
      <c r="B23" s="82">
        <v>0.78300000000000003</v>
      </c>
      <c r="C23" s="82"/>
      <c r="D23" s="82">
        <v>0.60799999999999998</v>
      </c>
      <c r="E23" s="82">
        <v>0.66400000000000003</v>
      </c>
      <c r="F23" s="82"/>
      <c r="G23" s="82">
        <v>0.14199999999999999</v>
      </c>
      <c r="H23" s="82">
        <v>0.114</v>
      </c>
      <c r="I23" s="82">
        <v>0.33400000000000002</v>
      </c>
      <c r="J23" s="526">
        <v>0.27700000000000002</v>
      </c>
      <c r="K23" s="82">
        <v>0.28210000000000002</v>
      </c>
      <c r="L23" s="82">
        <v>0.28199999999999997</v>
      </c>
      <c r="M23" s="82">
        <v>0.30199999999999999</v>
      </c>
      <c r="N23" s="82">
        <v>0.317</v>
      </c>
      <c r="O23" s="82">
        <v>0.40600000000000003</v>
      </c>
      <c r="P23" s="82">
        <v>0.83</v>
      </c>
      <c r="Q23" s="108">
        <f t="shared" si="3"/>
        <v>0.41085384615384613</v>
      </c>
      <c r="R23" s="107">
        <f t="shared" si="4"/>
        <v>0.83</v>
      </c>
      <c r="S23" s="107">
        <f t="shared" si="0"/>
        <v>0.25626250000000006</v>
      </c>
    </row>
  </sheetData>
  <mergeCells count="1">
    <mergeCell ref="A1:P1"/>
  </mergeCells>
  <phoneticPr fontId="0" type="noConversion"/>
  <pageMargins left="0.75" right="0.75" top="1" bottom="1" header="0.5" footer="0.5"/>
  <pageSetup scale="63"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Z23"/>
  <sheetViews>
    <sheetView zoomScale="75" zoomScaleNormal="75" workbookViewId="0">
      <selection activeCell="N9" sqref="N9:N23"/>
    </sheetView>
  </sheetViews>
  <sheetFormatPr defaultRowHeight="13" x14ac:dyDescent="0.3"/>
  <cols>
    <col min="1" max="1" width="21.90625" style="1" bestFit="1" customWidth="1"/>
    <col min="2" max="2" width="9.36328125" bestFit="1" customWidth="1"/>
    <col min="3" max="3" width="9.08984375" bestFit="1" customWidth="1"/>
    <col min="4" max="4" width="9.36328125" bestFit="1" customWidth="1"/>
    <col min="5" max="5" width="9.08984375" bestFit="1" customWidth="1"/>
    <col min="6" max="6" width="9.6328125" bestFit="1" customWidth="1"/>
    <col min="7" max="7" width="9.36328125" bestFit="1" customWidth="1"/>
    <col min="8" max="8" width="8.08984375" bestFit="1" customWidth="1"/>
    <col min="9" max="9" width="8.54296875" bestFit="1" customWidth="1"/>
    <col min="10" max="10" width="8.36328125" bestFit="1" customWidth="1"/>
    <col min="11" max="11" width="9.6328125" bestFit="1" customWidth="1"/>
    <col min="12" max="12" width="9.36328125" bestFit="1" customWidth="1"/>
    <col min="13" max="13" width="9.6328125" bestFit="1" customWidth="1"/>
    <col min="14" max="14" width="9.6328125" customWidth="1"/>
    <col min="15" max="15" width="9.36328125" bestFit="1" customWidth="1"/>
    <col min="16" max="16" width="9.453125" bestFit="1" customWidth="1"/>
    <col min="17" max="17" width="9.36328125" bestFit="1" customWidth="1"/>
    <col min="18" max="18" width="17.36328125" bestFit="1" customWidth="1"/>
    <col min="19" max="19" width="7" bestFit="1" customWidth="1"/>
    <col min="20" max="20" width="10.54296875" bestFit="1" customWidth="1"/>
    <col min="21" max="21" width="10.90625" customWidth="1"/>
    <col min="22" max="22" width="11.36328125" customWidth="1"/>
    <col min="23" max="23" width="10.90625" customWidth="1"/>
    <col min="24" max="24" width="11.36328125" customWidth="1"/>
    <col min="25" max="25" width="10.36328125" customWidth="1"/>
    <col min="26" max="26" width="10.90625" bestFit="1" customWidth="1"/>
  </cols>
  <sheetData>
    <row r="1" spans="1:26" x14ac:dyDescent="0.3">
      <c r="A1" s="831" t="s">
        <v>9</v>
      </c>
      <c r="B1" s="831"/>
      <c r="C1" s="831"/>
      <c r="D1" s="831"/>
      <c r="E1" s="831"/>
      <c r="F1" s="831"/>
      <c r="G1" s="831"/>
      <c r="H1" s="831"/>
      <c r="I1" s="831"/>
      <c r="J1" s="831"/>
      <c r="K1" s="831"/>
      <c r="L1" s="831"/>
      <c r="M1" s="831"/>
      <c r="N1" s="831"/>
      <c r="O1" s="831"/>
      <c r="P1" s="831"/>
    </row>
    <row r="4" spans="1:26" s="7" customFormat="1" x14ac:dyDescent="0.3">
      <c r="A4" s="111" t="s">
        <v>2</v>
      </c>
      <c r="B4" s="337">
        <v>40567</v>
      </c>
      <c r="C4" s="337">
        <v>40595</v>
      </c>
      <c r="D4" s="337">
        <v>40627</v>
      </c>
      <c r="E4" s="337">
        <v>40658</v>
      </c>
      <c r="F4" s="337">
        <v>40686</v>
      </c>
      <c r="G4" s="337">
        <v>40721</v>
      </c>
      <c r="H4" s="338">
        <v>40743</v>
      </c>
      <c r="I4" s="338">
        <v>40749</v>
      </c>
      <c r="J4" s="338">
        <v>40763</v>
      </c>
      <c r="K4" s="337">
        <v>40777</v>
      </c>
      <c r="L4" s="337">
        <v>40798</v>
      </c>
      <c r="M4" s="339">
        <v>40812</v>
      </c>
      <c r="N4" s="339">
        <v>40833</v>
      </c>
      <c r="O4" s="339">
        <v>40840</v>
      </c>
      <c r="P4" s="339">
        <v>40875</v>
      </c>
      <c r="Q4" s="338">
        <v>40893</v>
      </c>
      <c r="R4" s="113" t="s">
        <v>147</v>
      </c>
      <c r="S4" s="114" t="s">
        <v>92</v>
      </c>
      <c r="T4" s="112" t="s">
        <v>131</v>
      </c>
    </row>
    <row r="5" spans="1:26" x14ac:dyDescent="0.3">
      <c r="A5" s="217" t="s">
        <v>28</v>
      </c>
      <c r="B5" s="82">
        <v>7.89</v>
      </c>
      <c r="C5" s="82">
        <v>7.76</v>
      </c>
      <c r="D5" s="82">
        <v>7.69</v>
      </c>
      <c r="E5" s="82">
        <v>7.44</v>
      </c>
      <c r="F5" s="82">
        <v>8.44</v>
      </c>
      <c r="G5" s="82">
        <v>8.4499999999999993</v>
      </c>
      <c r="H5" s="82">
        <v>8.2899999999999991</v>
      </c>
      <c r="I5" s="82">
        <v>8.3800000000000008</v>
      </c>
      <c r="J5" s="540">
        <v>8.4700000000000006</v>
      </c>
      <c r="K5" s="82">
        <v>8.2200000000000006</v>
      </c>
      <c r="L5" s="82">
        <v>8.1999999999999993</v>
      </c>
      <c r="M5" s="82">
        <v>8.51</v>
      </c>
      <c r="N5" s="82"/>
      <c r="O5" s="82">
        <v>8.42</v>
      </c>
      <c r="P5" s="82">
        <v>8.0399999999999991</v>
      </c>
      <c r="Q5" s="82">
        <v>8.57</v>
      </c>
      <c r="R5" s="96">
        <f>AVERAGE(B5:Q5)</f>
        <v>8.1846666666666668</v>
      </c>
      <c r="S5" s="97">
        <f>MAX(B5:Q5)</f>
        <v>8.57</v>
      </c>
      <c r="T5" s="97">
        <f>MIN(B5:Q5)</f>
        <v>7.44</v>
      </c>
      <c r="U5" s="6"/>
      <c r="V5" s="6"/>
      <c r="W5" s="6"/>
      <c r="X5" s="6"/>
      <c r="Y5" s="6"/>
      <c r="Z5" s="6"/>
    </row>
    <row r="6" spans="1:26" x14ac:dyDescent="0.3">
      <c r="A6" s="217" t="s">
        <v>29</v>
      </c>
      <c r="B6" s="82">
        <v>8.52</v>
      </c>
      <c r="C6" s="82">
        <v>7.99</v>
      </c>
      <c r="D6" s="82">
        <v>7.99</v>
      </c>
      <c r="E6" s="82">
        <v>7.36</v>
      </c>
      <c r="F6" s="82">
        <v>8.15</v>
      </c>
      <c r="G6" s="82">
        <v>8.02</v>
      </c>
      <c r="H6" s="82">
        <v>7.94</v>
      </c>
      <c r="I6" s="82">
        <v>8.1</v>
      </c>
      <c r="J6" s="540">
        <v>8.16</v>
      </c>
      <c r="K6" s="82">
        <v>8</v>
      </c>
      <c r="L6" s="82">
        <v>8.1</v>
      </c>
      <c r="M6" s="82">
        <v>7.88</v>
      </c>
      <c r="N6" s="82"/>
      <c r="O6" s="82">
        <v>8.6</v>
      </c>
      <c r="P6" s="82">
        <v>8.26</v>
      </c>
      <c r="Q6" s="82">
        <v>7.85</v>
      </c>
      <c r="R6" s="96">
        <f>AVERAGE(B6:Q6)</f>
        <v>8.0613333333333319</v>
      </c>
      <c r="S6" s="97">
        <f>MAX(B6:Q6)</f>
        <v>8.6</v>
      </c>
      <c r="T6" s="97">
        <f>MIN(B6:Q6)</f>
        <v>7.36</v>
      </c>
      <c r="U6" s="6"/>
      <c r="V6" s="6"/>
      <c r="W6" s="6"/>
      <c r="X6" s="6"/>
      <c r="Y6" s="6"/>
      <c r="Z6" s="6"/>
    </row>
    <row r="7" spans="1:26" x14ac:dyDescent="0.3">
      <c r="A7" s="218" t="s">
        <v>97</v>
      </c>
      <c r="B7" s="82">
        <v>8.32</v>
      </c>
      <c r="C7" s="82">
        <v>8.07</v>
      </c>
      <c r="D7" s="82">
        <v>7.86</v>
      </c>
      <c r="E7" s="82">
        <v>8.0299999999999994</v>
      </c>
      <c r="F7" s="82">
        <v>8.5299999999999994</v>
      </c>
      <c r="G7" s="82">
        <v>8.74</v>
      </c>
      <c r="H7" s="82">
        <v>8.3000000000000007</v>
      </c>
      <c r="I7" s="82">
        <v>8.39</v>
      </c>
      <c r="J7" s="540">
        <v>8.6300000000000008</v>
      </c>
      <c r="K7" s="82">
        <v>8.67</v>
      </c>
      <c r="L7" s="82">
        <v>8.4600000000000009</v>
      </c>
      <c r="M7" s="82">
        <v>8.25</v>
      </c>
      <c r="N7" s="82"/>
      <c r="O7" s="82">
        <v>9.3000000000000007</v>
      </c>
      <c r="P7" s="82">
        <v>8.2799999999999994</v>
      </c>
      <c r="Q7" s="82">
        <v>8.43</v>
      </c>
      <c r="R7" s="96">
        <f>AVERAGE(B7:Q7)</f>
        <v>8.4173333333333336</v>
      </c>
      <c r="S7" s="97">
        <f>MAX(B7:Q7)</f>
        <v>9.3000000000000007</v>
      </c>
      <c r="T7" s="97">
        <f>MIN(B7:Q7)</f>
        <v>7.86</v>
      </c>
      <c r="U7" s="6"/>
      <c r="V7" s="6"/>
      <c r="W7" s="6"/>
      <c r="X7" s="6"/>
      <c r="Y7" s="6"/>
      <c r="Z7" s="6"/>
    </row>
    <row r="8" spans="1:26" x14ac:dyDescent="0.3">
      <c r="A8" s="106"/>
      <c r="B8" s="224"/>
      <c r="C8" s="224"/>
      <c r="D8" s="224"/>
      <c r="E8" s="224"/>
      <c r="F8" s="224"/>
      <c r="G8" s="224"/>
      <c r="H8" s="224"/>
      <c r="I8" s="224"/>
      <c r="J8" s="224"/>
      <c r="K8" s="224"/>
      <c r="L8" s="224"/>
      <c r="M8" s="224"/>
      <c r="N8" s="224"/>
      <c r="O8" s="224"/>
      <c r="P8" s="224"/>
      <c r="Q8" s="224"/>
      <c r="R8" s="96"/>
      <c r="S8" s="97"/>
      <c r="T8" s="97"/>
      <c r="U8" s="6"/>
      <c r="V8" s="6"/>
      <c r="W8" s="6"/>
      <c r="X8" s="6"/>
      <c r="Y8" s="6"/>
      <c r="Z8" s="6"/>
    </row>
    <row r="9" spans="1:26" x14ac:dyDescent="0.3">
      <c r="A9" s="720" t="s">
        <v>506</v>
      </c>
      <c r="B9" s="82">
        <v>8.52</v>
      </c>
      <c r="C9" s="82">
        <v>8.34</v>
      </c>
      <c r="D9" s="82">
        <v>8.15</v>
      </c>
      <c r="E9" s="82">
        <v>8.41</v>
      </c>
      <c r="F9" s="82">
        <v>8.61</v>
      </c>
      <c r="G9" s="82">
        <v>8.84</v>
      </c>
      <c r="H9" s="82">
        <v>7.98</v>
      </c>
      <c r="I9" s="82">
        <v>8.1</v>
      </c>
      <c r="J9" s="526">
        <v>8.17</v>
      </c>
      <c r="K9" s="82">
        <v>8.7100000000000009</v>
      </c>
      <c r="L9" s="82">
        <v>8.32</v>
      </c>
      <c r="M9" s="82">
        <v>7.93</v>
      </c>
      <c r="N9" s="82">
        <v>8.52</v>
      </c>
      <c r="O9" s="82">
        <v>9.5</v>
      </c>
      <c r="P9" s="82">
        <v>8.5299999999999994</v>
      </c>
      <c r="Q9" s="82">
        <v>8.35</v>
      </c>
      <c r="R9" s="96">
        <f t="shared" ref="R9:R19" si="0">AVERAGE(B9:Q9)</f>
        <v>8.4362500000000011</v>
      </c>
      <c r="S9" s="97">
        <f t="shared" ref="S9:S19" si="1">MAX(B9:Q9)</f>
        <v>9.5</v>
      </c>
      <c r="T9" s="97">
        <f t="shared" ref="T9:T19" si="2">MIN(B9:Q9)</f>
        <v>7.93</v>
      </c>
      <c r="U9" s="6"/>
      <c r="V9" s="6"/>
      <c r="W9" s="6"/>
      <c r="X9" s="6"/>
      <c r="Y9" s="6"/>
      <c r="Z9" s="6"/>
    </row>
    <row r="10" spans="1:26" x14ac:dyDescent="0.3">
      <c r="A10" s="720" t="s">
        <v>175</v>
      </c>
      <c r="B10" s="82">
        <v>8.5399999999999991</v>
      </c>
      <c r="C10" s="82">
        <v>8.1300000000000008</v>
      </c>
      <c r="D10" s="82">
        <v>8.08</v>
      </c>
      <c r="E10" s="82">
        <v>8.2899999999999991</v>
      </c>
      <c r="F10" s="82">
        <v>8.61</v>
      </c>
      <c r="G10" s="82">
        <v>8.82</v>
      </c>
      <c r="H10" s="82">
        <v>7.94</v>
      </c>
      <c r="I10" s="82">
        <v>8.1199999999999992</v>
      </c>
      <c r="J10" s="526">
        <v>8.17</v>
      </c>
      <c r="K10" s="82">
        <v>8.69</v>
      </c>
      <c r="L10" s="82">
        <v>8.32</v>
      </c>
      <c r="M10" s="82">
        <v>7.84</v>
      </c>
      <c r="N10" s="82">
        <v>8.49</v>
      </c>
      <c r="O10" s="82">
        <v>9.4600000000000009</v>
      </c>
      <c r="P10" s="82">
        <v>8.2200000000000006</v>
      </c>
      <c r="Q10" s="82">
        <v>8.3800000000000008</v>
      </c>
      <c r="R10" s="96">
        <f t="shared" si="0"/>
        <v>8.3812499999999996</v>
      </c>
      <c r="S10" s="97">
        <f t="shared" si="1"/>
        <v>9.4600000000000009</v>
      </c>
      <c r="T10" s="97">
        <f t="shared" si="2"/>
        <v>7.84</v>
      </c>
    </row>
    <row r="11" spans="1:26" x14ac:dyDescent="0.3">
      <c r="A11" s="720" t="s">
        <v>507</v>
      </c>
      <c r="B11" s="82">
        <v>8.52</v>
      </c>
      <c r="C11" s="82">
        <v>8.01</v>
      </c>
      <c r="D11" s="82">
        <v>8.01</v>
      </c>
      <c r="E11" s="82">
        <v>8.24</v>
      </c>
      <c r="F11" s="82">
        <v>8.61</v>
      </c>
      <c r="G11" s="82">
        <v>8.81</v>
      </c>
      <c r="H11" s="82">
        <v>7.9</v>
      </c>
      <c r="I11" s="82">
        <v>8.07</v>
      </c>
      <c r="J11" s="526">
        <v>8.14</v>
      </c>
      <c r="K11" s="82">
        <v>8.69</v>
      </c>
      <c r="L11" s="82">
        <v>8.33</v>
      </c>
      <c r="M11" s="82">
        <v>7.8</v>
      </c>
      <c r="N11" s="82">
        <v>8.44</v>
      </c>
      <c r="O11" s="82">
        <v>9.4499999999999993</v>
      </c>
      <c r="P11" s="82">
        <v>8.15</v>
      </c>
      <c r="Q11" s="82">
        <v>8.2899999999999991</v>
      </c>
      <c r="R11" s="96">
        <f t="shared" si="0"/>
        <v>8.3412500000000005</v>
      </c>
      <c r="S11" s="97">
        <f t="shared" si="1"/>
        <v>9.4499999999999993</v>
      </c>
      <c r="T11" s="97">
        <f t="shared" si="2"/>
        <v>7.8</v>
      </c>
    </row>
    <row r="12" spans="1:26" x14ac:dyDescent="0.3">
      <c r="A12" s="720" t="s">
        <v>176</v>
      </c>
      <c r="B12" s="82">
        <v>8.5500000000000007</v>
      </c>
      <c r="C12" s="82">
        <v>7.96</v>
      </c>
      <c r="D12" s="82">
        <v>8.0500000000000007</v>
      </c>
      <c r="E12" s="82">
        <v>8.24</v>
      </c>
      <c r="F12" s="82">
        <v>8.6</v>
      </c>
      <c r="G12" s="82">
        <v>8.75</v>
      </c>
      <c r="H12" s="82">
        <v>7.9</v>
      </c>
      <c r="I12" s="82">
        <v>8.06</v>
      </c>
      <c r="J12" s="526">
        <v>8.14</v>
      </c>
      <c r="K12" s="82">
        <v>8.68</v>
      </c>
      <c r="L12" s="82">
        <v>8.34</v>
      </c>
      <c r="M12" s="82">
        <v>7.79</v>
      </c>
      <c r="N12" s="82">
        <v>8.43</v>
      </c>
      <c r="O12" s="82">
        <v>9.41</v>
      </c>
      <c r="P12" s="82">
        <v>8.0399999999999991</v>
      </c>
      <c r="Q12" s="82">
        <v>8.34</v>
      </c>
      <c r="R12" s="96">
        <f t="shared" si="0"/>
        <v>8.33</v>
      </c>
      <c r="S12" s="97">
        <f t="shared" si="1"/>
        <v>9.41</v>
      </c>
      <c r="T12" s="97">
        <f t="shared" si="2"/>
        <v>7.79</v>
      </c>
    </row>
    <row r="13" spans="1:26" x14ac:dyDescent="0.3">
      <c r="A13" s="720" t="s">
        <v>508</v>
      </c>
      <c r="B13" s="82">
        <v>8.57</v>
      </c>
      <c r="C13" s="82">
        <v>7.94</v>
      </c>
      <c r="D13" s="82">
        <v>8.06</v>
      </c>
      <c r="E13" s="82">
        <v>8.24</v>
      </c>
      <c r="F13" s="82">
        <v>8.59</v>
      </c>
      <c r="G13" s="82">
        <v>8.81</v>
      </c>
      <c r="H13" s="82">
        <v>7.83</v>
      </c>
      <c r="I13" s="82">
        <v>8.0399999999999991</v>
      </c>
      <c r="J13" s="526">
        <v>8.11</v>
      </c>
      <c r="K13" s="82">
        <v>8.69</v>
      </c>
      <c r="L13" s="82">
        <v>8.33</v>
      </c>
      <c r="M13" s="82">
        <v>7.79</v>
      </c>
      <c r="N13" s="82">
        <v>8.41</v>
      </c>
      <c r="O13" s="82">
        <v>9.4</v>
      </c>
      <c r="P13" s="82">
        <v>7.98</v>
      </c>
      <c r="Q13" s="82">
        <v>8.48</v>
      </c>
      <c r="R13" s="96">
        <f t="shared" si="0"/>
        <v>8.3293750000000006</v>
      </c>
      <c r="S13" s="97">
        <f t="shared" si="1"/>
        <v>9.4</v>
      </c>
      <c r="T13" s="97">
        <f t="shared" si="2"/>
        <v>7.79</v>
      </c>
    </row>
    <row r="14" spans="1:26" x14ac:dyDescent="0.3">
      <c r="A14" s="720" t="s">
        <v>177</v>
      </c>
      <c r="B14" s="82">
        <v>8.48</v>
      </c>
      <c r="C14" s="82">
        <v>7.83</v>
      </c>
      <c r="D14" s="82">
        <v>8.01</v>
      </c>
      <c r="E14" s="82">
        <v>8.24</v>
      </c>
      <c r="F14" s="82">
        <v>8.57</v>
      </c>
      <c r="G14" s="186">
        <v>8.8000000000000007</v>
      </c>
      <c r="H14" s="186">
        <v>7.8</v>
      </c>
      <c r="I14" s="186">
        <v>8.02</v>
      </c>
      <c r="J14" s="526">
        <v>8.11</v>
      </c>
      <c r="K14" s="186">
        <v>8.68</v>
      </c>
      <c r="L14" s="186">
        <v>8.3000000000000007</v>
      </c>
      <c r="M14" s="82">
        <v>7.79</v>
      </c>
      <c r="N14" s="186">
        <v>8.42</v>
      </c>
      <c r="O14" s="186">
        <v>9.36</v>
      </c>
      <c r="P14" s="186">
        <v>7.99</v>
      </c>
      <c r="Q14" s="186">
        <v>8.58</v>
      </c>
      <c r="R14" s="96">
        <f t="shared" si="0"/>
        <v>8.3112499999999994</v>
      </c>
      <c r="S14" s="97">
        <f t="shared" si="1"/>
        <v>9.36</v>
      </c>
      <c r="T14" s="97">
        <f t="shared" si="2"/>
        <v>7.79</v>
      </c>
    </row>
    <row r="15" spans="1:26" x14ac:dyDescent="0.3">
      <c r="A15" s="720" t="s">
        <v>509</v>
      </c>
      <c r="B15" s="82">
        <v>8.4</v>
      </c>
      <c r="C15" s="82">
        <v>7.81</v>
      </c>
      <c r="D15" s="82">
        <v>7.99</v>
      </c>
      <c r="E15" s="82">
        <v>8.2200000000000006</v>
      </c>
      <c r="F15" s="82">
        <v>8.5299999999999994</v>
      </c>
      <c r="G15" s="82">
        <v>8.76</v>
      </c>
      <c r="H15" s="82">
        <v>7.77</v>
      </c>
      <c r="I15" s="82">
        <v>7.99</v>
      </c>
      <c r="J15" s="526">
        <v>8.07</v>
      </c>
      <c r="K15" s="82">
        <v>8.68</v>
      </c>
      <c r="L15" s="82">
        <v>8.35</v>
      </c>
      <c r="M15" s="82">
        <v>7.75</v>
      </c>
      <c r="N15" s="82">
        <v>8.41</v>
      </c>
      <c r="O15" s="82">
        <v>9.3699999999999992</v>
      </c>
      <c r="P15" s="82">
        <v>7.98</v>
      </c>
      <c r="Q15" s="82">
        <v>8.5299999999999994</v>
      </c>
      <c r="R15" s="96">
        <f t="shared" si="0"/>
        <v>8.2881249999999991</v>
      </c>
      <c r="S15" s="97">
        <f t="shared" si="1"/>
        <v>9.3699999999999992</v>
      </c>
      <c r="T15" s="97">
        <f t="shared" si="2"/>
        <v>7.75</v>
      </c>
    </row>
    <row r="16" spans="1:26" x14ac:dyDescent="0.3">
      <c r="A16" s="720" t="s">
        <v>178</v>
      </c>
      <c r="B16" s="186">
        <v>8.44</v>
      </c>
      <c r="C16" s="186">
        <v>7.74</v>
      </c>
      <c r="D16" s="186">
        <v>8.0299999999999994</v>
      </c>
      <c r="E16" s="186">
        <v>8.23</v>
      </c>
      <c r="F16" s="186">
        <v>8.35</v>
      </c>
      <c r="G16" s="82">
        <v>8.74</v>
      </c>
      <c r="H16" s="82">
        <v>7.72</v>
      </c>
      <c r="I16" s="82">
        <v>7.96</v>
      </c>
      <c r="J16" s="526">
        <v>8.0500000000000007</v>
      </c>
      <c r="K16" s="82">
        <v>8.67</v>
      </c>
      <c r="L16" s="82">
        <v>8.3800000000000008</v>
      </c>
      <c r="M16" s="82">
        <v>7.74</v>
      </c>
      <c r="N16" s="82">
        <v>8.42</v>
      </c>
      <c r="O16" s="82">
        <v>9.4</v>
      </c>
      <c r="P16" s="82">
        <v>7.99</v>
      </c>
      <c r="Q16" s="82">
        <v>8.4</v>
      </c>
      <c r="R16" s="96">
        <f t="shared" si="0"/>
        <v>8.2662499999999994</v>
      </c>
      <c r="S16" s="97">
        <f t="shared" si="1"/>
        <v>9.4</v>
      </c>
      <c r="T16" s="97">
        <f t="shared" si="2"/>
        <v>7.72</v>
      </c>
    </row>
    <row r="17" spans="1:20" x14ac:dyDescent="0.3">
      <c r="A17" s="720" t="s">
        <v>179</v>
      </c>
      <c r="B17" s="82">
        <v>8.27</v>
      </c>
      <c r="C17" s="82">
        <v>7.66</v>
      </c>
      <c r="D17" s="82">
        <v>8</v>
      </c>
      <c r="E17" s="82">
        <v>8.2200000000000006</v>
      </c>
      <c r="F17" s="82">
        <v>8.15</v>
      </c>
      <c r="G17" s="82">
        <v>8.61</v>
      </c>
      <c r="H17" s="82">
        <v>7.62</v>
      </c>
      <c r="I17" s="82">
        <v>7.94</v>
      </c>
      <c r="J17" s="526">
        <v>8.01</v>
      </c>
      <c r="K17" s="82">
        <v>8.67</v>
      </c>
      <c r="L17" s="82">
        <v>8.3699999999999992</v>
      </c>
      <c r="M17" s="82">
        <v>7.74</v>
      </c>
      <c r="N17" s="82">
        <v>8.4499999999999993</v>
      </c>
      <c r="O17" s="82">
        <v>9.33</v>
      </c>
      <c r="P17" s="82">
        <v>7.97</v>
      </c>
      <c r="Q17" s="82">
        <v>8.23</v>
      </c>
      <c r="R17" s="96">
        <f t="shared" si="0"/>
        <v>8.2025000000000006</v>
      </c>
      <c r="S17" s="97">
        <f t="shared" si="1"/>
        <v>9.33</v>
      </c>
      <c r="T17" s="97">
        <f t="shared" si="2"/>
        <v>7.62</v>
      </c>
    </row>
    <row r="18" spans="1:20" x14ac:dyDescent="0.3">
      <c r="A18" s="720" t="s">
        <v>180</v>
      </c>
      <c r="B18" s="82">
        <v>8.15</v>
      </c>
      <c r="C18" s="82">
        <v>7.67</v>
      </c>
      <c r="D18" s="82">
        <v>7.99</v>
      </c>
      <c r="E18" s="82">
        <v>8.26</v>
      </c>
      <c r="F18" s="82">
        <v>8.0299999999999994</v>
      </c>
      <c r="G18" s="82">
        <v>8.58</v>
      </c>
      <c r="H18" s="82">
        <v>7.6</v>
      </c>
      <c r="I18" s="82">
        <v>7.84</v>
      </c>
      <c r="J18" s="526">
        <v>8.01</v>
      </c>
      <c r="K18" s="82">
        <v>8.66</v>
      </c>
      <c r="L18" s="82">
        <v>8.4600000000000009</v>
      </c>
      <c r="M18" s="82">
        <v>7.73</v>
      </c>
      <c r="N18" s="82">
        <v>8.48</v>
      </c>
      <c r="O18" s="82">
        <v>9.06</v>
      </c>
      <c r="P18" s="82">
        <v>8.02</v>
      </c>
      <c r="Q18" s="82">
        <v>8.0399999999999991</v>
      </c>
      <c r="R18" s="96">
        <f t="shared" si="0"/>
        <v>8.1612500000000008</v>
      </c>
      <c r="S18" s="97">
        <f t="shared" si="1"/>
        <v>9.06</v>
      </c>
      <c r="T18" s="97">
        <f t="shared" si="2"/>
        <v>7.6</v>
      </c>
    </row>
    <row r="19" spans="1:20" x14ac:dyDescent="0.3">
      <c r="A19" s="720" t="s">
        <v>181</v>
      </c>
      <c r="B19" s="82">
        <v>8.1199999999999992</v>
      </c>
      <c r="C19" s="82">
        <v>7.58</v>
      </c>
      <c r="D19" s="82">
        <v>7.96</v>
      </c>
      <c r="E19" s="82">
        <v>8.2200000000000006</v>
      </c>
      <c r="F19" s="82">
        <v>8</v>
      </c>
      <c r="G19" s="82">
        <v>8.52</v>
      </c>
      <c r="H19" s="82">
        <v>7.57</v>
      </c>
      <c r="I19" s="82">
        <v>7.77</v>
      </c>
      <c r="J19" s="526">
        <v>7.91</v>
      </c>
      <c r="K19" s="82">
        <v>8.6199999999999992</v>
      </c>
      <c r="L19" s="82">
        <v>8.41</v>
      </c>
      <c r="M19" s="82">
        <v>7.76</v>
      </c>
      <c r="N19" s="82">
        <v>8.5</v>
      </c>
      <c r="O19" s="82">
        <v>8.99</v>
      </c>
      <c r="P19" s="82">
        <v>7.99</v>
      </c>
      <c r="Q19" s="82">
        <v>7.92</v>
      </c>
      <c r="R19" s="96">
        <f t="shared" si="0"/>
        <v>8.1150000000000002</v>
      </c>
      <c r="S19" s="97">
        <f t="shared" si="1"/>
        <v>8.99</v>
      </c>
      <c r="T19" s="97">
        <f t="shared" si="2"/>
        <v>7.57</v>
      </c>
    </row>
    <row r="20" spans="1:20" x14ac:dyDescent="0.3">
      <c r="A20" s="720" t="s">
        <v>182</v>
      </c>
      <c r="B20" s="82">
        <v>8.06</v>
      </c>
      <c r="C20" s="82">
        <v>7.51</v>
      </c>
      <c r="D20" s="82">
        <v>7.99</v>
      </c>
      <c r="E20" s="82">
        <v>8.18</v>
      </c>
      <c r="F20" s="82">
        <v>7.88</v>
      </c>
      <c r="G20" s="82">
        <v>8.4499999999999993</v>
      </c>
      <c r="H20" s="82">
        <v>7.54</v>
      </c>
      <c r="I20" s="82">
        <v>7.72</v>
      </c>
      <c r="J20" s="526">
        <v>7.83</v>
      </c>
      <c r="K20" s="82">
        <v>8.57</v>
      </c>
      <c r="L20" s="82">
        <v>8.41</v>
      </c>
      <c r="M20" s="82">
        <v>7.77</v>
      </c>
      <c r="N20" s="82">
        <v>8.5299999999999994</v>
      </c>
      <c r="O20" s="82">
        <v>8.8000000000000007</v>
      </c>
      <c r="P20" s="82">
        <v>7.99</v>
      </c>
      <c r="Q20" s="82">
        <v>7.83</v>
      </c>
      <c r="R20" s="96">
        <f t="shared" ref="R20:R23" si="3">AVERAGE(B20:Q20)</f>
        <v>8.0662500000000001</v>
      </c>
      <c r="S20" s="97">
        <f t="shared" ref="S20:S23" si="4">MAX(B20:Q20)</f>
        <v>8.8000000000000007</v>
      </c>
      <c r="T20" s="97">
        <f t="shared" ref="T20:T23" si="5">MIN(B20:Q20)</f>
        <v>7.51</v>
      </c>
    </row>
    <row r="21" spans="1:20" x14ac:dyDescent="0.3">
      <c r="A21" s="720" t="s">
        <v>183</v>
      </c>
      <c r="B21" s="82">
        <v>7.95</v>
      </c>
      <c r="C21" s="82">
        <v>7.51</v>
      </c>
      <c r="D21" s="82">
        <v>8</v>
      </c>
      <c r="E21" s="82">
        <v>8.15</v>
      </c>
      <c r="F21" s="82">
        <v>7.76</v>
      </c>
      <c r="G21" s="82">
        <v>8.36</v>
      </c>
      <c r="H21" s="82">
        <v>7.5</v>
      </c>
      <c r="I21" s="82">
        <v>7.67</v>
      </c>
      <c r="J21" s="526">
        <v>7.83</v>
      </c>
      <c r="K21" s="82">
        <v>8.5500000000000007</v>
      </c>
      <c r="L21" s="82">
        <v>8.34</v>
      </c>
      <c r="M21" s="82">
        <v>7.78</v>
      </c>
      <c r="N21" s="82">
        <v>8.52</v>
      </c>
      <c r="O21" s="82">
        <v>8.73</v>
      </c>
      <c r="P21" s="82">
        <v>7.98</v>
      </c>
      <c r="Q21" s="82">
        <v>7.7</v>
      </c>
      <c r="R21" s="96">
        <f t="shared" si="3"/>
        <v>8.0206250000000008</v>
      </c>
      <c r="S21" s="97">
        <f t="shared" si="4"/>
        <v>8.73</v>
      </c>
      <c r="T21" s="97">
        <f t="shared" si="5"/>
        <v>7.5</v>
      </c>
    </row>
    <row r="22" spans="1:20" x14ac:dyDescent="0.3">
      <c r="A22" s="720" t="s">
        <v>206</v>
      </c>
      <c r="B22" s="82">
        <v>7.92</v>
      </c>
      <c r="C22" s="82">
        <v>7.55</v>
      </c>
      <c r="D22" s="82">
        <v>8.01</v>
      </c>
      <c r="E22" s="82">
        <v>8.15</v>
      </c>
      <c r="F22" s="82">
        <v>7.73</v>
      </c>
      <c r="G22" s="82">
        <v>8.16</v>
      </c>
      <c r="H22" s="82">
        <v>7.44</v>
      </c>
      <c r="I22" s="82">
        <v>7.61</v>
      </c>
      <c r="J22" s="526">
        <v>7.81</v>
      </c>
      <c r="K22" s="82">
        <v>8.5</v>
      </c>
      <c r="L22" s="82">
        <v>8.1300000000000008</v>
      </c>
      <c r="M22" s="82">
        <v>7.74</v>
      </c>
      <c r="N22" s="82">
        <v>8.3000000000000007</v>
      </c>
      <c r="O22" s="82">
        <v>8.57</v>
      </c>
      <c r="P22" s="82">
        <v>7.96</v>
      </c>
      <c r="Q22" s="82">
        <v>7.54</v>
      </c>
      <c r="R22" s="96">
        <f t="shared" si="3"/>
        <v>7.9449999999999985</v>
      </c>
      <c r="S22" s="97">
        <f t="shared" si="4"/>
        <v>8.57</v>
      </c>
      <c r="T22" s="97">
        <f t="shared" si="5"/>
        <v>7.44</v>
      </c>
    </row>
    <row r="23" spans="1:20" x14ac:dyDescent="0.3">
      <c r="A23" s="720" t="s">
        <v>207</v>
      </c>
      <c r="B23" s="82">
        <v>7.87</v>
      </c>
      <c r="D23" s="82">
        <v>7.93</v>
      </c>
      <c r="E23" s="82">
        <v>8.0500000000000007</v>
      </c>
      <c r="F23" s="82">
        <v>7.64</v>
      </c>
      <c r="G23" s="82">
        <v>8.0500000000000007</v>
      </c>
      <c r="H23" s="82">
        <v>7.44</v>
      </c>
      <c r="I23" s="186">
        <v>7.43</v>
      </c>
      <c r="J23" s="526">
        <v>7.76</v>
      </c>
      <c r="K23" s="82">
        <v>8.5</v>
      </c>
      <c r="L23" s="82">
        <v>8.1199999999999992</v>
      </c>
      <c r="M23" s="82">
        <v>7.65</v>
      </c>
      <c r="N23" s="82">
        <v>8.2799999999999994</v>
      </c>
      <c r="O23" s="82">
        <v>8.08</v>
      </c>
      <c r="P23" s="82">
        <v>7.93</v>
      </c>
      <c r="Q23" s="82">
        <v>7.44</v>
      </c>
      <c r="R23" s="96">
        <f t="shared" si="3"/>
        <v>7.878000000000001</v>
      </c>
      <c r="S23" s="97">
        <f t="shared" si="4"/>
        <v>8.5</v>
      </c>
      <c r="T23" s="97">
        <f t="shared" si="5"/>
        <v>7.43</v>
      </c>
    </row>
  </sheetData>
  <mergeCells count="1">
    <mergeCell ref="A1:P1"/>
  </mergeCells>
  <phoneticPr fontId="0" type="noConversion"/>
  <pageMargins left="0.75" right="0.75" top="1" bottom="1" header="0.5" footer="0.5"/>
  <pageSetup scale="5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pageSetUpPr fitToPage="1"/>
  </sheetPr>
  <dimension ref="A1:Z24"/>
  <sheetViews>
    <sheetView zoomScale="75" zoomScaleNormal="75" workbookViewId="0">
      <selection activeCell="J27" sqref="J27"/>
    </sheetView>
  </sheetViews>
  <sheetFormatPr defaultRowHeight="13" x14ac:dyDescent="0.3"/>
  <cols>
    <col min="1" max="1" width="24.54296875" style="1" bestFit="1" customWidth="1"/>
    <col min="2" max="2" width="12" bestFit="1" customWidth="1"/>
    <col min="3" max="3" width="12.08984375" bestFit="1" customWidth="1"/>
    <col min="4" max="5" width="12.36328125" bestFit="1" customWidth="1"/>
    <col min="6" max="6" width="12.54296875" bestFit="1" customWidth="1"/>
    <col min="7" max="7" width="12.08984375" bestFit="1" customWidth="1"/>
    <col min="8" max="8" width="12.36328125" bestFit="1" customWidth="1"/>
    <col min="9" max="9" width="12" bestFit="1" customWidth="1"/>
    <col min="10" max="10" width="11.54296875" bestFit="1" customWidth="1"/>
    <col min="11" max="11" width="12.36328125" bestFit="1" customWidth="1"/>
    <col min="12" max="12" width="11" bestFit="1" customWidth="1"/>
    <col min="13" max="13" width="12.36328125" bestFit="1" customWidth="1"/>
    <col min="14" max="14" width="8.90625" bestFit="1" customWidth="1"/>
    <col min="15" max="15" width="12" bestFit="1" customWidth="1"/>
    <col min="16" max="16" width="12.08984375" bestFit="1" customWidth="1"/>
    <col min="17" max="17" width="12" bestFit="1" customWidth="1"/>
    <col min="18" max="18" width="10.90625" customWidth="1"/>
    <col min="19" max="20" width="10.90625" bestFit="1" customWidth="1"/>
    <col min="21" max="21" width="11.08984375" bestFit="1" customWidth="1"/>
    <col min="22" max="22" width="11.36328125" customWidth="1"/>
    <col min="23" max="23" width="12.54296875" customWidth="1"/>
    <col min="24" max="24" width="11.90625" customWidth="1"/>
    <col min="25" max="25" width="11.453125" customWidth="1"/>
    <col min="26" max="26" width="10.90625" bestFit="1" customWidth="1"/>
  </cols>
  <sheetData>
    <row r="1" spans="1:26" x14ac:dyDescent="0.3">
      <c r="A1" s="831" t="s">
        <v>3</v>
      </c>
      <c r="B1" s="831"/>
      <c r="C1" s="831"/>
      <c r="D1" s="831"/>
      <c r="E1" s="831"/>
      <c r="F1" s="831"/>
      <c r="G1" s="831"/>
      <c r="H1" s="831"/>
      <c r="I1" s="831"/>
      <c r="J1" s="831"/>
      <c r="K1" s="831"/>
      <c r="L1" s="831"/>
      <c r="M1" s="831"/>
      <c r="N1" s="831"/>
      <c r="O1" s="831"/>
      <c r="P1" s="831"/>
      <c r="Q1" s="831"/>
    </row>
    <row r="2" spans="1:26" x14ac:dyDescent="0.3">
      <c r="A2" s="831" t="s">
        <v>6</v>
      </c>
      <c r="B2" s="831"/>
      <c r="C2" s="831"/>
      <c r="D2" s="831"/>
      <c r="E2" s="831"/>
      <c r="F2" s="831"/>
      <c r="G2" s="831"/>
      <c r="H2" s="831"/>
      <c r="I2" s="831"/>
      <c r="J2" s="831"/>
      <c r="K2" s="831"/>
      <c r="L2" s="831"/>
      <c r="M2" s="831"/>
      <c r="N2" s="831"/>
      <c r="O2" s="831"/>
      <c r="P2" s="831"/>
      <c r="Q2" s="831"/>
    </row>
    <row r="5" spans="1:26" s="7" customFormat="1" ht="26" x14ac:dyDescent="0.3">
      <c r="A5" s="117" t="s">
        <v>2</v>
      </c>
      <c r="B5" s="337">
        <v>40567</v>
      </c>
      <c r="C5" s="337">
        <v>40595</v>
      </c>
      <c r="D5" s="337">
        <v>40627</v>
      </c>
      <c r="E5" s="337">
        <v>40658</v>
      </c>
      <c r="F5" s="337">
        <v>40686</v>
      </c>
      <c r="G5" s="337">
        <v>40721</v>
      </c>
      <c r="H5" s="338">
        <v>40743</v>
      </c>
      <c r="I5" s="338">
        <v>40749</v>
      </c>
      <c r="J5" s="338">
        <v>40763</v>
      </c>
      <c r="K5" s="337">
        <v>40777</v>
      </c>
      <c r="L5" s="337">
        <v>40798</v>
      </c>
      <c r="M5" s="339">
        <v>40812</v>
      </c>
      <c r="N5" s="339">
        <v>40833</v>
      </c>
      <c r="O5" s="339">
        <v>40840</v>
      </c>
      <c r="P5" s="339">
        <v>40875</v>
      </c>
      <c r="Q5" s="338">
        <v>40893</v>
      </c>
      <c r="R5" s="119" t="s">
        <v>103</v>
      </c>
      <c r="S5" s="116" t="s">
        <v>131</v>
      </c>
    </row>
    <row r="6" spans="1:26" ht="14" x14ac:dyDescent="0.3">
      <c r="A6" s="118" t="s">
        <v>28</v>
      </c>
      <c r="B6" s="82">
        <v>11.58</v>
      </c>
      <c r="C6" s="82">
        <v>11.38</v>
      </c>
      <c r="D6" s="82">
        <v>11.99</v>
      </c>
      <c r="E6" s="82">
        <v>12.07</v>
      </c>
      <c r="F6" s="82">
        <v>9.57</v>
      </c>
      <c r="G6" s="82">
        <v>8.31</v>
      </c>
      <c r="H6" s="82">
        <v>7.66</v>
      </c>
      <c r="I6" s="82">
        <v>8.27</v>
      </c>
      <c r="J6" s="540">
        <v>9.17</v>
      </c>
      <c r="K6" s="82">
        <v>7.97</v>
      </c>
      <c r="L6" s="82">
        <v>9.5500000000000007</v>
      </c>
      <c r="M6" s="82">
        <v>9.26</v>
      </c>
      <c r="N6" s="82"/>
      <c r="O6" s="82">
        <v>9.48</v>
      </c>
      <c r="P6" s="82">
        <v>11.02</v>
      </c>
      <c r="Q6" s="82">
        <v>11.78</v>
      </c>
      <c r="R6" s="226">
        <f>AVERAGE(C6:Q6)</f>
        <v>9.8199999999999985</v>
      </c>
      <c r="S6" s="227">
        <f>MIN(C6:Q6)</f>
        <v>7.66</v>
      </c>
      <c r="T6" s="6"/>
      <c r="U6" s="6"/>
      <c r="V6" s="6"/>
      <c r="W6" s="6"/>
      <c r="X6" s="6"/>
      <c r="Y6" s="6"/>
      <c r="Z6" s="6"/>
    </row>
    <row r="7" spans="1:26" ht="14" x14ac:dyDescent="0.3">
      <c r="A7" s="118" t="s">
        <v>29</v>
      </c>
      <c r="B7" s="82">
        <v>12.31</v>
      </c>
      <c r="C7" s="82">
        <v>11.47</v>
      </c>
      <c r="D7" s="82">
        <v>13.3</v>
      </c>
      <c r="E7" s="82">
        <v>12.2</v>
      </c>
      <c r="F7" s="82">
        <v>8.82</v>
      </c>
      <c r="G7" s="82">
        <v>8.01</v>
      </c>
      <c r="H7" s="82">
        <v>6.7</v>
      </c>
      <c r="I7" s="82">
        <v>7.84</v>
      </c>
      <c r="J7" s="540">
        <v>7.99</v>
      </c>
      <c r="K7" s="82">
        <v>7.51</v>
      </c>
      <c r="L7" s="82">
        <v>8.91</v>
      </c>
      <c r="M7" s="82">
        <v>8.49</v>
      </c>
      <c r="N7" s="82"/>
      <c r="O7" s="82">
        <v>10.07</v>
      </c>
      <c r="P7" s="82">
        <v>12.96</v>
      </c>
      <c r="Q7" s="82">
        <v>11.95</v>
      </c>
      <c r="R7" s="226">
        <f>AVERAGE(D7:Q7)</f>
        <v>9.5961538461538467</v>
      </c>
      <c r="S7" s="227">
        <f>MIN(D7:Q7)</f>
        <v>6.7</v>
      </c>
      <c r="T7" s="6"/>
      <c r="U7" s="6"/>
      <c r="V7" s="6"/>
      <c r="W7" s="6"/>
      <c r="X7" s="6"/>
      <c r="Y7" s="6"/>
      <c r="Z7" s="6"/>
    </row>
    <row r="8" spans="1:26" ht="14" x14ac:dyDescent="0.3">
      <c r="A8" s="118" t="s">
        <v>146</v>
      </c>
      <c r="B8" s="82">
        <v>11.1</v>
      </c>
      <c r="C8" s="82">
        <v>9.8699999999999992</v>
      </c>
      <c r="D8" s="82">
        <v>9.1199999999999992</v>
      </c>
      <c r="E8" s="82">
        <v>11.44</v>
      </c>
      <c r="F8" s="82">
        <v>7.87</v>
      </c>
      <c r="G8" s="82">
        <v>5.9</v>
      </c>
      <c r="H8" s="82">
        <v>6.2</v>
      </c>
      <c r="I8" s="82">
        <v>5.92</v>
      </c>
      <c r="J8" s="528">
        <v>5.8</v>
      </c>
      <c r="K8" s="82">
        <v>5.0999999999999996</v>
      </c>
      <c r="L8" s="82">
        <v>7.55</v>
      </c>
      <c r="M8" s="82">
        <v>6.1</v>
      </c>
      <c r="N8" s="82"/>
      <c r="O8" s="82">
        <v>8.4700000000000006</v>
      </c>
      <c r="P8" s="82">
        <v>11.41</v>
      </c>
      <c r="Q8" s="82">
        <v>11.29</v>
      </c>
      <c r="R8" s="226">
        <f>AVERAGE(C8:Q8)</f>
        <v>8.0028571428571418</v>
      </c>
      <c r="S8" s="227">
        <f>MIN(C8:Q8)</f>
        <v>5.0999999999999996</v>
      </c>
      <c r="T8" s="6"/>
      <c r="U8" s="6"/>
      <c r="V8" s="6"/>
      <c r="W8" s="6"/>
      <c r="X8" s="6"/>
      <c r="Y8" s="6"/>
      <c r="Z8" s="6"/>
    </row>
    <row r="9" spans="1:26" ht="14" x14ac:dyDescent="0.3">
      <c r="A9" s="120"/>
      <c r="B9" s="223"/>
      <c r="C9" s="223"/>
      <c r="D9" s="223"/>
      <c r="E9" s="223"/>
      <c r="F9" s="223"/>
      <c r="G9" s="223"/>
      <c r="H9" s="223"/>
      <c r="I9" s="223"/>
      <c r="J9" s="223"/>
      <c r="K9" s="223"/>
      <c r="L9" s="223"/>
      <c r="M9" s="223"/>
      <c r="N9" s="223"/>
      <c r="O9" s="223"/>
      <c r="P9" s="223"/>
      <c r="Q9" s="223"/>
      <c r="R9" s="228"/>
      <c r="S9" s="229"/>
      <c r="T9" s="6"/>
      <c r="U9" s="6"/>
      <c r="V9" s="6"/>
      <c r="W9" s="6"/>
      <c r="X9" s="6"/>
    </row>
    <row r="10" spans="1:26" ht="14" x14ac:dyDescent="0.3">
      <c r="A10" s="725" t="s">
        <v>506</v>
      </c>
      <c r="B10" s="82">
        <v>11.37</v>
      </c>
      <c r="C10" s="82">
        <v>8.75</v>
      </c>
      <c r="D10" s="82">
        <v>8.36</v>
      </c>
      <c r="E10" s="82">
        <v>10.02</v>
      </c>
      <c r="F10" s="82">
        <v>8.9</v>
      </c>
      <c r="G10" s="82">
        <v>8.11</v>
      </c>
      <c r="H10" s="82">
        <v>6.03</v>
      </c>
      <c r="I10" s="82">
        <v>6.19</v>
      </c>
      <c r="J10" s="526">
        <v>6.64</v>
      </c>
      <c r="K10" s="82">
        <v>7.35</v>
      </c>
      <c r="L10" s="82">
        <v>7.46</v>
      </c>
      <c r="M10" s="82">
        <v>7.02</v>
      </c>
      <c r="N10" s="82">
        <v>9.61</v>
      </c>
      <c r="O10" s="82">
        <v>11.29</v>
      </c>
      <c r="P10" s="82">
        <v>9.64</v>
      </c>
      <c r="Q10" s="82">
        <v>11.39</v>
      </c>
      <c r="R10" s="226">
        <f t="shared" ref="R10:R19" si="0">AVERAGE(C10:Q10)</f>
        <v>8.4506666666666668</v>
      </c>
      <c r="S10" s="227">
        <f t="shared" ref="S10:S19" si="1">MIN(C10:Q10)</f>
        <v>6.03</v>
      </c>
      <c r="T10" s="6"/>
      <c r="U10" s="6"/>
      <c r="V10" s="6"/>
      <c r="W10" s="6"/>
      <c r="X10" s="6"/>
      <c r="Y10" s="6"/>
    </row>
    <row r="11" spans="1:26" ht="14" x14ac:dyDescent="0.3">
      <c r="A11" s="725" t="s">
        <v>175</v>
      </c>
      <c r="B11" s="82">
        <v>11.85</v>
      </c>
      <c r="C11" s="82">
        <v>8.9</v>
      </c>
      <c r="D11" s="82">
        <v>8.2899999999999991</v>
      </c>
      <c r="E11" s="82">
        <v>10.14</v>
      </c>
      <c r="F11" s="82">
        <v>8.6999999999999993</v>
      </c>
      <c r="G11" s="82">
        <v>8.2899999999999991</v>
      </c>
      <c r="H11" s="82">
        <v>6.03</v>
      </c>
      <c r="I11" s="82">
        <v>6.22</v>
      </c>
      <c r="J11" s="526">
        <v>6.47</v>
      </c>
      <c r="K11" s="82">
        <v>7.49</v>
      </c>
      <c r="L11" s="82">
        <v>7.22</v>
      </c>
      <c r="M11" s="82">
        <v>6.96</v>
      </c>
      <c r="N11" s="82">
        <v>9.4499999999999993</v>
      </c>
      <c r="O11" s="82">
        <v>11.66</v>
      </c>
      <c r="P11" s="82">
        <v>9.49</v>
      </c>
      <c r="Q11" s="82">
        <v>11.48</v>
      </c>
      <c r="R11" s="226">
        <f t="shared" si="0"/>
        <v>8.4526666666666657</v>
      </c>
      <c r="S11" s="227">
        <f t="shared" si="1"/>
        <v>6.03</v>
      </c>
      <c r="T11" s="6"/>
      <c r="U11" s="6"/>
      <c r="V11" s="6"/>
      <c r="W11" s="6"/>
      <c r="X11" s="6"/>
      <c r="Y11" s="6"/>
    </row>
    <row r="12" spans="1:26" ht="14" x14ac:dyDescent="0.3">
      <c r="A12" s="725" t="s">
        <v>507</v>
      </c>
      <c r="B12" s="82">
        <v>12.1</v>
      </c>
      <c r="C12" s="82">
        <v>9.01</v>
      </c>
      <c r="D12" s="82">
        <v>9.2899999999999991</v>
      </c>
      <c r="E12" s="82">
        <v>10.3</v>
      </c>
      <c r="F12" s="82">
        <v>8.5500000000000007</v>
      </c>
      <c r="G12" s="82">
        <v>7.72</v>
      </c>
      <c r="H12" s="82">
        <v>5.84</v>
      </c>
      <c r="I12" s="82">
        <v>5.99</v>
      </c>
      <c r="J12" s="526">
        <v>6.52</v>
      </c>
      <c r="K12" s="82">
        <v>7.51</v>
      </c>
      <c r="L12" s="82">
        <v>7.16</v>
      </c>
      <c r="M12" s="82">
        <v>6.81</v>
      </c>
      <c r="N12" s="82">
        <v>9.0500000000000007</v>
      </c>
      <c r="O12" s="82">
        <v>11.09</v>
      </c>
      <c r="P12" s="82">
        <v>9.26</v>
      </c>
      <c r="Q12" s="82">
        <v>11.07</v>
      </c>
      <c r="R12" s="226">
        <f t="shared" si="0"/>
        <v>8.3446666666666669</v>
      </c>
      <c r="S12" s="227">
        <f t="shared" si="1"/>
        <v>5.84</v>
      </c>
      <c r="T12" s="6"/>
      <c r="U12" s="6"/>
      <c r="V12" s="6"/>
      <c r="W12" s="6"/>
      <c r="X12" s="6"/>
      <c r="Y12" s="6"/>
    </row>
    <row r="13" spans="1:26" ht="14" x14ac:dyDescent="0.3">
      <c r="A13" s="725" t="s">
        <v>176</v>
      </c>
      <c r="B13" s="82">
        <v>12.1</v>
      </c>
      <c r="C13" s="82">
        <v>9.07</v>
      </c>
      <c r="D13" s="82">
        <v>9.42</v>
      </c>
      <c r="E13" s="82">
        <v>10.24</v>
      </c>
      <c r="F13" s="82">
        <v>8.92</v>
      </c>
      <c r="G13" s="82">
        <v>8.06</v>
      </c>
      <c r="H13" s="82">
        <v>5.51</v>
      </c>
      <c r="I13" s="82">
        <v>5.77</v>
      </c>
      <c r="J13" s="526">
        <v>6.34</v>
      </c>
      <c r="K13" s="82">
        <v>7.47</v>
      </c>
      <c r="L13" s="82">
        <v>7.1</v>
      </c>
      <c r="M13" s="82">
        <v>6.79</v>
      </c>
      <c r="N13" s="82">
        <v>9.1199999999999992</v>
      </c>
      <c r="O13" s="82">
        <v>10.91</v>
      </c>
      <c r="P13" s="82">
        <v>9.18</v>
      </c>
      <c r="Q13" s="82">
        <v>11.58</v>
      </c>
      <c r="R13" s="226">
        <f t="shared" si="0"/>
        <v>8.365333333333334</v>
      </c>
      <c r="S13" s="227">
        <f t="shared" si="1"/>
        <v>5.51</v>
      </c>
      <c r="T13" s="6"/>
      <c r="U13" s="6"/>
      <c r="V13" s="6"/>
      <c r="W13" s="6"/>
      <c r="X13" s="6"/>
      <c r="Y13" s="6"/>
    </row>
    <row r="14" spans="1:26" ht="14" x14ac:dyDescent="0.3">
      <c r="A14" s="725" t="s">
        <v>508</v>
      </c>
      <c r="B14" s="82">
        <v>11.73</v>
      </c>
      <c r="C14" s="82">
        <v>9.16</v>
      </c>
      <c r="D14" s="82">
        <v>9.4600000000000009</v>
      </c>
      <c r="E14" s="82">
        <v>10.26</v>
      </c>
      <c r="F14" s="82">
        <v>8.4700000000000006</v>
      </c>
      <c r="G14" s="82">
        <v>8.01</v>
      </c>
      <c r="H14" s="82">
        <v>5.44</v>
      </c>
      <c r="I14" s="82">
        <v>5.92</v>
      </c>
      <c r="J14" s="526">
        <v>6.39</v>
      </c>
      <c r="K14" s="82">
        <v>7.13</v>
      </c>
      <c r="L14" s="82">
        <v>7</v>
      </c>
      <c r="M14" s="82">
        <v>6.8</v>
      </c>
      <c r="N14" s="82">
        <v>9.2899999999999991</v>
      </c>
      <c r="O14" s="82">
        <v>11.02</v>
      </c>
      <c r="P14" s="82">
        <v>9.3000000000000007</v>
      </c>
      <c r="Q14" s="82">
        <v>11.99</v>
      </c>
      <c r="R14" s="226">
        <f t="shared" si="0"/>
        <v>8.3759999999999977</v>
      </c>
      <c r="S14" s="227">
        <f t="shared" si="1"/>
        <v>5.44</v>
      </c>
      <c r="T14" s="6"/>
      <c r="U14" s="6"/>
      <c r="V14" s="6"/>
      <c r="W14" s="6"/>
      <c r="X14" s="6"/>
      <c r="Y14" s="6"/>
    </row>
    <row r="15" spans="1:26" ht="14" x14ac:dyDescent="0.3">
      <c r="A15" s="725" t="s">
        <v>177</v>
      </c>
      <c r="B15" s="82">
        <v>10.4</v>
      </c>
      <c r="C15" s="82">
        <v>8.85</v>
      </c>
      <c r="D15" s="82">
        <v>9.59</v>
      </c>
      <c r="E15" s="82">
        <v>10.26</v>
      </c>
      <c r="F15" s="82">
        <v>8.4</v>
      </c>
      <c r="G15" s="82">
        <v>7.8</v>
      </c>
      <c r="H15" s="82">
        <v>5.18</v>
      </c>
      <c r="I15" s="82">
        <v>5.61</v>
      </c>
      <c r="J15" s="526">
        <v>6.35</v>
      </c>
      <c r="K15" s="82">
        <v>7.24</v>
      </c>
      <c r="L15" s="82">
        <v>6.94</v>
      </c>
      <c r="M15" s="82">
        <v>6.78</v>
      </c>
      <c r="N15" s="82">
        <v>9.16</v>
      </c>
      <c r="O15" s="82">
        <v>10.91</v>
      </c>
      <c r="P15" s="82">
        <v>9.24</v>
      </c>
      <c r="Q15" s="82">
        <v>11.78</v>
      </c>
      <c r="R15" s="226">
        <f t="shared" si="0"/>
        <v>8.2726666666666642</v>
      </c>
      <c r="S15" s="227">
        <f t="shared" si="1"/>
        <v>5.18</v>
      </c>
      <c r="T15" s="6"/>
      <c r="U15" s="6"/>
      <c r="V15" s="6"/>
      <c r="W15" s="6"/>
      <c r="X15" s="6"/>
      <c r="Y15" s="6"/>
    </row>
    <row r="16" spans="1:26" ht="14" x14ac:dyDescent="0.3">
      <c r="A16" s="725" t="s">
        <v>509</v>
      </c>
      <c r="B16" s="82">
        <v>9.9</v>
      </c>
      <c r="C16" s="82">
        <v>8.33</v>
      </c>
      <c r="D16" s="82">
        <v>9.6999999999999993</v>
      </c>
      <c r="E16" s="82">
        <v>10.220000000000001</v>
      </c>
      <c r="F16" s="82">
        <v>8.2100000000000009</v>
      </c>
      <c r="G16" s="82">
        <v>7.82</v>
      </c>
      <c r="H16" s="82">
        <v>5.52</v>
      </c>
      <c r="I16" s="82">
        <v>5.57</v>
      </c>
      <c r="J16" s="526">
        <v>6.32</v>
      </c>
      <c r="K16" s="82">
        <v>7.21</v>
      </c>
      <c r="L16" s="82">
        <v>7.04</v>
      </c>
      <c r="M16" s="82">
        <v>6.91</v>
      </c>
      <c r="N16" s="82">
        <v>8.51</v>
      </c>
      <c r="O16" s="82">
        <v>10.86</v>
      </c>
      <c r="P16" s="82">
        <v>9.25</v>
      </c>
      <c r="Q16" s="82">
        <v>11.53</v>
      </c>
      <c r="R16" s="226">
        <f t="shared" si="0"/>
        <v>8.1999999999999993</v>
      </c>
      <c r="S16" s="227">
        <f t="shared" si="1"/>
        <v>5.52</v>
      </c>
      <c r="T16" s="6"/>
      <c r="U16" s="6"/>
      <c r="V16" s="6"/>
      <c r="W16" s="6"/>
      <c r="X16" s="6"/>
      <c r="Y16" s="6"/>
    </row>
    <row r="17" spans="1:25" ht="14" x14ac:dyDescent="0.3">
      <c r="A17" s="725" t="s">
        <v>178</v>
      </c>
      <c r="B17" s="82">
        <v>9.1</v>
      </c>
      <c r="C17" s="82">
        <v>6.5</v>
      </c>
      <c r="D17" s="82">
        <v>9.9</v>
      </c>
      <c r="E17" s="82">
        <v>10.16</v>
      </c>
      <c r="F17" s="82">
        <v>7.45</v>
      </c>
      <c r="G17" s="82">
        <v>7.59</v>
      </c>
      <c r="H17" s="82">
        <v>5.2</v>
      </c>
      <c r="I17" s="82">
        <v>5.63</v>
      </c>
      <c r="J17" s="526">
        <v>6.19</v>
      </c>
      <c r="K17" s="82">
        <v>7.18</v>
      </c>
      <c r="L17" s="82">
        <v>7.17</v>
      </c>
      <c r="M17" s="82">
        <v>6.84</v>
      </c>
      <c r="N17" s="82">
        <v>8.5399999999999991</v>
      </c>
      <c r="O17" s="82">
        <v>10.65</v>
      </c>
      <c r="P17" s="82">
        <v>9.41</v>
      </c>
      <c r="Q17" s="82">
        <v>9.83</v>
      </c>
      <c r="R17" s="226">
        <f t="shared" si="0"/>
        <v>7.8826666666666663</v>
      </c>
      <c r="S17" s="227">
        <f t="shared" si="1"/>
        <v>5.2</v>
      </c>
      <c r="T17" s="6"/>
      <c r="U17" s="6"/>
      <c r="V17" s="6"/>
      <c r="W17" s="6"/>
      <c r="X17" s="6"/>
      <c r="Y17" s="6"/>
    </row>
    <row r="18" spans="1:25" ht="14" x14ac:dyDescent="0.3">
      <c r="A18" s="725" t="s">
        <v>179</v>
      </c>
      <c r="B18" s="82">
        <v>8.51</v>
      </c>
      <c r="C18" s="82">
        <v>6.5</v>
      </c>
      <c r="D18" s="82">
        <v>10.029999999999999</v>
      </c>
      <c r="E18" s="82">
        <v>10.1</v>
      </c>
      <c r="F18" s="82">
        <v>6.71</v>
      </c>
      <c r="G18" s="82">
        <v>7.28</v>
      </c>
      <c r="H18" s="82">
        <v>4.71</v>
      </c>
      <c r="I18" s="82">
        <v>5.3</v>
      </c>
      <c r="J18" s="526">
        <v>6.18</v>
      </c>
      <c r="K18" s="82">
        <v>7.17</v>
      </c>
      <c r="L18" s="82">
        <v>7.1</v>
      </c>
      <c r="M18" s="82">
        <v>7.04</v>
      </c>
      <c r="N18" s="82">
        <v>8.52</v>
      </c>
      <c r="O18" s="82">
        <v>10.02</v>
      </c>
      <c r="P18" s="82">
        <v>9.1</v>
      </c>
      <c r="Q18" s="82">
        <v>9</v>
      </c>
      <c r="R18" s="226">
        <f t="shared" si="0"/>
        <v>7.6506666666666661</v>
      </c>
      <c r="S18" s="227">
        <f t="shared" si="1"/>
        <v>4.71</v>
      </c>
      <c r="T18" s="6"/>
      <c r="U18" s="6"/>
      <c r="V18" s="6"/>
      <c r="W18" s="6"/>
      <c r="X18" s="6"/>
      <c r="Y18" s="6"/>
    </row>
    <row r="19" spans="1:25" ht="14" x14ac:dyDescent="0.3">
      <c r="A19" s="725" t="s">
        <v>180</v>
      </c>
      <c r="B19" s="312">
        <v>8.2200000000000006</v>
      </c>
      <c r="C19" s="312">
        <v>5.7</v>
      </c>
      <c r="D19" s="312">
        <v>10.07</v>
      </c>
      <c r="E19" s="312">
        <v>10.130000000000001</v>
      </c>
      <c r="F19" s="312">
        <v>6.27</v>
      </c>
      <c r="G19" s="312">
        <v>7.15</v>
      </c>
      <c r="H19" s="312">
        <v>4.7</v>
      </c>
      <c r="I19" s="312">
        <v>4.8499999999999996</v>
      </c>
      <c r="J19" s="526">
        <v>6.02</v>
      </c>
      <c r="K19" s="312">
        <v>6.95</v>
      </c>
      <c r="L19" s="312">
        <v>7.14</v>
      </c>
      <c r="M19" s="312">
        <v>6.73</v>
      </c>
      <c r="N19" s="312">
        <v>8.33</v>
      </c>
      <c r="O19" s="312">
        <v>8.1999999999999993</v>
      </c>
      <c r="P19" s="312">
        <v>9.26</v>
      </c>
      <c r="Q19" s="312">
        <v>7.9</v>
      </c>
      <c r="R19" s="226">
        <f t="shared" si="0"/>
        <v>7.2933333333333348</v>
      </c>
      <c r="S19" s="227">
        <f t="shared" si="1"/>
        <v>4.7</v>
      </c>
      <c r="T19" s="6"/>
      <c r="U19" s="6"/>
      <c r="V19" s="6"/>
      <c r="W19" s="6"/>
      <c r="X19" s="6"/>
      <c r="Y19" s="6"/>
    </row>
    <row r="20" spans="1:25" ht="14" x14ac:dyDescent="0.3">
      <c r="A20" s="725" t="s">
        <v>181</v>
      </c>
      <c r="B20" s="312">
        <v>7.4</v>
      </c>
      <c r="C20" s="312">
        <v>6.13</v>
      </c>
      <c r="D20" s="312">
        <v>10.1</v>
      </c>
      <c r="E20" s="312">
        <v>10.17</v>
      </c>
      <c r="F20" s="312">
        <v>6.02</v>
      </c>
      <c r="G20" s="312">
        <v>7.07</v>
      </c>
      <c r="H20" s="312">
        <v>4.33</v>
      </c>
      <c r="I20" s="312">
        <v>4.5199999999999996</v>
      </c>
      <c r="J20" s="526">
        <v>5.34</v>
      </c>
      <c r="K20" s="312">
        <v>6.96</v>
      </c>
      <c r="L20" s="312">
        <v>7.1</v>
      </c>
      <c r="M20" s="312">
        <v>6.47</v>
      </c>
      <c r="N20" s="312">
        <v>8.6</v>
      </c>
      <c r="O20" s="312">
        <v>7.9</v>
      </c>
      <c r="P20" s="312">
        <v>9.1199999999999992</v>
      </c>
      <c r="Q20" s="312">
        <v>8.2100000000000009</v>
      </c>
      <c r="R20" s="226">
        <f>AVERAGE(B20:Q20)</f>
        <v>7.2149999999999999</v>
      </c>
      <c r="S20" s="227">
        <f>MIN(B20:Q20)</f>
        <v>4.33</v>
      </c>
      <c r="T20" s="6"/>
      <c r="U20" s="6"/>
      <c r="V20" s="6"/>
      <c r="W20" s="6"/>
      <c r="X20" s="6"/>
      <c r="Y20" s="6"/>
    </row>
    <row r="21" spans="1:25" ht="14" x14ac:dyDescent="0.3">
      <c r="A21" s="725" t="s">
        <v>182</v>
      </c>
      <c r="B21" s="312">
        <v>6.62</v>
      </c>
      <c r="C21" s="312">
        <v>6.25</v>
      </c>
      <c r="D21" s="312">
        <v>10.17</v>
      </c>
      <c r="E21" s="312">
        <v>9.76</v>
      </c>
      <c r="F21" s="312">
        <v>5.59</v>
      </c>
      <c r="G21" s="312">
        <v>6.54</v>
      </c>
      <c r="H21" s="312">
        <v>4.04</v>
      </c>
      <c r="I21" s="312">
        <v>4.01</v>
      </c>
      <c r="J21" s="526">
        <v>5.38</v>
      </c>
      <c r="K21" s="312">
        <v>6.56</v>
      </c>
      <c r="L21" s="312">
        <v>6.88</v>
      </c>
      <c r="M21" s="312">
        <v>6.89</v>
      </c>
      <c r="N21" s="312">
        <v>8.76</v>
      </c>
      <c r="O21" s="312">
        <v>7.03</v>
      </c>
      <c r="P21" s="312">
        <v>9</v>
      </c>
      <c r="Q21" s="312">
        <v>7.8</v>
      </c>
      <c r="R21" s="226">
        <f t="shared" ref="R21:R24" si="2">AVERAGE(B21:Q21)</f>
        <v>6.9550000000000001</v>
      </c>
      <c r="S21" s="227">
        <f t="shared" ref="S21:S24" si="3">MIN(B21:Q21)</f>
        <v>4.01</v>
      </c>
      <c r="T21" s="6"/>
      <c r="U21" s="6"/>
      <c r="V21" s="6"/>
      <c r="W21" s="6"/>
      <c r="X21" s="6"/>
    </row>
    <row r="22" spans="1:25" ht="14" x14ac:dyDescent="0.3">
      <c r="A22" s="725" t="s">
        <v>183</v>
      </c>
      <c r="B22" s="312">
        <v>6.27</v>
      </c>
      <c r="C22" s="312">
        <v>6.4</v>
      </c>
      <c r="D22" s="312">
        <v>10.17</v>
      </c>
      <c r="E22" s="312">
        <v>9.57</v>
      </c>
      <c r="F22" s="312">
        <v>4.6100000000000003</v>
      </c>
      <c r="G22" s="312">
        <v>6.4</v>
      </c>
      <c r="H22" s="312">
        <v>3.89</v>
      </c>
      <c r="I22" s="312">
        <v>3.9</v>
      </c>
      <c r="J22" s="526">
        <v>5.04</v>
      </c>
      <c r="K22" s="312">
        <v>6.55</v>
      </c>
      <c r="L22" s="312">
        <v>6.9</v>
      </c>
      <c r="M22" s="312">
        <v>6.74</v>
      </c>
      <c r="N22" s="312">
        <v>8.36</v>
      </c>
      <c r="O22" s="312">
        <v>6.98</v>
      </c>
      <c r="P22" s="312">
        <v>8.98</v>
      </c>
      <c r="Q22" s="312">
        <v>5.8</v>
      </c>
      <c r="R22" s="226">
        <f t="shared" si="2"/>
        <v>6.6599999999999993</v>
      </c>
      <c r="S22" s="227">
        <f t="shared" si="3"/>
        <v>3.89</v>
      </c>
    </row>
    <row r="23" spans="1:25" ht="14" x14ac:dyDescent="0.3">
      <c r="A23" s="725" t="s">
        <v>206</v>
      </c>
      <c r="B23" s="312">
        <v>5.7</v>
      </c>
      <c r="C23" s="312">
        <v>4.6500000000000004</v>
      </c>
      <c r="D23" s="312">
        <v>10.15</v>
      </c>
      <c r="E23" s="312">
        <v>9.6199999999999992</v>
      </c>
      <c r="F23" s="312">
        <v>4.3499999999999996</v>
      </c>
      <c r="G23" s="312">
        <v>5.91</v>
      </c>
      <c r="H23" s="312">
        <v>3.02</v>
      </c>
      <c r="I23" s="312">
        <v>3.29</v>
      </c>
      <c r="J23" s="526">
        <v>5.67</v>
      </c>
      <c r="K23" s="312">
        <v>6.24</v>
      </c>
      <c r="L23" s="312">
        <v>6.23</v>
      </c>
      <c r="M23" s="312">
        <v>6.32</v>
      </c>
      <c r="N23" s="312">
        <v>7.41</v>
      </c>
      <c r="O23" s="312">
        <v>6.31</v>
      </c>
      <c r="P23" s="312">
        <v>8.8000000000000007</v>
      </c>
      <c r="Q23" s="312">
        <v>4.3499999999999996</v>
      </c>
      <c r="R23" s="226">
        <f t="shared" si="2"/>
        <v>6.1262499999999998</v>
      </c>
      <c r="S23" s="227">
        <f t="shared" si="3"/>
        <v>3.02</v>
      </c>
    </row>
    <row r="24" spans="1:25" ht="14" x14ac:dyDescent="0.3">
      <c r="A24" s="725" t="s">
        <v>207</v>
      </c>
      <c r="B24" s="82">
        <v>5.82</v>
      </c>
      <c r="D24" s="82">
        <v>9.3000000000000007</v>
      </c>
      <c r="E24" s="82">
        <v>9.43</v>
      </c>
      <c r="F24" s="82">
        <v>3.74</v>
      </c>
      <c r="G24" s="82">
        <v>4.8499999999999996</v>
      </c>
      <c r="H24" s="82">
        <v>0.2</v>
      </c>
      <c r="I24" s="82">
        <v>2.1</v>
      </c>
      <c r="J24" s="526">
        <v>5.41</v>
      </c>
      <c r="K24" s="82">
        <v>6.42</v>
      </c>
      <c r="L24" s="82">
        <v>6.22</v>
      </c>
      <c r="M24" s="82">
        <v>6.24</v>
      </c>
      <c r="N24" s="82">
        <v>7.74</v>
      </c>
      <c r="O24" s="82">
        <v>4.97</v>
      </c>
      <c r="P24" s="82">
        <v>8.81</v>
      </c>
      <c r="Q24" s="82">
        <v>3.69</v>
      </c>
      <c r="R24" s="226">
        <f t="shared" si="2"/>
        <v>5.6626666666666674</v>
      </c>
      <c r="S24" s="227">
        <f t="shared" si="3"/>
        <v>0.2</v>
      </c>
    </row>
  </sheetData>
  <mergeCells count="2">
    <mergeCell ref="A1:Q1"/>
    <mergeCell ref="A2:Q2"/>
  </mergeCells>
  <phoneticPr fontId="0" type="noConversion"/>
  <pageMargins left="0.75" right="0.75" top="1" bottom="1" header="0.5" footer="0.5"/>
  <pageSetup scale="56"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U59"/>
  <sheetViews>
    <sheetView zoomScale="75" zoomScaleNormal="75" workbookViewId="0">
      <selection activeCell="B17" sqref="B17:M17"/>
    </sheetView>
  </sheetViews>
  <sheetFormatPr defaultRowHeight="13" x14ac:dyDescent="0.3"/>
  <cols>
    <col min="1" max="1" width="25.36328125" style="1" bestFit="1" customWidth="1"/>
    <col min="2" max="2" width="9.36328125" bestFit="1" customWidth="1"/>
    <col min="3" max="3" width="9.453125" customWidth="1"/>
    <col min="4" max="4" width="9.36328125" bestFit="1" customWidth="1"/>
    <col min="5" max="5" width="9.08984375" bestFit="1" customWidth="1"/>
    <col min="6" max="6" width="9.6328125" bestFit="1" customWidth="1"/>
    <col min="7" max="7" width="9.36328125" bestFit="1" customWidth="1"/>
    <col min="8" max="8" width="8.08984375" bestFit="1" customWidth="1"/>
    <col min="9" max="9" width="8.54296875" bestFit="1" customWidth="1"/>
    <col min="10" max="10" width="8.36328125" bestFit="1" customWidth="1"/>
    <col min="11" max="11" width="9.6328125" bestFit="1" customWidth="1"/>
    <col min="12" max="12" width="9.36328125" bestFit="1" customWidth="1"/>
    <col min="13" max="13" width="9.6328125" bestFit="1" customWidth="1"/>
    <col min="14" max="14" width="9.36328125" bestFit="1" customWidth="1"/>
    <col min="15" max="15" width="9.08984375" bestFit="1" customWidth="1"/>
    <col min="16" max="16" width="9.36328125" bestFit="1" customWidth="1"/>
    <col min="17" max="17" width="9.6328125" bestFit="1" customWidth="1"/>
    <col min="18" max="18" width="6.54296875" bestFit="1" customWidth="1"/>
    <col min="19" max="19" width="12.54296875" customWidth="1"/>
    <col min="20" max="20" width="13.08984375" customWidth="1"/>
    <col min="21" max="21" width="14" customWidth="1"/>
    <col min="22" max="22" width="9.90625" bestFit="1" customWidth="1"/>
    <col min="23" max="23" width="10.36328125" bestFit="1" customWidth="1"/>
    <col min="24" max="24" width="10.90625" bestFit="1" customWidth="1"/>
    <col min="25" max="25" width="11.08984375" bestFit="1" customWidth="1"/>
    <col min="26" max="26" width="10.453125" customWidth="1"/>
    <col min="27" max="27" width="10.90625" customWidth="1"/>
    <col min="28" max="29" width="11.36328125" customWidth="1"/>
    <col min="30" max="30" width="10.90625" bestFit="1" customWidth="1"/>
  </cols>
  <sheetData>
    <row r="1" spans="1:21" ht="15.5" x14ac:dyDescent="0.35">
      <c r="A1" s="829" t="s">
        <v>3</v>
      </c>
      <c r="B1" s="829"/>
      <c r="C1" s="829"/>
      <c r="D1" s="829"/>
      <c r="E1" s="829"/>
      <c r="F1" s="829"/>
      <c r="G1" s="829"/>
      <c r="H1" s="829"/>
      <c r="I1" s="829"/>
      <c r="J1" s="829"/>
      <c r="K1" s="829"/>
      <c r="L1" s="829"/>
      <c r="M1" s="829"/>
      <c r="N1" s="829"/>
      <c r="O1" s="829"/>
      <c r="P1" s="829"/>
    </row>
    <row r="2" spans="1:21" ht="15.5" x14ac:dyDescent="0.35">
      <c r="A2" s="829" t="s">
        <v>231</v>
      </c>
      <c r="B2" s="829"/>
      <c r="C2" s="829"/>
      <c r="D2" s="829"/>
      <c r="E2" s="829"/>
      <c r="F2" s="829"/>
      <c r="G2" s="829"/>
      <c r="H2" s="829"/>
      <c r="I2" s="829"/>
      <c r="J2" s="829"/>
      <c r="K2" s="829"/>
      <c r="L2" s="829"/>
      <c r="M2" s="829"/>
      <c r="N2" s="829"/>
      <c r="O2" s="829"/>
      <c r="P2" s="829"/>
    </row>
    <row r="4" spans="1:21" s="7" customFormat="1" ht="42" x14ac:dyDescent="0.3">
      <c r="A4" s="231" t="s">
        <v>2</v>
      </c>
      <c r="B4" s="337">
        <v>40567</v>
      </c>
      <c r="C4" s="337">
        <v>40595</v>
      </c>
      <c r="D4" s="337">
        <v>40627</v>
      </c>
      <c r="E4" s="337">
        <v>40658</v>
      </c>
      <c r="F4" s="337">
        <v>40686</v>
      </c>
      <c r="G4" s="337">
        <v>40721</v>
      </c>
      <c r="H4" s="338">
        <v>40743</v>
      </c>
      <c r="I4" s="338">
        <v>40749</v>
      </c>
      <c r="J4" s="338">
        <v>40763</v>
      </c>
      <c r="K4" s="337">
        <v>40777</v>
      </c>
      <c r="L4" s="337">
        <v>40798</v>
      </c>
      <c r="M4" s="339">
        <v>40812</v>
      </c>
      <c r="N4" s="339">
        <v>40840</v>
      </c>
      <c r="O4" s="339">
        <v>40875</v>
      </c>
      <c r="P4" s="338">
        <v>40893</v>
      </c>
      <c r="Q4" s="243" t="s">
        <v>103</v>
      </c>
      <c r="R4" s="231" t="s">
        <v>92</v>
      </c>
      <c r="S4" s="244" t="s">
        <v>104</v>
      </c>
      <c r="T4" s="244" t="s">
        <v>105</v>
      </c>
      <c r="U4" s="244" t="s">
        <v>106</v>
      </c>
    </row>
    <row r="5" spans="1:21" s="3" customFormat="1" ht="14" x14ac:dyDescent="0.3">
      <c r="A5" s="240" t="s">
        <v>28</v>
      </c>
      <c r="B5" s="737">
        <v>2</v>
      </c>
      <c r="C5" s="738">
        <v>23</v>
      </c>
      <c r="D5" s="738">
        <v>15</v>
      </c>
      <c r="E5" s="738">
        <v>8</v>
      </c>
      <c r="F5" s="738">
        <v>7</v>
      </c>
      <c r="G5" s="208">
        <v>27</v>
      </c>
      <c r="H5" s="737">
        <v>30</v>
      </c>
      <c r="I5" s="737">
        <v>23</v>
      </c>
      <c r="J5" s="740">
        <v>24</v>
      </c>
      <c r="K5" s="208">
        <v>4</v>
      </c>
      <c r="L5" s="208">
        <v>6</v>
      </c>
      <c r="M5" s="738">
        <v>5</v>
      </c>
      <c r="N5" s="741">
        <v>8</v>
      </c>
      <c r="O5" s="741">
        <v>4</v>
      </c>
      <c r="P5" s="743">
        <v>2</v>
      </c>
      <c r="Q5" s="239">
        <f>AVERAGE(B5:P5)</f>
        <v>12.533333333333333</v>
      </c>
      <c r="R5" s="239">
        <f>MAX(B5:P5)</f>
        <v>30</v>
      </c>
      <c r="S5" s="239">
        <f>AVERAGE(H5:M5)</f>
        <v>15.333333333333334</v>
      </c>
      <c r="T5" s="239">
        <f>AVERAGE(B8:P9)</f>
        <v>40.766666666666666</v>
      </c>
      <c r="U5" s="239">
        <f>AVERAGE(H8:M9)</f>
        <v>55.166666666666664</v>
      </c>
    </row>
    <row r="6" spans="1:21" s="3" customFormat="1" ht="14" x14ac:dyDescent="0.3">
      <c r="A6" s="241" t="s">
        <v>29</v>
      </c>
      <c r="B6" s="182">
        <v>38</v>
      </c>
      <c r="C6" s="540">
        <v>29</v>
      </c>
      <c r="D6" s="540">
        <v>37</v>
      </c>
      <c r="E6" s="540">
        <v>31</v>
      </c>
      <c r="F6" s="540">
        <v>60</v>
      </c>
      <c r="G6" s="514">
        <v>49</v>
      </c>
      <c r="H6" s="182">
        <v>11</v>
      </c>
      <c r="I6" s="182">
        <v>34</v>
      </c>
      <c r="J6" s="204">
        <v>30</v>
      </c>
      <c r="K6" s="206">
        <v>41</v>
      </c>
      <c r="L6" s="514">
        <v>121</v>
      </c>
      <c r="M6" s="540">
        <v>29</v>
      </c>
      <c r="N6" s="208">
        <v>15</v>
      </c>
      <c r="O6" s="205">
        <v>18</v>
      </c>
      <c r="P6" s="210">
        <v>11</v>
      </c>
      <c r="Q6" s="239">
        <f>AVERAGE(B6:P6)</f>
        <v>36.93333333333333</v>
      </c>
      <c r="R6" s="239">
        <f>MAX(B6:P6)</f>
        <v>121</v>
      </c>
      <c r="S6" s="239">
        <f>AVERAGE(H6:M6)</f>
        <v>44.333333333333336</v>
      </c>
      <c r="T6" s="147"/>
      <c r="U6" s="147"/>
    </row>
    <row r="7" spans="1:21" s="3" customFormat="1" ht="14" x14ac:dyDescent="0.3">
      <c r="A7" s="242" t="s">
        <v>97</v>
      </c>
      <c r="B7" s="182">
        <v>32</v>
      </c>
      <c r="C7" s="540">
        <v>24</v>
      </c>
      <c r="D7" s="540">
        <v>20</v>
      </c>
      <c r="E7" s="540">
        <v>23</v>
      </c>
      <c r="F7" s="540">
        <v>30</v>
      </c>
      <c r="G7" s="514">
        <v>89</v>
      </c>
      <c r="H7" s="182">
        <v>28</v>
      </c>
      <c r="I7" s="182">
        <v>42</v>
      </c>
      <c r="J7" s="204">
        <v>48</v>
      </c>
      <c r="K7" s="208">
        <v>52</v>
      </c>
      <c r="L7" s="514">
        <v>61</v>
      </c>
      <c r="M7" s="540">
        <v>62</v>
      </c>
      <c r="N7" s="514">
        <v>24</v>
      </c>
      <c r="O7" s="514">
        <v>45</v>
      </c>
      <c r="P7" s="210">
        <v>12</v>
      </c>
      <c r="Q7" s="239">
        <f>AVERAGE(B7:P7)</f>
        <v>39.466666666666669</v>
      </c>
      <c r="R7" s="239">
        <f>MAX(B7:P7)</f>
        <v>89</v>
      </c>
      <c r="S7" s="239">
        <f>AVERAGE(H7:M7)</f>
        <v>48.833333333333336</v>
      </c>
      <c r="T7" s="147"/>
      <c r="U7" s="147"/>
    </row>
    <row r="8" spans="1:21" s="3" customFormat="1" ht="14" x14ac:dyDescent="0.3">
      <c r="A8" s="242" t="s">
        <v>95</v>
      </c>
      <c r="B8" s="182">
        <v>23</v>
      </c>
      <c r="C8" s="540">
        <v>16</v>
      </c>
      <c r="D8" s="540">
        <v>19</v>
      </c>
      <c r="E8" s="540">
        <v>26</v>
      </c>
      <c r="F8" s="540">
        <v>5</v>
      </c>
      <c r="G8" s="514">
        <v>25</v>
      </c>
      <c r="H8" s="182">
        <v>41</v>
      </c>
      <c r="I8" s="182">
        <v>45</v>
      </c>
      <c r="J8" s="204">
        <v>42</v>
      </c>
      <c r="K8" s="208">
        <v>48</v>
      </c>
      <c r="L8" s="514">
        <v>80</v>
      </c>
      <c r="M8" s="540">
        <v>67</v>
      </c>
      <c r="N8" s="205">
        <v>35</v>
      </c>
      <c r="O8" s="205">
        <v>22</v>
      </c>
      <c r="P8" s="210">
        <v>11</v>
      </c>
      <c r="Q8" s="239">
        <f>AVERAGE(B8:P8)</f>
        <v>33.666666666666664</v>
      </c>
      <c r="R8" s="239">
        <f>MAX(B8:P8)</f>
        <v>80</v>
      </c>
      <c r="S8" s="239">
        <f>AVERAGE(H8:M8)</f>
        <v>53.833333333333336</v>
      </c>
      <c r="T8" s="147"/>
      <c r="U8" s="147"/>
    </row>
    <row r="9" spans="1:21" s="3" customFormat="1" ht="14" x14ac:dyDescent="0.3">
      <c r="A9" s="242" t="s">
        <v>96</v>
      </c>
      <c r="B9" s="737">
        <v>21</v>
      </c>
      <c r="C9" s="738">
        <v>102</v>
      </c>
      <c r="D9" s="738">
        <v>21</v>
      </c>
      <c r="E9" s="738">
        <v>25</v>
      </c>
      <c r="F9" s="738">
        <v>36</v>
      </c>
      <c r="G9" s="739">
        <v>43</v>
      </c>
      <c r="H9" s="737">
        <v>63</v>
      </c>
      <c r="I9" s="737">
        <v>69</v>
      </c>
      <c r="J9" s="740">
        <v>23</v>
      </c>
      <c r="K9" s="208">
        <v>67</v>
      </c>
      <c r="L9" s="208">
        <v>61</v>
      </c>
      <c r="M9" s="738">
        <v>56</v>
      </c>
      <c r="N9" s="741">
        <v>89</v>
      </c>
      <c r="O9" s="741">
        <v>23</v>
      </c>
      <c r="P9" s="742">
        <v>19</v>
      </c>
      <c r="Q9" s="239">
        <f>AVERAGE(B9:P9)</f>
        <v>47.866666666666667</v>
      </c>
      <c r="R9" s="239">
        <f>MAX(B9:P9)</f>
        <v>102</v>
      </c>
      <c r="S9" s="239">
        <f>AVERAGE(H9:M9)</f>
        <v>56.5</v>
      </c>
      <c r="T9" s="147"/>
      <c r="U9" s="147"/>
    </row>
    <row r="11" spans="1:21" x14ac:dyDescent="0.3">
      <c r="A11" s="1" t="s">
        <v>10</v>
      </c>
      <c r="B11" s="838"/>
      <c r="C11" s="838"/>
      <c r="D11" s="838"/>
      <c r="E11" s="838"/>
      <c r="F11" s="838"/>
    </row>
    <row r="12" spans="1:21" x14ac:dyDescent="0.3">
      <c r="B12" s="838"/>
      <c r="C12" s="838"/>
      <c r="D12" s="838"/>
      <c r="E12" s="838"/>
      <c r="F12" s="838"/>
    </row>
    <row r="13" spans="1:21" x14ac:dyDescent="0.3">
      <c r="A13" s="839" t="s">
        <v>76</v>
      </c>
      <c r="B13" s="839"/>
      <c r="C13" s="839"/>
      <c r="D13" s="839"/>
      <c r="E13" s="839"/>
      <c r="F13" s="839"/>
      <c r="G13" s="839"/>
      <c r="H13" s="839"/>
      <c r="I13" s="839"/>
      <c r="J13" s="839"/>
      <c r="K13" s="839"/>
      <c r="L13" s="839"/>
      <c r="M13" s="839"/>
    </row>
    <row r="14" spans="1:21" x14ac:dyDescent="0.3">
      <c r="A14" s="220"/>
      <c r="B14" s="220" t="s">
        <v>78</v>
      </c>
      <c r="C14" s="220" t="s">
        <v>79</v>
      </c>
      <c r="D14" s="220" t="s">
        <v>80</v>
      </c>
      <c r="E14" s="220" t="s">
        <v>81</v>
      </c>
      <c r="F14" s="220" t="s">
        <v>82</v>
      </c>
      <c r="G14" s="220" t="s">
        <v>83</v>
      </c>
      <c r="H14" s="220" t="s">
        <v>84</v>
      </c>
      <c r="I14" s="220" t="s">
        <v>85</v>
      </c>
      <c r="J14" s="220" t="s">
        <v>86</v>
      </c>
      <c r="K14" s="220" t="s">
        <v>87</v>
      </c>
      <c r="L14" s="220" t="s">
        <v>88</v>
      </c>
      <c r="M14" s="220" t="s">
        <v>89</v>
      </c>
    </row>
    <row r="15" spans="1:21" ht="14" x14ac:dyDescent="0.3">
      <c r="A15" s="247" t="s">
        <v>28</v>
      </c>
      <c r="B15" s="93">
        <f t="shared" ref="B15:G15" si="0">B5</f>
        <v>2</v>
      </c>
      <c r="C15" s="93">
        <f t="shared" si="0"/>
        <v>23</v>
      </c>
      <c r="D15" s="93">
        <f t="shared" si="0"/>
        <v>15</v>
      </c>
      <c r="E15" s="93">
        <f t="shared" si="0"/>
        <v>8</v>
      </c>
      <c r="F15" s="93">
        <f t="shared" si="0"/>
        <v>7</v>
      </c>
      <c r="G15" s="93">
        <f t="shared" si="0"/>
        <v>27</v>
      </c>
      <c r="H15" s="93">
        <f>AVERAGE(H5:I5)</f>
        <v>26.5</v>
      </c>
      <c r="I15" s="93">
        <f>AVERAGE(J5:K5)</f>
        <v>14</v>
      </c>
      <c r="J15" s="93">
        <f>AVERAGE(L5:M5)</f>
        <v>5.5</v>
      </c>
      <c r="K15" s="93">
        <f>N5</f>
        <v>8</v>
      </c>
      <c r="L15" s="93">
        <f t="shared" ref="L15:M19" si="1">O5</f>
        <v>4</v>
      </c>
      <c r="M15" s="93">
        <f t="shared" si="1"/>
        <v>2</v>
      </c>
    </row>
    <row r="16" spans="1:21" ht="14" x14ac:dyDescent="0.3">
      <c r="A16" s="248" t="s">
        <v>29</v>
      </c>
      <c r="B16" s="93">
        <f t="shared" ref="B16:G19" si="2">B6</f>
        <v>38</v>
      </c>
      <c r="C16" s="93">
        <f t="shared" si="2"/>
        <v>29</v>
      </c>
      <c r="D16" s="93">
        <f t="shared" si="2"/>
        <v>37</v>
      </c>
      <c r="E16" s="93">
        <f t="shared" si="2"/>
        <v>31</v>
      </c>
      <c r="F16" s="93">
        <f t="shared" si="2"/>
        <v>60</v>
      </c>
      <c r="G16" s="93">
        <f t="shared" si="2"/>
        <v>49</v>
      </c>
      <c r="H16" s="93">
        <f>AVERAGE(H6:I6)</f>
        <v>22.5</v>
      </c>
      <c r="I16" s="93">
        <f>AVERAGE(J6:K6)</f>
        <v>35.5</v>
      </c>
      <c r="J16" s="93">
        <f>AVERAGE(L6:M6)</f>
        <v>75</v>
      </c>
      <c r="K16" s="93">
        <f>N6</f>
        <v>15</v>
      </c>
      <c r="L16" s="93">
        <f t="shared" si="1"/>
        <v>18</v>
      </c>
      <c r="M16" s="93">
        <f t="shared" si="1"/>
        <v>11</v>
      </c>
    </row>
    <row r="17" spans="1:13" ht="14" x14ac:dyDescent="0.3">
      <c r="A17" s="249" t="s">
        <v>97</v>
      </c>
      <c r="B17" s="93">
        <f t="shared" si="2"/>
        <v>32</v>
      </c>
      <c r="C17" s="93">
        <f t="shared" si="2"/>
        <v>24</v>
      </c>
      <c r="D17" s="93">
        <f t="shared" si="2"/>
        <v>20</v>
      </c>
      <c r="E17" s="93">
        <f t="shared" si="2"/>
        <v>23</v>
      </c>
      <c r="F17" s="93">
        <f t="shared" si="2"/>
        <v>30</v>
      </c>
      <c r="G17" s="93">
        <f t="shared" si="2"/>
        <v>89</v>
      </c>
      <c r="H17" s="93">
        <f>AVERAGE(H7:I7)</f>
        <v>35</v>
      </c>
      <c r="I17" s="93">
        <f>AVERAGE(J7:K7)</f>
        <v>50</v>
      </c>
      <c r="J17" s="93">
        <f>AVERAGE(L7:M7)</f>
        <v>61.5</v>
      </c>
      <c r="K17" s="93">
        <f>N7</f>
        <v>24</v>
      </c>
      <c r="L17" s="93">
        <f t="shared" si="1"/>
        <v>45</v>
      </c>
      <c r="M17" s="93">
        <f t="shared" si="1"/>
        <v>12</v>
      </c>
    </row>
    <row r="18" spans="1:13" ht="14" x14ac:dyDescent="0.3">
      <c r="A18" s="249" t="s">
        <v>95</v>
      </c>
      <c r="B18" s="93">
        <f t="shared" si="2"/>
        <v>23</v>
      </c>
      <c r="C18" s="93">
        <f t="shared" si="2"/>
        <v>16</v>
      </c>
      <c r="D18" s="93">
        <f t="shared" si="2"/>
        <v>19</v>
      </c>
      <c r="E18" s="93">
        <f t="shared" si="2"/>
        <v>26</v>
      </c>
      <c r="F18" s="93">
        <f t="shared" si="2"/>
        <v>5</v>
      </c>
      <c r="G18" s="93">
        <f t="shared" si="2"/>
        <v>25</v>
      </c>
      <c r="H18" s="93">
        <f>AVERAGE(H8:I8)</f>
        <v>43</v>
      </c>
      <c r="I18" s="93">
        <f>AVERAGE(J8:K8)</f>
        <v>45</v>
      </c>
      <c r="J18" s="93">
        <f>AVERAGE(L8:M8)</f>
        <v>73.5</v>
      </c>
      <c r="K18" s="93">
        <f>N8</f>
        <v>35</v>
      </c>
      <c r="L18" s="93">
        <f t="shared" si="1"/>
        <v>22</v>
      </c>
      <c r="M18" s="93">
        <f t="shared" si="1"/>
        <v>11</v>
      </c>
    </row>
    <row r="19" spans="1:13" ht="14" x14ac:dyDescent="0.3">
      <c r="A19" s="249" t="s">
        <v>96</v>
      </c>
      <c r="B19" s="93">
        <f t="shared" si="2"/>
        <v>21</v>
      </c>
      <c r="C19" s="93">
        <f t="shared" si="2"/>
        <v>102</v>
      </c>
      <c r="D19" s="93">
        <f t="shared" si="2"/>
        <v>21</v>
      </c>
      <c r="E19" s="93">
        <f t="shared" si="2"/>
        <v>25</v>
      </c>
      <c r="F19" s="93">
        <f t="shared" si="2"/>
        <v>36</v>
      </c>
      <c r="G19" s="93">
        <f t="shared" si="2"/>
        <v>43</v>
      </c>
      <c r="H19" s="93">
        <f>AVERAGE(H9:I9)</f>
        <v>66</v>
      </c>
      <c r="I19" s="93">
        <f>AVERAGE(J9:K9)</f>
        <v>45</v>
      </c>
      <c r="J19" s="93">
        <f>AVERAGE(L9:M9)</f>
        <v>58.5</v>
      </c>
      <c r="K19" s="93">
        <f>N9</f>
        <v>89</v>
      </c>
      <c r="L19" s="93">
        <f t="shared" si="1"/>
        <v>23</v>
      </c>
      <c r="M19" s="93">
        <f t="shared" si="1"/>
        <v>19</v>
      </c>
    </row>
    <row r="28" spans="1:13" x14ac:dyDescent="0.3">
      <c r="A28" s="95"/>
    </row>
    <row r="29" spans="1:13" ht="12.5" x14ac:dyDescent="0.25">
      <c r="A29"/>
    </row>
    <row r="30" spans="1:13" x14ac:dyDescent="0.3">
      <c r="B30" s="1"/>
      <c r="C30" s="1"/>
      <c r="D30" s="1"/>
      <c r="E30" s="1"/>
    </row>
    <row r="31" spans="1:13" x14ac:dyDescent="0.3">
      <c r="B31" s="1"/>
      <c r="C31" s="1"/>
      <c r="D31" s="1"/>
      <c r="E31" s="1"/>
    </row>
    <row r="32" spans="1:13" x14ac:dyDescent="0.3">
      <c r="B32" s="3"/>
      <c r="C32" s="3"/>
      <c r="D32" s="3"/>
      <c r="E32" s="3"/>
    </row>
    <row r="33" spans="1:21" x14ac:dyDescent="0.3">
      <c r="B33" s="3"/>
      <c r="C33" s="3"/>
      <c r="D33" s="3"/>
      <c r="E33" s="3"/>
    </row>
    <row r="34" spans="1:21" x14ac:dyDescent="0.3">
      <c r="B34" s="3"/>
      <c r="C34" s="3"/>
      <c r="D34" s="3"/>
      <c r="E34" s="3"/>
    </row>
    <row r="35" spans="1:21" x14ac:dyDescent="0.3">
      <c r="B35" s="3"/>
      <c r="C35" s="3"/>
      <c r="D35" s="3"/>
      <c r="E35" s="3"/>
    </row>
    <row r="36" spans="1:21" x14ac:dyDescent="0.3">
      <c r="B36" s="3"/>
      <c r="C36" s="3"/>
      <c r="D36" s="3"/>
      <c r="E36" s="3"/>
    </row>
    <row r="37" spans="1:21" x14ac:dyDescent="0.3">
      <c r="B37" s="3"/>
      <c r="C37" s="3"/>
      <c r="D37" s="3"/>
      <c r="E37" s="3"/>
    </row>
    <row r="38" spans="1:21" x14ac:dyDescent="0.3">
      <c r="B38" s="3"/>
      <c r="C38" s="3"/>
      <c r="D38" s="3"/>
      <c r="E38" s="3"/>
    </row>
    <row r="39" spans="1:21" x14ac:dyDescent="0.3">
      <c r="B39" s="3"/>
      <c r="C39" s="3"/>
      <c r="D39" s="3"/>
      <c r="E39" s="3"/>
    </row>
    <row r="45" spans="1:21" ht="15.5" x14ac:dyDescent="0.35">
      <c r="A45" s="829" t="s">
        <v>230</v>
      </c>
      <c r="B45" s="829"/>
      <c r="C45" s="829"/>
      <c r="D45" s="829"/>
      <c r="E45" s="829"/>
      <c r="F45" s="829"/>
      <c r="G45" s="829"/>
      <c r="H45" s="829"/>
      <c r="I45" s="829"/>
      <c r="J45" s="829"/>
      <c r="K45" s="829"/>
      <c r="L45" s="829"/>
      <c r="M45" s="829"/>
      <c r="N45" s="829"/>
      <c r="O45" s="829"/>
      <c r="P45" s="829"/>
      <c r="Q45" s="130"/>
      <c r="R45" s="130"/>
      <c r="S45" s="130"/>
    </row>
    <row r="46" spans="1:21" ht="42.5" x14ac:dyDescent="0.35">
      <c r="A46" s="233" t="s">
        <v>2</v>
      </c>
      <c r="B46" s="337">
        <v>40203</v>
      </c>
      <c r="C46" s="337">
        <v>40231</v>
      </c>
      <c r="D46" s="337">
        <v>40266</v>
      </c>
      <c r="E46" s="337">
        <v>40294</v>
      </c>
      <c r="F46" s="337">
        <v>40322</v>
      </c>
      <c r="G46" s="337">
        <v>40358</v>
      </c>
      <c r="H46" s="338">
        <v>40372</v>
      </c>
      <c r="I46" s="338">
        <v>40385</v>
      </c>
      <c r="J46" s="338">
        <v>40399</v>
      </c>
      <c r="K46" s="337">
        <v>40413</v>
      </c>
      <c r="L46" s="337">
        <v>40428</v>
      </c>
      <c r="M46" s="339">
        <v>40448</v>
      </c>
      <c r="N46" s="339">
        <v>40477</v>
      </c>
      <c r="O46" s="339">
        <v>40497</v>
      </c>
      <c r="P46" s="338">
        <v>40514</v>
      </c>
      <c r="Q46" s="243" t="s">
        <v>103</v>
      </c>
      <c r="R46" s="243" t="s">
        <v>92</v>
      </c>
      <c r="S46" s="243" t="s">
        <v>121</v>
      </c>
      <c r="T46" s="244" t="s">
        <v>105</v>
      </c>
      <c r="U46" s="244" t="s">
        <v>106</v>
      </c>
    </row>
    <row r="47" spans="1:21" ht="15.5" x14ac:dyDescent="0.35">
      <c r="A47" s="245" t="s">
        <v>28</v>
      </c>
      <c r="B47" s="738">
        <v>2</v>
      </c>
      <c r="C47" s="738">
        <v>10</v>
      </c>
      <c r="D47" s="738">
        <v>2</v>
      </c>
      <c r="E47" s="738">
        <v>0</v>
      </c>
      <c r="F47" s="738">
        <v>6</v>
      </c>
      <c r="G47" s="208">
        <v>19</v>
      </c>
      <c r="H47" s="737">
        <v>14</v>
      </c>
      <c r="I47" s="737">
        <v>16</v>
      </c>
      <c r="J47" s="740">
        <v>6</v>
      </c>
      <c r="K47" s="206">
        <v>5</v>
      </c>
      <c r="L47" s="208">
        <v>4</v>
      </c>
      <c r="M47" s="738">
        <v>2</v>
      </c>
      <c r="N47" s="741">
        <v>5</v>
      </c>
      <c r="O47" s="741">
        <v>5</v>
      </c>
      <c r="P47" s="743">
        <v>2</v>
      </c>
      <c r="Q47" s="745">
        <f t="shared" ref="Q47" si="3">AVERAGE(B47:P47)</f>
        <v>6.5333333333333332</v>
      </c>
      <c r="R47" s="237">
        <f>MAX(B47:P47)</f>
        <v>19</v>
      </c>
      <c r="S47" s="237">
        <f>AVERAGE(H47:M47)</f>
        <v>7.833333333333333</v>
      </c>
      <c r="T47" s="238">
        <f>AVERAGE(B50:P51)</f>
        <v>13.2</v>
      </c>
      <c r="U47" s="237">
        <f>AVERAGE(H50:M51)</f>
        <v>22.333333333333332</v>
      </c>
    </row>
    <row r="48" spans="1:21" ht="15.5" x14ac:dyDescent="0.35">
      <c r="A48" s="245" t="s">
        <v>29</v>
      </c>
      <c r="B48" s="183">
        <v>25</v>
      </c>
      <c r="C48" s="738">
        <v>26</v>
      </c>
      <c r="D48" s="738">
        <v>12</v>
      </c>
      <c r="E48" s="738">
        <v>19</v>
      </c>
      <c r="F48" s="738">
        <v>13</v>
      </c>
      <c r="G48" s="208">
        <v>24</v>
      </c>
      <c r="H48" s="737">
        <v>17</v>
      </c>
      <c r="I48" s="737">
        <v>12</v>
      </c>
      <c r="J48" s="740">
        <v>21</v>
      </c>
      <c r="K48" s="206">
        <v>31</v>
      </c>
      <c r="L48" s="208">
        <v>29</v>
      </c>
      <c r="M48" s="738">
        <v>19</v>
      </c>
      <c r="N48" s="208">
        <v>13</v>
      </c>
      <c r="O48" s="741">
        <v>12</v>
      </c>
      <c r="P48" s="743">
        <v>5</v>
      </c>
      <c r="Q48" s="237">
        <f>AVERAGE(B48:P48)</f>
        <v>18.533333333333335</v>
      </c>
      <c r="R48" s="237">
        <f>MAX(B48:P48)</f>
        <v>31</v>
      </c>
      <c r="S48" s="237">
        <f>AVERAGE(H48:M48)</f>
        <v>21.5</v>
      </c>
    </row>
    <row r="49" spans="1:19" ht="15.5" x14ac:dyDescent="0.35">
      <c r="A49" s="246" t="s">
        <v>97</v>
      </c>
      <c r="B49" s="183">
        <v>15</v>
      </c>
      <c r="C49" s="738">
        <v>8</v>
      </c>
      <c r="D49" s="738">
        <v>3</v>
      </c>
      <c r="E49" s="738">
        <v>11</v>
      </c>
      <c r="F49" s="738">
        <v>8</v>
      </c>
      <c r="G49" s="208">
        <v>8</v>
      </c>
      <c r="H49" s="737">
        <v>23</v>
      </c>
      <c r="I49" s="737">
        <v>25</v>
      </c>
      <c r="J49" s="740">
        <v>25</v>
      </c>
      <c r="K49" s="206">
        <v>17</v>
      </c>
      <c r="L49" s="208">
        <v>42</v>
      </c>
      <c r="M49" s="738">
        <v>33</v>
      </c>
      <c r="N49" s="208">
        <v>9</v>
      </c>
      <c r="O49" s="208">
        <v>9</v>
      </c>
      <c r="P49" s="743">
        <v>7</v>
      </c>
      <c r="Q49" s="237">
        <f>AVERAGE(B49:P49)</f>
        <v>16.2</v>
      </c>
      <c r="R49" s="237">
        <f>MAX(B49:P49)</f>
        <v>42</v>
      </c>
      <c r="S49" s="237">
        <f>AVERAGE(H49:M49)</f>
        <v>27.5</v>
      </c>
    </row>
    <row r="50" spans="1:19" ht="15.5" x14ac:dyDescent="0.35">
      <c r="A50" s="246" t="s">
        <v>95</v>
      </c>
      <c r="B50" s="738">
        <v>2</v>
      </c>
      <c r="C50" s="738">
        <v>10</v>
      </c>
      <c r="D50" s="738">
        <v>2</v>
      </c>
      <c r="E50" s="738">
        <v>0</v>
      </c>
      <c r="F50" s="738">
        <v>6</v>
      </c>
      <c r="G50" s="208">
        <v>19</v>
      </c>
      <c r="H50" s="737">
        <v>14</v>
      </c>
      <c r="I50" s="737">
        <v>16</v>
      </c>
      <c r="J50" s="740">
        <v>6</v>
      </c>
      <c r="K50" s="206">
        <v>5</v>
      </c>
      <c r="L50" s="208">
        <v>4</v>
      </c>
      <c r="M50" s="738">
        <v>2</v>
      </c>
      <c r="N50" s="741">
        <v>5</v>
      </c>
      <c r="O50" s="741">
        <v>5</v>
      </c>
      <c r="P50" s="743">
        <v>2</v>
      </c>
      <c r="Q50" s="237">
        <f>AVERAGE(B50:P50)</f>
        <v>6.5333333333333332</v>
      </c>
      <c r="R50" s="237">
        <f>MAX(B50:P50)</f>
        <v>19</v>
      </c>
      <c r="S50" s="237">
        <f>AVERAGE(H50:M50)</f>
        <v>7.833333333333333</v>
      </c>
    </row>
    <row r="51" spans="1:19" ht="15.5" x14ac:dyDescent="0.35">
      <c r="A51" s="246" t="s">
        <v>96</v>
      </c>
      <c r="B51" s="183">
        <v>5</v>
      </c>
      <c r="C51" s="454">
        <v>8</v>
      </c>
      <c r="D51" s="738">
        <v>2</v>
      </c>
      <c r="E51" s="738">
        <v>7</v>
      </c>
      <c r="F51" s="738">
        <v>18</v>
      </c>
      <c r="G51" s="739">
        <v>13</v>
      </c>
      <c r="H51" s="737">
        <v>42</v>
      </c>
      <c r="I51" s="737">
        <v>47</v>
      </c>
      <c r="J51" s="740">
        <v>27</v>
      </c>
      <c r="K51" s="206">
        <v>31</v>
      </c>
      <c r="L51" s="208">
        <v>42</v>
      </c>
      <c r="M51" s="738">
        <v>32</v>
      </c>
      <c r="N51" s="741">
        <v>9</v>
      </c>
      <c r="O51" s="741">
        <v>10</v>
      </c>
      <c r="P51" s="742">
        <v>5</v>
      </c>
      <c r="Q51" s="237">
        <f>AVERAGE(B51:P51)</f>
        <v>19.866666666666667</v>
      </c>
      <c r="R51" s="237">
        <f>MAX(B51:P51)</f>
        <v>47</v>
      </c>
      <c r="S51" s="237">
        <f>AVERAGE(H51:M51)</f>
        <v>36.833333333333336</v>
      </c>
    </row>
    <row r="53" spans="1:19" ht="15.5" x14ac:dyDescent="0.35">
      <c r="A53" s="829" t="s">
        <v>229</v>
      </c>
      <c r="B53" s="829"/>
      <c r="C53" s="829"/>
      <c r="D53" s="829"/>
      <c r="E53" s="829"/>
      <c r="F53" s="829"/>
      <c r="G53" s="829"/>
      <c r="H53" s="829"/>
      <c r="I53" s="829"/>
      <c r="J53" s="829"/>
      <c r="K53" s="829"/>
      <c r="L53" s="829"/>
      <c r="M53" s="829"/>
      <c r="N53" s="829"/>
      <c r="O53" s="829"/>
      <c r="P53" s="829"/>
    </row>
    <row r="54" spans="1:19" x14ac:dyDescent="0.3">
      <c r="A54" s="220"/>
      <c r="B54" s="220" t="s">
        <v>78</v>
      </c>
      <c r="C54" s="220" t="s">
        <v>79</v>
      </c>
      <c r="D54" s="220" t="s">
        <v>80</v>
      </c>
      <c r="E54" s="220" t="s">
        <v>81</v>
      </c>
      <c r="F54" s="220" t="s">
        <v>82</v>
      </c>
      <c r="G54" s="220" t="s">
        <v>83</v>
      </c>
      <c r="H54" s="220" t="s">
        <v>84</v>
      </c>
      <c r="I54" s="220" t="s">
        <v>85</v>
      </c>
      <c r="J54" s="220" t="s">
        <v>86</v>
      </c>
      <c r="K54" s="220" t="s">
        <v>87</v>
      </c>
      <c r="L54" s="220" t="s">
        <v>88</v>
      </c>
      <c r="M54" s="220" t="s">
        <v>89</v>
      </c>
    </row>
    <row r="55" spans="1:19" ht="14" x14ac:dyDescent="0.3">
      <c r="A55" s="247" t="s">
        <v>28</v>
      </c>
      <c r="B55" s="234">
        <f t="shared" ref="B55:G55" si="4">B47</f>
        <v>2</v>
      </c>
      <c r="C55" s="234">
        <f t="shared" si="4"/>
        <v>10</v>
      </c>
      <c r="D55" s="234">
        <f t="shared" si="4"/>
        <v>2</v>
      </c>
      <c r="E55" s="234">
        <f t="shared" si="4"/>
        <v>0</v>
      </c>
      <c r="F55" s="234">
        <f t="shared" si="4"/>
        <v>6</v>
      </c>
      <c r="G55" s="234">
        <f t="shared" si="4"/>
        <v>19</v>
      </c>
      <c r="H55" s="234">
        <f>AVERAGE(H47:I47)</f>
        <v>15</v>
      </c>
      <c r="I55" s="234">
        <f>AVERAGE(J47:K47)</f>
        <v>5.5</v>
      </c>
      <c r="J55" s="234">
        <f>AVERAGE(L47:M47)</f>
        <v>3</v>
      </c>
      <c r="K55" s="234">
        <f>N47</f>
        <v>5</v>
      </c>
      <c r="L55" s="234">
        <f t="shared" ref="L55:M59" si="5">O47</f>
        <v>5</v>
      </c>
      <c r="M55" s="234">
        <f t="shared" si="5"/>
        <v>2</v>
      </c>
    </row>
    <row r="56" spans="1:19" ht="14" x14ac:dyDescent="0.3">
      <c r="A56" s="248" t="s">
        <v>29</v>
      </c>
      <c r="B56" s="234">
        <f t="shared" ref="B56:G59" si="6">B48</f>
        <v>25</v>
      </c>
      <c r="C56" s="234">
        <f t="shared" si="6"/>
        <v>26</v>
      </c>
      <c r="D56" s="234">
        <f t="shared" si="6"/>
        <v>12</v>
      </c>
      <c r="E56" s="234">
        <f t="shared" si="6"/>
        <v>19</v>
      </c>
      <c r="F56" s="234">
        <f t="shared" si="6"/>
        <v>13</v>
      </c>
      <c r="G56" s="234">
        <f t="shared" si="6"/>
        <v>24</v>
      </c>
      <c r="H56" s="234">
        <f>AVERAGE(H48:I48)</f>
        <v>14.5</v>
      </c>
      <c r="I56" s="234">
        <f>AVERAGE(J48:K48)</f>
        <v>26</v>
      </c>
      <c r="J56" s="234">
        <f>AVERAGE(L48:M48)</f>
        <v>24</v>
      </c>
      <c r="K56" s="234">
        <f>N48</f>
        <v>13</v>
      </c>
      <c r="L56" s="234">
        <f t="shared" si="5"/>
        <v>12</v>
      </c>
      <c r="M56" s="234">
        <f t="shared" si="5"/>
        <v>5</v>
      </c>
    </row>
    <row r="57" spans="1:19" ht="14" x14ac:dyDescent="0.3">
      <c r="A57" s="249" t="s">
        <v>97</v>
      </c>
      <c r="B57" s="234">
        <f t="shared" si="6"/>
        <v>15</v>
      </c>
      <c r="C57" s="234">
        <f t="shared" si="6"/>
        <v>8</v>
      </c>
      <c r="D57" s="234">
        <f t="shared" si="6"/>
        <v>3</v>
      </c>
      <c r="E57" s="234">
        <f t="shared" si="6"/>
        <v>11</v>
      </c>
      <c r="F57" s="234">
        <f t="shared" si="6"/>
        <v>8</v>
      </c>
      <c r="G57" s="234">
        <f t="shared" si="6"/>
        <v>8</v>
      </c>
      <c r="H57" s="234">
        <f>AVERAGE(H49:I49)</f>
        <v>24</v>
      </c>
      <c r="I57" s="234">
        <f>AVERAGE(J49:K49)</f>
        <v>21</v>
      </c>
      <c r="J57" s="234">
        <f>AVERAGE(L49:M49)</f>
        <v>37.5</v>
      </c>
      <c r="K57" s="234">
        <f>N49</f>
        <v>9</v>
      </c>
      <c r="L57" s="234">
        <f t="shared" si="5"/>
        <v>9</v>
      </c>
      <c r="M57" s="234">
        <f t="shared" si="5"/>
        <v>7</v>
      </c>
    </row>
    <row r="58" spans="1:19" ht="14" x14ac:dyDescent="0.3">
      <c r="A58" s="249" t="s">
        <v>95</v>
      </c>
      <c r="B58" s="234">
        <f t="shared" si="6"/>
        <v>2</v>
      </c>
      <c r="C58" s="234">
        <f t="shared" si="6"/>
        <v>10</v>
      </c>
      <c r="D58" s="234">
        <f t="shared" si="6"/>
        <v>2</v>
      </c>
      <c r="E58" s="234">
        <f t="shared" si="6"/>
        <v>0</v>
      </c>
      <c r="F58" s="234">
        <f t="shared" si="6"/>
        <v>6</v>
      </c>
      <c r="G58" s="234">
        <f t="shared" si="6"/>
        <v>19</v>
      </c>
      <c r="H58" s="234">
        <f>AVERAGE(H50:I50)</f>
        <v>15</v>
      </c>
      <c r="I58" s="234">
        <f>AVERAGE(J50:K50)</f>
        <v>5.5</v>
      </c>
      <c r="J58" s="234">
        <f>AVERAGE(L50:M50)</f>
        <v>3</v>
      </c>
      <c r="K58" s="234">
        <f>N50</f>
        <v>5</v>
      </c>
      <c r="L58" s="234">
        <f t="shared" si="5"/>
        <v>5</v>
      </c>
      <c r="M58" s="234">
        <f t="shared" si="5"/>
        <v>2</v>
      </c>
    </row>
    <row r="59" spans="1:19" ht="14" x14ac:dyDescent="0.3">
      <c r="A59" s="249" t="s">
        <v>96</v>
      </c>
      <c r="B59" s="234">
        <f t="shared" si="6"/>
        <v>5</v>
      </c>
      <c r="C59" s="234">
        <f t="shared" si="6"/>
        <v>8</v>
      </c>
      <c r="D59" s="234">
        <f t="shared" si="6"/>
        <v>2</v>
      </c>
      <c r="E59" s="234">
        <f t="shared" si="6"/>
        <v>7</v>
      </c>
      <c r="F59" s="234">
        <f t="shared" si="6"/>
        <v>18</v>
      </c>
      <c r="G59" s="234">
        <f t="shared" si="6"/>
        <v>13</v>
      </c>
      <c r="H59" s="234">
        <f>AVERAGE(H51:I51)</f>
        <v>44.5</v>
      </c>
      <c r="I59" s="234">
        <f>AVERAGE(J51:K51)</f>
        <v>29</v>
      </c>
      <c r="J59" s="234">
        <f>AVERAGE(L51:M51)</f>
        <v>37</v>
      </c>
      <c r="K59" s="234">
        <f>N51</f>
        <v>9</v>
      </c>
      <c r="L59" s="234">
        <f t="shared" si="5"/>
        <v>10</v>
      </c>
      <c r="M59" s="234">
        <f t="shared" si="5"/>
        <v>5</v>
      </c>
    </row>
  </sheetData>
  <mergeCells count="7">
    <mergeCell ref="A45:P45"/>
    <mergeCell ref="A53:P53"/>
    <mergeCell ref="A1:P1"/>
    <mergeCell ref="A2:P2"/>
    <mergeCell ref="B11:F11"/>
    <mergeCell ref="B12:F12"/>
    <mergeCell ref="A13:M13"/>
  </mergeCells>
  <phoneticPr fontId="0" type="noConversion"/>
  <pageMargins left="0.75" right="0.75" top="1" bottom="1" header="0.5" footer="0.5"/>
  <pageSetup scale="41" orientation="landscape" horizontalDpi="4294967294"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AD34"/>
  <sheetViews>
    <sheetView zoomScale="75" zoomScaleNormal="75" workbookViewId="0">
      <selection activeCell="Q29" sqref="Q29:U34"/>
    </sheetView>
  </sheetViews>
  <sheetFormatPr defaultColWidth="9.08984375" defaultRowHeight="13" x14ac:dyDescent="0.3"/>
  <cols>
    <col min="1" max="1" width="28.453125" style="1" customWidth="1"/>
    <col min="2" max="2" width="17.453125" style="11" bestFit="1" customWidth="1"/>
    <col min="3" max="3" width="12.36328125" style="11" bestFit="1" customWidth="1"/>
    <col min="4" max="4" width="12.453125" style="11" bestFit="1" customWidth="1"/>
    <col min="5" max="5" width="13.453125" style="11" customWidth="1"/>
    <col min="6" max="6" width="12.6328125" style="11" bestFit="1" customWidth="1"/>
    <col min="7" max="7" width="12.08984375" style="11" customWidth="1"/>
    <col min="8" max="8" width="12.6328125" style="11" bestFit="1" customWidth="1"/>
    <col min="9" max="9" width="12.08984375" style="11" bestFit="1" customWidth="1"/>
    <col min="10" max="10" width="11.6328125" style="11" bestFit="1" customWidth="1"/>
    <col min="11" max="11" width="12.453125" style="11" bestFit="1" customWidth="1"/>
    <col min="12" max="12" width="11.08984375" style="11" bestFit="1" customWidth="1"/>
    <col min="13" max="13" width="12.453125" style="11" bestFit="1" customWidth="1"/>
    <col min="14" max="14" width="9.453125" style="11" bestFit="1" customWidth="1"/>
    <col min="15" max="15" width="9.36328125" style="11" bestFit="1" customWidth="1"/>
    <col min="16" max="16" width="8.6328125" style="11" bestFit="1" customWidth="1"/>
    <col min="17" max="17" width="9.6328125" style="11" bestFit="1" customWidth="1"/>
    <col min="18" max="18" width="6.54296875" style="11" bestFit="1" customWidth="1"/>
    <col min="19" max="19" width="10.54296875" style="11" bestFit="1" customWidth="1"/>
    <col min="20" max="21" width="11.08984375" style="11" bestFit="1" customWidth="1"/>
    <col min="22" max="22" width="9.90625" style="11" bestFit="1" customWidth="1"/>
    <col min="23" max="23" width="10.36328125" style="11" bestFit="1" customWidth="1"/>
    <col min="24" max="24" width="10.90625" style="11" bestFit="1" customWidth="1"/>
    <col min="25" max="25" width="11.08984375" style="11" bestFit="1" customWidth="1"/>
    <col min="26" max="26" width="11" style="11" customWidth="1"/>
    <col min="27" max="27" width="11.453125" style="11" customWidth="1"/>
    <col min="28" max="28" width="11.90625" style="11" customWidth="1"/>
    <col min="29" max="29" width="11.36328125" style="11" customWidth="1"/>
    <col min="30" max="30" width="10.90625" style="11" bestFit="1" customWidth="1"/>
    <col min="31" max="16384" width="9.08984375" style="11"/>
  </cols>
  <sheetData>
    <row r="1" spans="1:30" x14ac:dyDescent="0.3">
      <c r="A1" s="831" t="s">
        <v>3</v>
      </c>
      <c r="B1" s="831"/>
      <c r="C1" s="831"/>
      <c r="D1" s="831"/>
      <c r="E1" s="831"/>
      <c r="F1" s="831"/>
      <c r="G1" s="831"/>
      <c r="H1" s="831"/>
      <c r="I1" s="831"/>
      <c r="J1" s="831"/>
      <c r="K1" s="831"/>
      <c r="L1" s="831"/>
      <c r="M1" s="831"/>
      <c r="N1" s="831"/>
      <c r="O1" s="831"/>
      <c r="P1" s="831"/>
    </row>
    <row r="2" spans="1:30" x14ac:dyDescent="0.3">
      <c r="A2" s="831" t="s">
        <v>5</v>
      </c>
      <c r="B2" s="831"/>
      <c r="C2" s="831"/>
      <c r="D2" s="831"/>
      <c r="E2" s="831"/>
      <c r="F2" s="831"/>
      <c r="G2" s="831"/>
      <c r="H2" s="831"/>
      <c r="I2" s="831"/>
      <c r="J2" s="831"/>
      <c r="K2" s="831"/>
      <c r="L2" s="831"/>
      <c r="M2" s="831"/>
      <c r="N2" s="831"/>
      <c r="O2" s="831"/>
      <c r="P2" s="831"/>
    </row>
    <row r="3" spans="1:30" s="7" customFormat="1" ht="28" x14ac:dyDescent="0.3">
      <c r="A3" s="250" t="s">
        <v>2</v>
      </c>
      <c r="B3" s="337">
        <v>40567</v>
      </c>
      <c r="C3" s="337">
        <v>40595</v>
      </c>
      <c r="D3" s="337">
        <v>40627</v>
      </c>
      <c r="E3" s="337">
        <v>40658</v>
      </c>
      <c r="F3" s="337">
        <v>40686</v>
      </c>
      <c r="G3" s="337">
        <v>40721</v>
      </c>
      <c r="H3" s="338">
        <v>40743</v>
      </c>
      <c r="I3" s="338">
        <v>40749</v>
      </c>
      <c r="J3" s="338">
        <v>40763</v>
      </c>
      <c r="K3" s="337">
        <v>40777</v>
      </c>
      <c r="L3" s="337">
        <v>40798</v>
      </c>
      <c r="M3" s="339">
        <v>40812</v>
      </c>
      <c r="N3" s="339">
        <v>40840</v>
      </c>
      <c r="O3" s="339">
        <v>40875</v>
      </c>
      <c r="P3" s="338">
        <v>40893</v>
      </c>
      <c r="Q3" s="232" t="s">
        <v>103</v>
      </c>
      <c r="R3" s="230" t="s">
        <v>92</v>
      </c>
      <c r="S3" s="232" t="s">
        <v>121</v>
      </c>
      <c r="T3" s="232" t="s">
        <v>137</v>
      </c>
      <c r="U3" s="232" t="s">
        <v>138</v>
      </c>
    </row>
    <row r="4" spans="1:30" ht="14" x14ac:dyDescent="0.3">
      <c r="A4" s="251" t="s">
        <v>28</v>
      </c>
      <c r="B4" s="268">
        <v>603</v>
      </c>
      <c r="C4" s="719">
        <v>671</v>
      </c>
      <c r="D4" s="719">
        <v>279</v>
      </c>
      <c r="E4" s="719">
        <v>225</v>
      </c>
      <c r="F4" s="719">
        <v>174</v>
      </c>
      <c r="G4" s="718">
        <v>486</v>
      </c>
      <c r="H4" s="268">
        <v>281</v>
      </c>
      <c r="I4" s="268">
        <v>379</v>
      </c>
      <c r="J4" s="271">
        <v>342</v>
      </c>
      <c r="K4" s="718">
        <v>494</v>
      </c>
      <c r="L4" s="718">
        <v>636</v>
      </c>
      <c r="M4" s="719">
        <v>435</v>
      </c>
      <c r="N4" s="272">
        <v>371</v>
      </c>
      <c r="O4" s="272">
        <v>581</v>
      </c>
      <c r="P4" s="273">
        <v>534</v>
      </c>
      <c r="Q4" s="252">
        <f>AVERAGE(B4:P4)</f>
        <v>432.73333333333335</v>
      </c>
      <c r="R4" s="252">
        <f>MAX(B4:P4)</f>
        <v>671</v>
      </c>
      <c r="S4" s="252">
        <f>AVERAGE(H4:M4)</f>
        <v>427.83333333333331</v>
      </c>
      <c r="T4" s="252">
        <f>AVERAGE(B7:P8)</f>
        <v>172.4</v>
      </c>
      <c r="U4" s="252">
        <f>AVERAGE(H7:M8)</f>
        <v>110.75</v>
      </c>
      <c r="V4" s="32"/>
      <c r="W4" s="32"/>
      <c r="X4" s="32"/>
      <c r="Y4" s="32"/>
      <c r="Z4" s="32"/>
      <c r="AA4" s="32"/>
      <c r="AB4" s="32"/>
      <c r="AC4" s="32"/>
      <c r="AD4" s="32"/>
    </row>
    <row r="5" spans="1:30" ht="14" x14ac:dyDescent="0.3">
      <c r="A5" s="251" t="s">
        <v>29</v>
      </c>
      <c r="B5" s="305">
        <v>1958</v>
      </c>
      <c r="C5" s="540">
        <v>1160</v>
      </c>
      <c r="D5" s="540">
        <v>766</v>
      </c>
      <c r="E5" s="540">
        <v>962</v>
      </c>
      <c r="F5" s="540">
        <v>537</v>
      </c>
      <c r="G5" s="514">
        <v>350</v>
      </c>
      <c r="H5" s="182">
        <v>19</v>
      </c>
      <c r="I5" s="182">
        <v>254</v>
      </c>
      <c r="J5" s="204">
        <v>229</v>
      </c>
      <c r="K5" s="514">
        <v>463</v>
      </c>
      <c r="L5" s="514">
        <v>1170</v>
      </c>
      <c r="M5" s="540">
        <v>1100</v>
      </c>
      <c r="N5" s="208">
        <v>937</v>
      </c>
      <c r="O5" s="205">
        <v>753</v>
      </c>
      <c r="P5" s="210">
        <v>742</v>
      </c>
      <c r="Q5" s="252">
        <f>AVERAGE(B5:P5)</f>
        <v>760</v>
      </c>
      <c r="R5" s="252">
        <f>MAX(B5:P5)</f>
        <v>1958</v>
      </c>
      <c r="S5" s="252">
        <f>AVERAGE(H5:M5)</f>
        <v>539.16666666666663</v>
      </c>
      <c r="T5" s="235"/>
      <c r="U5" s="235"/>
      <c r="V5" s="32"/>
      <c r="W5" s="32"/>
      <c r="X5" s="32"/>
      <c r="Y5" s="32"/>
      <c r="Z5" s="32"/>
      <c r="AA5" s="32"/>
      <c r="AB5" s="32"/>
      <c r="AC5" s="32"/>
      <c r="AD5" s="32"/>
    </row>
    <row r="6" spans="1:30" ht="14" x14ac:dyDescent="0.3">
      <c r="A6" s="253" t="s">
        <v>97</v>
      </c>
      <c r="B6" s="182">
        <v>494</v>
      </c>
      <c r="C6" s="540">
        <v>385</v>
      </c>
      <c r="D6" s="540">
        <v>350</v>
      </c>
      <c r="E6" s="540">
        <v>146</v>
      </c>
      <c r="F6" s="540">
        <v>124</v>
      </c>
      <c r="G6" s="514">
        <v>79</v>
      </c>
      <c r="H6" s="182">
        <v>143</v>
      </c>
      <c r="I6" s="182">
        <v>172</v>
      </c>
      <c r="J6" s="204">
        <v>122</v>
      </c>
      <c r="K6" s="208">
        <v>17</v>
      </c>
      <c r="L6" s="514">
        <v>84</v>
      </c>
      <c r="M6" s="540">
        <v>128</v>
      </c>
      <c r="N6" s="514">
        <v>7</v>
      </c>
      <c r="O6" s="514">
        <v>76</v>
      </c>
      <c r="P6" s="210">
        <v>265</v>
      </c>
      <c r="Q6" s="252">
        <f>AVERAGE(B6:P6)</f>
        <v>172.8</v>
      </c>
      <c r="R6" s="252">
        <f>MAX(B6:P6)</f>
        <v>494</v>
      </c>
      <c r="S6" s="252">
        <f>AVERAGE(H6:M6)</f>
        <v>111</v>
      </c>
      <c r="T6" s="235"/>
      <c r="U6" s="235"/>
      <c r="V6" s="32"/>
      <c r="W6" s="32"/>
      <c r="X6" s="32"/>
      <c r="Y6" s="32"/>
      <c r="Z6" s="32"/>
      <c r="AA6" s="32"/>
      <c r="AB6" s="32"/>
      <c r="AC6" s="32"/>
      <c r="AD6" s="32"/>
    </row>
    <row r="7" spans="1:30" ht="14" x14ac:dyDescent="0.3">
      <c r="A7" s="253" t="s">
        <v>95</v>
      </c>
      <c r="B7" s="182">
        <v>454</v>
      </c>
      <c r="C7" s="14">
        <v>213</v>
      </c>
      <c r="D7" s="540">
        <v>362</v>
      </c>
      <c r="E7" s="540">
        <v>151</v>
      </c>
      <c r="F7" s="540">
        <v>124</v>
      </c>
      <c r="G7" s="514">
        <v>78</v>
      </c>
      <c r="H7" s="182">
        <v>133</v>
      </c>
      <c r="I7" s="182">
        <v>163</v>
      </c>
      <c r="J7" s="204">
        <v>115</v>
      </c>
      <c r="K7" s="208">
        <v>36</v>
      </c>
      <c r="L7" s="514">
        <v>81</v>
      </c>
      <c r="M7" s="540">
        <v>127</v>
      </c>
      <c r="N7" s="205">
        <v>4</v>
      </c>
      <c r="O7" s="205">
        <v>77</v>
      </c>
      <c r="P7" s="210">
        <v>258</v>
      </c>
      <c r="Q7" s="252">
        <f>AVERAGE(B7:P7)</f>
        <v>158.4</v>
      </c>
      <c r="R7" s="252">
        <f>MAX(B7:P7)</f>
        <v>454</v>
      </c>
      <c r="S7" s="252">
        <f>AVERAGE(H7:M7)</f>
        <v>109.16666666666667</v>
      </c>
      <c r="T7" s="235"/>
      <c r="U7" s="235"/>
      <c r="V7" s="32"/>
      <c r="W7" s="32"/>
      <c r="X7" s="32"/>
      <c r="Y7" s="32"/>
      <c r="Z7" s="32"/>
      <c r="AA7" s="32"/>
      <c r="AB7" s="32"/>
      <c r="AC7" s="32"/>
      <c r="AD7" s="32"/>
    </row>
    <row r="8" spans="1:30" ht="14" x14ac:dyDescent="0.3">
      <c r="A8" s="253" t="s">
        <v>96</v>
      </c>
      <c r="B8" s="268">
        <v>303</v>
      </c>
      <c r="C8" s="719">
        <v>431</v>
      </c>
      <c r="D8" s="719">
        <v>362</v>
      </c>
      <c r="E8" s="719">
        <v>157</v>
      </c>
      <c r="F8" s="719">
        <v>121</v>
      </c>
      <c r="G8" s="279">
        <v>81</v>
      </c>
      <c r="H8" s="268">
        <v>121</v>
      </c>
      <c r="I8" s="268">
        <v>151</v>
      </c>
      <c r="J8" s="271">
        <v>114</v>
      </c>
      <c r="K8" s="718">
        <v>39</v>
      </c>
      <c r="L8" s="718">
        <v>122</v>
      </c>
      <c r="M8" s="719">
        <v>127</v>
      </c>
      <c r="N8" s="272">
        <v>26</v>
      </c>
      <c r="O8" s="272">
        <v>77</v>
      </c>
      <c r="P8" s="278">
        <v>564</v>
      </c>
      <c r="Q8" s="252">
        <f>AVERAGE(B8:P8)</f>
        <v>186.4</v>
      </c>
      <c r="R8" s="252">
        <f>MAX(B8:P8)</f>
        <v>564</v>
      </c>
      <c r="S8" s="252">
        <f>AVERAGE(H8:M8)</f>
        <v>112.33333333333333</v>
      </c>
      <c r="T8" s="235"/>
      <c r="U8" s="235"/>
      <c r="V8" s="32"/>
      <c r="W8" s="32"/>
      <c r="X8" s="32"/>
      <c r="Y8" s="32"/>
      <c r="Z8" s="32"/>
      <c r="AA8" s="32"/>
      <c r="AB8" s="32"/>
      <c r="AC8" s="32"/>
      <c r="AD8" s="32"/>
    </row>
    <row r="12" spans="1:30" x14ac:dyDescent="0.3">
      <c r="B12" s="839" t="s">
        <v>150</v>
      </c>
      <c r="C12" s="839"/>
      <c r="D12" s="839"/>
      <c r="E12" s="839"/>
      <c r="F12" s="839"/>
      <c r="G12" s="839"/>
      <c r="H12" s="839"/>
      <c r="I12" s="839"/>
      <c r="J12" s="839"/>
      <c r="K12" s="839"/>
      <c r="L12" s="839"/>
      <c r="M12" s="839"/>
    </row>
    <row r="13" spans="1:30" ht="15.5" x14ac:dyDescent="0.35">
      <c r="A13" s="254"/>
      <c r="B13" s="84" t="s">
        <v>78</v>
      </c>
      <c r="C13" s="84" t="s">
        <v>79</v>
      </c>
      <c r="D13" s="84" t="s">
        <v>80</v>
      </c>
      <c r="E13" s="84" t="s">
        <v>81</v>
      </c>
      <c r="F13" s="84" t="s">
        <v>82</v>
      </c>
      <c r="G13" s="84" t="s">
        <v>83</v>
      </c>
      <c r="H13" s="84" t="s">
        <v>84</v>
      </c>
      <c r="I13" s="84" t="s">
        <v>85</v>
      </c>
      <c r="J13" s="84" t="s">
        <v>86</v>
      </c>
      <c r="K13" s="420" t="s">
        <v>87</v>
      </c>
      <c r="L13" s="84" t="s">
        <v>88</v>
      </c>
      <c r="M13" s="84" t="s">
        <v>89</v>
      </c>
    </row>
    <row r="14" spans="1:30" ht="14" x14ac:dyDescent="0.3">
      <c r="A14" s="255" t="s">
        <v>28</v>
      </c>
      <c r="B14" s="234">
        <f t="shared" ref="B14:G14" si="0">B4</f>
        <v>603</v>
      </c>
      <c r="C14" s="234">
        <f t="shared" si="0"/>
        <v>671</v>
      </c>
      <c r="D14" s="234">
        <f t="shared" si="0"/>
        <v>279</v>
      </c>
      <c r="E14" s="234">
        <f t="shared" si="0"/>
        <v>225</v>
      </c>
      <c r="F14" s="234">
        <f t="shared" si="0"/>
        <v>174</v>
      </c>
      <c r="G14" s="234">
        <f t="shared" si="0"/>
        <v>486</v>
      </c>
      <c r="H14" s="234">
        <f>AVERAGE(H4:I4)</f>
        <v>330</v>
      </c>
      <c r="I14" s="234">
        <f>AVERAGE(J4:K4)</f>
        <v>418</v>
      </c>
      <c r="J14" s="234">
        <f>AVERAGE(L4:M4)</f>
        <v>535.5</v>
      </c>
      <c r="K14" s="234">
        <f>N4</f>
        <v>371</v>
      </c>
      <c r="L14" s="234">
        <f t="shared" ref="L14:M18" si="1">O4</f>
        <v>581</v>
      </c>
      <c r="M14" s="234">
        <f t="shared" si="1"/>
        <v>534</v>
      </c>
    </row>
    <row r="15" spans="1:30" ht="14" x14ac:dyDescent="0.3">
      <c r="A15" s="255" t="s">
        <v>29</v>
      </c>
      <c r="B15" s="234">
        <f t="shared" ref="B15:G18" si="2">B5</f>
        <v>1958</v>
      </c>
      <c r="C15" s="234">
        <f t="shared" si="2"/>
        <v>1160</v>
      </c>
      <c r="D15" s="234">
        <f t="shared" si="2"/>
        <v>766</v>
      </c>
      <c r="E15" s="234">
        <f t="shared" si="2"/>
        <v>962</v>
      </c>
      <c r="F15" s="234">
        <f t="shared" si="2"/>
        <v>537</v>
      </c>
      <c r="G15" s="234">
        <f t="shared" si="2"/>
        <v>350</v>
      </c>
      <c r="H15" s="234">
        <f>AVERAGE(H5:I5)</f>
        <v>136.5</v>
      </c>
      <c r="I15" s="234">
        <f>AVERAGE(J5:K5)</f>
        <v>346</v>
      </c>
      <c r="J15" s="234">
        <f>AVERAGE(L5:M5)</f>
        <v>1135</v>
      </c>
      <c r="K15" s="234">
        <f>N5</f>
        <v>937</v>
      </c>
      <c r="L15" s="234">
        <f t="shared" si="1"/>
        <v>753</v>
      </c>
      <c r="M15" s="234">
        <f t="shared" si="1"/>
        <v>742</v>
      </c>
    </row>
    <row r="16" spans="1:30" ht="14" x14ac:dyDescent="0.3">
      <c r="A16" s="256" t="s">
        <v>97</v>
      </c>
      <c r="B16" s="234">
        <f t="shared" si="2"/>
        <v>494</v>
      </c>
      <c r="C16" s="234">
        <f t="shared" si="2"/>
        <v>385</v>
      </c>
      <c r="D16" s="234">
        <f t="shared" si="2"/>
        <v>350</v>
      </c>
      <c r="E16" s="234">
        <f t="shared" si="2"/>
        <v>146</v>
      </c>
      <c r="F16" s="234">
        <f t="shared" si="2"/>
        <v>124</v>
      </c>
      <c r="G16" s="234">
        <f t="shared" si="2"/>
        <v>79</v>
      </c>
      <c r="H16" s="234">
        <f>AVERAGE(H6:I6)</f>
        <v>157.5</v>
      </c>
      <c r="I16" s="234">
        <f>AVERAGE(J6:K6)</f>
        <v>69.5</v>
      </c>
      <c r="J16" s="234">
        <f>AVERAGE(L6:M6)</f>
        <v>106</v>
      </c>
      <c r="K16" s="234">
        <f>N6</f>
        <v>7</v>
      </c>
      <c r="L16" s="234">
        <f t="shared" si="1"/>
        <v>76</v>
      </c>
      <c r="M16" s="234">
        <f t="shared" si="1"/>
        <v>265</v>
      </c>
    </row>
    <row r="17" spans="1:21" ht="14" x14ac:dyDescent="0.3">
      <c r="A17" s="256" t="s">
        <v>235</v>
      </c>
      <c r="B17" s="234">
        <f t="shared" si="2"/>
        <v>454</v>
      </c>
      <c r="C17" s="234">
        <f t="shared" si="2"/>
        <v>213</v>
      </c>
      <c r="D17" s="234">
        <f t="shared" si="2"/>
        <v>362</v>
      </c>
      <c r="E17" s="234">
        <f t="shared" si="2"/>
        <v>151</v>
      </c>
      <c r="F17" s="234">
        <f t="shared" si="2"/>
        <v>124</v>
      </c>
      <c r="G17" s="234">
        <f t="shared" si="2"/>
        <v>78</v>
      </c>
      <c r="H17" s="234">
        <f>AVERAGE(H7:I7)</f>
        <v>148</v>
      </c>
      <c r="I17" s="234">
        <f>AVERAGE(J7:K7)</f>
        <v>75.5</v>
      </c>
      <c r="J17" s="234">
        <f>AVERAGE(L7:M7)</f>
        <v>104</v>
      </c>
      <c r="K17" s="234">
        <f>N7</f>
        <v>4</v>
      </c>
      <c r="L17" s="234">
        <f t="shared" si="1"/>
        <v>77</v>
      </c>
      <c r="M17" s="234">
        <f t="shared" si="1"/>
        <v>258</v>
      </c>
    </row>
    <row r="18" spans="1:21" ht="14" x14ac:dyDescent="0.3">
      <c r="A18" s="256" t="s">
        <v>236</v>
      </c>
      <c r="B18" s="234">
        <f t="shared" si="2"/>
        <v>303</v>
      </c>
      <c r="C18" s="234">
        <f t="shared" si="2"/>
        <v>431</v>
      </c>
      <c r="D18" s="234">
        <f t="shared" si="2"/>
        <v>362</v>
      </c>
      <c r="E18" s="234">
        <f t="shared" si="2"/>
        <v>157</v>
      </c>
      <c r="F18" s="234">
        <f t="shared" si="2"/>
        <v>121</v>
      </c>
      <c r="G18" s="234">
        <f t="shared" si="2"/>
        <v>81</v>
      </c>
      <c r="H18" s="234">
        <f>AVERAGE(H8:I8)</f>
        <v>136</v>
      </c>
      <c r="I18" s="234">
        <f>AVERAGE(J8:K8)</f>
        <v>76.5</v>
      </c>
      <c r="J18" s="234">
        <f>AVERAGE(L8:M8)</f>
        <v>124.5</v>
      </c>
      <c r="K18" s="234">
        <f>N8</f>
        <v>26</v>
      </c>
      <c r="L18" s="234">
        <f t="shared" si="1"/>
        <v>77</v>
      </c>
      <c r="M18" s="234">
        <f t="shared" si="1"/>
        <v>564</v>
      </c>
    </row>
    <row r="19" spans="1:21" x14ac:dyDescent="0.3">
      <c r="G19" s="1" t="s">
        <v>228</v>
      </c>
    </row>
    <row r="20" spans="1:21" ht="14" x14ac:dyDescent="0.3">
      <c r="A20" s="251" t="s">
        <v>28</v>
      </c>
      <c r="B20" s="234">
        <f>B29</f>
        <v>747</v>
      </c>
      <c r="C20" s="234">
        <f t="shared" ref="C20:G20" si="3">C29</f>
        <v>935</v>
      </c>
      <c r="D20" s="234">
        <f t="shared" si="3"/>
        <v>568</v>
      </c>
      <c r="E20" s="234">
        <f t="shared" si="3"/>
        <v>553</v>
      </c>
      <c r="F20" s="234">
        <f t="shared" si="3"/>
        <v>418</v>
      </c>
      <c r="G20" s="234">
        <f t="shared" si="3"/>
        <v>664</v>
      </c>
      <c r="H20" s="234">
        <f>AVERAGE(H29:I29)</f>
        <v>602</v>
      </c>
      <c r="I20" s="234">
        <f>AVERAGE(J29:K29)</f>
        <v>628.5</v>
      </c>
      <c r="J20" s="234">
        <f>AVERAGE(L29:M29)</f>
        <v>632.5</v>
      </c>
      <c r="K20" s="234">
        <f>N29</f>
        <v>643</v>
      </c>
      <c r="L20" s="234">
        <f t="shared" ref="L20:M20" si="4">O29</f>
        <v>729</v>
      </c>
      <c r="M20" s="234">
        <f t="shared" si="4"/>
        <v>630</v>
      </c>
      <c r="O20" s="11">
        <f>MEDIAN(H20:J20)</f>
        <v>628.5</v>
      </c>
    </row>
    <row r="21" spans="1:21" ht="14" x14ac:dyDescent="0.3">
      <c r="A21" s="251" t="s">
        <v>29</v>
      </c>
      <c r="B21" s="234">
        <f t="shared" ref="B21:G21" si="5">B30</f>
        <v>2248</v>
      </c>
      <c r="C21" s="234">
        <f t="shared" si="5"/>
        <v>1373</v>
      </c>
      <c r="D21" s="234">
        <f t="shared" si="5"/>
        <v>1119</v>
      </c>
      <c r="E21" s="234">
        <f t="shared" si="5"/>
        <v>1689</v>
      </c>
      <c r="F21" s="234">
        <f t="shared" si="5"/>
        <v>932</v>
      </c>
      <c r="G21" s="234">
        <f t="shared" si="5"/>
        <v>669</v>
      </c>
      <c r="H21" s="234">
        <f t="shared" ref="H21:H24" si="6">AVERAGE(H30:I30)</f>
        <v>481.5</v>
      </c>
      <c r="I21" s="234">
        <f t="shared" ref="I21:I24" si="7">AVERAGE(J30:K30)</f>
        <v>624</v>
      </c>
      <c r="J21" s="234">
        <f t="shared" ref="J21:J24" si="8">AVERAGE(L30:M30)</f>
        <v>1257</v>
      </c>
      <c r="K21" s="234">
        <f t="shared" ref="K21:K24" si="9">N30</f>
        <v>1166</v>
      </c>
      <c r="L21" s="234">
        <f t="shared" ref="L21:L24" si="10">O30</f>
        <v>1023</v>
      </c>
      <c r="M21" s="234">
        <f t="shared" ref="M21:M24" si="11">P30</f>
        <v>897</v>
      </c>
      <c r="O21" s="11">
        <f>MEDIAN(H21:J21)</f>
        <v>624</v>
      </c>
    </row>
    <row r="22" spans="1:21" ht="14" x14ac:dyDescent="0.3">
      <c r="A22" s="253" t="s">
        <v>97</v>
      </c>
      <c r="B22" s="234">
        <f t="shared" ref="B22:G22" si="12">B31</f>
        <v>1012</v>
      </c>
      <c r="C22" s="234">
        <f t="shared" si="12"/>
        <v>776</v>
      </c>
      <c r="D22" s="234">
        <f t="shared" si="12"/>
        <v>713</v>
      </c>
      <c r="E22" s="234">
        <f t="shared" si="12"/>
        <v>661</v>
      </c>
      <c r="F22" s="234">
        <f t="shared" si="12"/>
        <v>515</v>
      </c>
      <c r="G22" s="234">
        <f t="shared" si="12"/>
        <v>529</v>
      </c>
      <c r="H22" s="234">
        <f t="shared" si="6"/>
        <v>576</v>
      </c>
      <c r="I22" s="234">
        <f t="shared" si="7"/>
        <v>614</v>
      </c>
      <c r="J22" s="234">
        <f t="shared" si="8"/>
        <v>552</v>
      </c>
      <c r="K22" s="234">
        <f t="shared" si="9"/>
        <v>400</v>
      </c>
      <c r="L22" s="234">
        <f t="shared" si="10"/>
        <v>542</v>
      </c>
      <c r="M22" s="234">
        <f t="shared" si="11"/>
        <v>538</v>
      </c>
    </row>
    <row r="23" spans="1:21" ht="14" x14ac:dyDescent="0.3">
      <c r="A23" s="253" t="s">
        <v>95</v>
      </c>
      <c r="B23" s="234">
        <f t="shared" ref="B23:G23" si="13">B32</f>
        <v>0</v>
      </c>
      <c r="C23" s="234">
        <f t="shared" si="13"/>
        <v>0</v>
      </c>
      <c r="D23" s="234">
        <f t="shared" si="13"/>
        <v>794</v>
      </c>
      <c r="E23" s="234">
        <f t="shared" si="13"/>
        <v>0</v>
      </c>
      <c r="F23" s="234">
        <f t="shared" si="13"/>
        <v>617</v>
      </c>
      <c r="G23" s="234">
        <f t="shared" si="13"/>
        <v>524</v>
      </c>
      <c r="H23" s="234">
        <f t="shared" si="6"/>
        <v>713.5</v>
      </c>
      <c r="I23" s="234">
        <f t="shared" si="7"/>
        <v>714.5</v>
      </c>
      <c r="J23" s="234">
        <f t="shared" si="8"/>
        <v>666.5</v>
      </c>
      <c r="K23" s="234">
        <f t="shared" si="9"/>
        <v>486</v>
      </c>
      <c r="L23" s="234">
        <f t="shared" si="10"/>
        <v>537</v>
      </c>
      <c r="M23" s="234">
        <f t="shared" si="11"/>
        <v>523</v>
      </c>
    </row>
    <row r="24" spans="1:21" ht="14" x14ac:dyDescent="0.3">
      <c r="A24" s="253" t="s">
        <v>96</v>
      </c>
      <c r="B24" s="234">
        <f t="shared" ref="B24:G24" si="14">B33</f>
        <v>0</v>
      </c>
      <c r="C24" s="234">
        <f t="shared" si="14"/>
        <v>0</v>
      </c>
      <c r="D24" s="234">
        <f t="shared" si="14"/>
        <v>849</v>
      </c>
      <c r="E24" s="234">
        <f t="shared" si="14"/>
        <v>0</v>
      </c>
      <c r="F24" s="234">
        <f t="shared" si="14"/>
        <v>769</v>
      </c>
      <c r="G24" s="234">
        <f t="shared" si="14"/>
        <v>610</v>
      </c>
      <c r="H24" s="234">
        <f t="shared" si="6"/>
        <v>692</v>
      </c>
      <c r="I24" s="234">
        <f t="shared" si="7"/>
        <v>546</v>
      </c>
      <c r="J24" s="234">
        <f t="shared" si="8"/>
        <v>576.5</v>
      </c>
      <c r="K24" s="234">
        <f t="shared" si="9"/>
        <v>1005</v>
      </c>
      <c r="L24" s="234">
        <f t="shared" si="10"/>
        <v>439</v>
      </c>
      <c r="M24" s="234">
        <f t="shared" si="11"/>
        <v>160</v>
      </c>
    </row>
    <row r="27" spans="1:21" x14ac:dyDescent="0.3">
      <c r="A27" s="1" t="s">
        <v>232</v>
      </c>
    </row>
    <row r="28" spans="1:21" ht="28.5" x14ac:dyDescent="0.35">
      <c r="A28" s="236"/>
      <c r="B28" s="337">
        <v>40567</v>
      </c>
      <c r="C28" s="337">
        <v>40595</v>
      </c>
      <c r="D28" s="337">
        <v>40627</v>
      </c>
      <c r="E28" s="337">
        <v>40658</v>
      </c>
      <c r="F28" s="337">
        <v>40686</v>
      </c>
      <c r="G28" s="337">
        <v>40721</v>
      </c>
      <c r="H28" s="338">
        <v>40743</v>
      </c>
      <c r="I28" s="338">
        <v>40749</v>
      </c>
      <c r="J28" s="338">
        <v>40763</v>
      </c>
      <c r="K28" s="337">
        <v>40777</v>
      </c>
      <c r="L28" s="337">
        <v>40798</v>
      </c>
      <c r="M28" s="339">
        <v>40812</v>
      </c>
      <c r="N28" s="339">
        <v>40840</v>
      </c>
      <c r="O28" s="339">
        <v>40875</v>
      </c>
      <c r="P28" s="338">
        <v>40893</v>
      </c>
      <c r="Q28" s="232" t="s">
        <v>103</v>
      </c>
      <c r="R28" s="230" t="s">
        <v>92</v>
      </c>
      <c r="S28" s="232" t="s">
        <v>121</v>
      </c>
      <c r="T28" s="232" t="s">
        <v>137</v>
      </c>
      <c r="U28" s="232" t="s">
        <v>138</v>
      </c>
    </row>
    <row r="29" spans="1:21" ht="14" x14ac:dyDescent="0.3">
      <c r="A29" s="251" t="s">
        <v>984</v>
      </c>
      <c r="B29" s="268">
        <v>747</v>
      </c>
      <c r="C29" s="724">
        <v>935</v>
      </c>
      <c r="D29" s="724">
        <v>568</v>
      </c>
      <c r="E29" s="724">
        <v>553</v>
      </c>
      <c r="F29" s="724">
        <v>418</v>
      </c>
      <c r="G29" s="723">
        <v>664</v>
      </c>
      <c r="H29" s="268">
        <v>575</v>
      </c>
      <c r="I29" s="268">
        <v>629</v>
      </c>
      <c r="J29" s="271">
        <v>520</v>
      </c>
      <c r="K29" s="723">
        <v>737</v>
      </c>
      <c r="L29" s="723">
        <v>670</v>
      </c>
      <c r="M29" s="724">
        <v>595</v>
      </c>
      <c r="N29" s="272">
        <v>643</v>
      </c>
      <c r="O29" s="272">
        <v>729</v>
      </c>
      <c r="P29" s="273">
        <v>630</v>
      </c>
      <c r="Q29" s="746">
        <f>AVERAGE(B29:P29)</f>
        <v>640.86666666666667</v>
      </c>
      <c r="R29" s="746">
        <f>MAX(B29:P29)</f>
        <v>935</v>
      </c>
      <c r="S29" s="746">
        <f>AVERAGE(H29:M29)</f>
        <v>621</v>
      </c>
      <c r="T29" s="252">
        <f>AVERAGE(B32:P33)</f>
        <v>630.45833333333337</v>
      </c>
      <c r="U29" s="252">
        <f>AVERAGE(H32:M33)</f>
        <v>651.5</v>
      </c>
    </row>
    <row r="30" spans="1:21" ht="14" x14ac:dyDescent="0.3">
      <c r="A30" s="251" t="s">
        <v>985</v>
      </c>
      <c r="B30" s="456">
        <v>2248</v>
      </c>
      <c r="C30" s="540">
        <v>1373</v>
      </c>
      <c r="D30" s="540">
        <v>1119</v>
      </c>
      <c r="E30" s="540">
        <v>1689</v>
      </c>
      <c r="F30" s="540">
        <v>932</v>
      </c>
      <c r="G30" s="514">
        <v>669</v>
      </c>
      <c r="H30" s="182">
        <v>465</v>
      </c>
      <c r="I30" s="182">
        <v>498</v>
      </c>
      <c r="J30" s="204">
        <v>538</v>
      </c>
      <c r="K30" s="514">
        <v>710</v>
      </c>
      <c r="L30" s="514">
        <v>1296</v>
      </c>
      <c r="M30" s="540">
        <v>1218</v>
      </c>
      <c r="N30" s="208">
        <v>1166</v>
      </c>
      <c r="O30" s="205">
        <v>1023</v>
      </c>
      <c r="P30" s="210">
        <v>897</v>
      </c>
      <c r="Q30" s="746">
        <f t="shared" ref="Q30:Q33" si="15">AVERAGE(B30:P30)</f>
        <v>1056.0666666666666</v>
      </c>
      <c r="R30" s="746">
        <f t="shared" ref="R30:R33" si="16">MAX(B30:P30)</f>
        <v>2248</v>
      </c>
      <c r="S30" s="746">
        <f t="shared" ref="S30:S33" si="17">AVERAGE(H30:M30)</f>
        <v>787.5</v>
      </c>
    </row>
    <row r="31" spans="1:21" ht="14" x14ac:dyDescent="0.3">
      <c r="A31" s="253" t="s">
        <v>986</v>
      </c>
      <c r="B31" s="182">
        <v>1012</v>
      </c>
      <c r="C31" s="540">
        <v>776</v>
      </c>
      <c r="D31" s="540">
        <v>713</v>
      </c>
      <c r="E31" s="540">
        <v>661</v>
      </c>
      <c r="F31" s="540">
        <v>515</v>
      </c>
      <c r="G31" s="514">
        <v>529</v>
      </c>
      <c r="H31" s="182">
        <v>595</v>
      </c>
      <c r="I31" s="182">
        <v>557</v>
      </c>
      <c r="J31" s="204">
        <v>529</v>
      </c>
      <c r="K31" s="208">
        <v>699</v>
      </c>
      <c r="L31" s="514">
        <v>503</v>
      </c>
      <c r="M31" s="540">
        <v>601</v>
      </c>
      <c r="N31" s="514">
        <v>400</v>
      </c>
      <c r="O31" s="514">
        <v>542</v>
      </c>
      <c r="P31" s="210">
        <v>538</v>
      </c>
      <c r="Q31" s="746">
        <f t="shared" si="15"/>
        <v>611.33333333333337</v>
      </c>
      <c r="R31" s="746">
        <f t="shared" si="16"/>
        <v>1012</v>
      </c>
      <c r="S31" s="746">
        <f t="shared" si="17"/>
        <v>580.66666666666663</v>
      </c>
    </row>
    <row r="32" spans="1:21" ht="14" x14ac:dyDescent="0.3">
      <c r="A32" s="253" t="s">
        <v>233</v>
      </c>
      <c r="B32" s="182"/>
      <c r="C32" s="14"/>
      <c r="D32" s="540">
        <v>794</v>
      </c>
      <c r="E32" s="540"/>
      <c r="F32" s="540">
        <v>617</v>
      </c>
      <c r="G32" s="514">
        <v>524</v>
      </c>
      <c r="H32" s="182">
        <v>661</v>
      </c>
      <c r="I32" s="182">
        <v>766</v>
      </c>
      <c r="J32" s="204">
        <v>799</v>
      </c>
      <c r="K32" s="208">
        <v>630</v>
      </c>
      <c r="L32" s="514">
        <v>583</v>
      </c>
      <c r="M32" s="540">
        <v>750</v>
      </c>
      <c r="N32" s="205">
        <v>486</v>
      </c>
      <c r="O32" s="205">
        <v>537</v>
      </c>
      <c r="P32" s="211">
        <v>523</v>
      </c>
      <c r="Q32" s="746">
        <f t="shared" si="15"/>
        <v>639.16666666666663</v>
      </c>
      <c r="R32" s="746">
        <f t="shared" si="16"/>
        <v>799</v>
      </c>
      <c r="S32" s="746">
        <f t="shared" si="17"/>
        <v>698.16666666666663</v>
      </c>
    </row>
    <row r="33" spans="1:19" ht="14" x14ac:dyDescent="0.3">
      <c r="A33" s="253" t="s">
        <v>234</v>
      </c>
      <c r="B33" s="268"/>
      <c r="C33" s="724"/>
      <c r="D33" s="724">
        <v>849</v>
      </c>
      <c r="E33" s="724"/>
      <c r="F33" s="724">
        <v>769</v>
      </c>
      <c r="G33" s="279">
        <v>610</v>
      </c>
      <c r="H33" s="268">
        <v>734</v>
      </c>
      <c r="I33" s="268">
        <v>650</v>
      </c>
      <c r="J33" s="271">
        <v>596</v>
      </c>
      <c r="K33" s="723">
        <v>496</v>
      </c>
      <c r="L33" s="723">
        <v>596</v>
      </c>
      <c r="M33" s="724">
        <v>557</v>
      </c>
      <c r="N33" s="272">
        <v>1005</v>
      </c>
      <c r="O33" s="272">
        <v>439</v>
      </c>
      <c r="P33" s="278">
        <v>160</v>
      </c>
      <c r="Q33" s="746">
        <f t="shared" si="15"/>
        <v>621.75</v>
      </c>
      <c r="R33" s="746">
        <f t="shared" si="16"/>
        <v>1005</v>
      </c>
      <c r="S33" s="746">
        <f t="shared" si="17"/>
        <v>604.83333333333337</v>
      </c>
    </row>
    <row r="34" spans="1:19" x14ac:dyDescent="0.3">
      <c r="Q34" s="32">
        <f>AVERAGE(Q32:Q33)</f>
        <v>630.45833333333326</v>
      </c>
      <c r="R34" s="32">
        <f t="shared" ref="R34:S34" si="18">AVERAGE(R32:R33)</f>
        <v>902</v>
      </c>
      <c r="S34" s="32">
        <f t="shared" si="18"/>
        <v>651.5</v>
      </c>
    </row>
  </sheetData>
  <mergeCells count="3">
    <mergeCell ref="B12:M12"/>
    <mergeCell ref="A1:P1"/>
    <mergeCell ref="A2:P2"/>
  </mergeCells>
  <phoneticPr fontId="0" type="noConversion"/>
  <pageMargins left="0.25" right="0.25" top="1" bottom="1" header="0.5" footer="0.5"/>
  <pageSetup scale="50" orientation="landscape" horizontalDpi="4294967294"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U31"/>
  <sheetViews>
    <sheetView zoomScale="75" zoomScaleNormal="75" workbookViewId="0">
      <selection activeCell="B17" sqref="B17:M17"/>
    </sheetView>
  </sheetViews>
  <sheetFormatPr defaultRowHeight="13" x14ac:dyDescent="0.3"/>
  <cols>
    <col min="1" max="1" width="24.54296875" style="1" bestFit="1" customWidth="1"/>
    <col min="2" max="2" width="12" bestFit="1" customWidth="1"/>
    <col min="3" max="3" width="12.08984375" bestFit="1" customWidth="1"/>
    <col min="4" max="5" width="12.36328125" bestFit="1" customWidth="1"/>
    <col min="6" max="6" width="12.08984375" bestFit="1" customWidth="1"/>
    <col min="7" max="7" width="12" bestFit="1" customWidth="1"/>
    <col min="8" max="8" width="10.36328125" bestFit="1" customWidth="1"/>
    <col min="9" max="9" width="12" bestFit="1" customWidth="1"/>
    <col min="10" max="10" width="11.54296875" bestFit="1" customWidth="1"/>
    <col min="11" max="11" width="12.36328125" bestFit="1" customWidth="1"/>
    <col min="12" max="12" width="11" bestFit="1" customWidth="1"/>
    <col min="13" max="13" width="12.36328125" bestFit="1" customWidth="1"/>
    <col min="14" max="14" width="12.36328125" customWidth="1"/>
    <col min="15" max="15" width="12.08984375" bestFit="1" customWidth="1"/>
    <col min="16" max="16" width="12" bestFit="1" customWidth="1"/>
    <col min="17" max="17" width="9.6328125" bestFit="1" customWidth="1"/>
    <col min="18" max="18" width="6.54296875" bestFit="1" customWidth="1"/>
    <col min="19" max="19" width="10.54296875" bestFit="1" customWidth="1"/>
    <col min="20" max="21" width="11.08984375" bestFit="1" customWidth="1"/>
    <col min="22" max="22" width="9.90625" bestFit="1" customWidth="1"/>
    <col min="23" max="23" width="10.36328125" bestFit="1" customWidth="1"/>
    <col min="24" max="24" width="10.90625" bestFit="1" customWidth="1"/>
    <col min="25" max="25" width="11.54296875" customWidth="1"/>
    <col min="26" max="26" width="10.36328125" customWidth="1"/>
    <col min="27" max="27" width="11.90625" customWidth="1"/>
    <col min="28" max="28" width="10.6328125" customWidth="1"/>
    <col min="29" max="29" width="11" customWidth="1"/>
    <col min="30" max="30" width="10.90625" bestFit="1" customWidth="1"/>
    <col min="31" max="31" width="10" bestFit="1" customWidth="1"/>
  </cols>
  <sheetData>
    <row r="1" spans="1:21" x14ac:dyDescent="0.3">
      <c r="A1" s="831" t="s">
        <v>3</v>
      </c>
      <c r="B1" s="831"/>
      <c r="C1" s="831"/>
      <c r="D1" s="831"/>
      <c r="E1" s="831"/>
      <c r="F1" s="831"/>
      <c r="G1" s="831"/>
      <c r="H1" s="831"/>
      <c r="I1" s="831"/>
      <c r="J1" s="831"/>
      <c r="K1" s="831"/>
      <c r="L1" s="831"/>
      <c r="M1" s="831"/>
      <c r="N1" s="831"/>
      <c r="O1" s="831"/>
      <c r="P1" s="831"/>
    </row>
    <row r="2" spans="1:21" x14ac:dyDescent="0.3">
      <c r="A2" s="831" t="s">
        <v>7</v>
      </c>
      <c r="B2" s="831"/>
      <c r="C2" s="831"/>
      <c r="D2" s="831"/>
      <c r="E2" s="831"/>
      <c r="F2" s="831"/>
      <c r="G2" s="831"/>
      <c r="H2" s="831"/>
      <c r="I2" s="831"/>
      <c r="J2" s="831"/>
      <c r="K2" s="831"/>
      <c r="L2" s="831"/>
      <c r="M2" s="831"/>
      <c r="N2" s="831"/>
      <c r="O2" s="831"/>
      <c r="P2" s="831"/>
    </row>
    <row r="5" spans="1:21" s="7" customFormat="1" ht="28" x14ac:dyDescent="0.3">
      <c r="A5" s="250" t="s">
        <v>2</v>
      </c>
      <c r="B5" s="337">
        <v>40567</v>
      </c>
      <c r="C5" s="337">
        <v>40595</v>
      </c>
      <c r="D5" s="337">
        <v>40627</v>
      </c>
      <c r="E5" s="337">
        <v>40658</v>
      </c>
      <c r="F5" s="337">
        <v>40686</v>
      </c>
      <c r="G5" s="337">
        <v>40721</v>
      </c>
      <c r="H5" s="338">
        <v>40743</v>
      </c>
      <c r="I5" s="338">
        <v>40749</v>
      </c>
      <c r="J5" s="338">
        <v>40763</v>
      </c>
      <c r="K5" s="337">
        <v>40777</v>
      </c>
      <c r="L5" s="337">
        <v>40798</v>
      </c>
      <c r="M5" s="339">
        <v>40812</v>
      </c>
      <c r="N5" s="339">
        <v>40840</v>
      </c>
      <c r="O5" s="339">
        <v>40875</v>
      </c>
      <c r="P5" s="338">
        <v>40893</v>
      </c>
      <c r="Q5" s="232" t="s">
        <v>103</v>
      </c>
      <c r="R5" s="232" t="s">
        <v>92</v>
      </c>
      <c r="S5" s="232" t="s">
        <v>121</v>
      </c>
      <c r="T5" s="232" t="s">
        <v>137</v>
      </c>
      <c r="U5" s="232" t="s">
        <v>138</v>
      </c>
    </row>
    <row r="6" spans="1:21" s="3" customFormat="1" ht="14" x14ac:dyDescent="0.3">
      <c r="A6" s="257" t="s">
        <v>28</v>
      </c>
      <c r="B6" s="738">
        <v>4</v>
      </c>
      <c r="C6" s="738">
        <v>15</v>
      </c>
      <c r="D6" s="738">
        <v>4</v>
      </c>
      <c r="E6" s="738">
        <v>6.4</v>
      </c>
      <c r="F6" s="738">
        <v>6</v>
      </c>
      <c r="G6" s="208">
        <v>27.6</v>
      </c>
      <c r="H6" s="737">
        <v>16.399999999999999</v>
      </c>
      <c r="I6" s="737">
        <v>21.6</v>
      </c>
      <c r="J6" s="382">
        <v>155.4</v>
      </c>
      <c r="K6" s="183">
        <v>21.6</v>
      </c>
      <c r="L6" s="208">
        <v>20.2</v>
      </c>
      <c r="M6" s="738">
        <v>30</v>
      </c>
      <c r="N6" s="741">
        <v>12.6</v>
      </c>
      <c r="O6" s="741">
        <v>4</v>
      </c>
      <c r="P6" s="742">
        <v>4</v>
      </c>
      <c r="Q6" s="215">
        <f>AVERAGE(B6:P6)</f>
        <v>23.253333333333334</v>
      </c>
      <c r="R6" s="215">
        <f>MAX(B6:P6)</f>
        <v>155.4</v>
      </c>
      <c r="S6" s="215">
        <f>AVERAGE(H6:M6)</f>
        <v>44.199999999999996</v>
      </c>
      <c r="T6" s="215">
        <f>AVERAGE(B9:P10)</f>
        <v>8.3266666666666662</v>
      </c>
      <c r="U6" s="215">
        <f>AVERAGE(H9:M10)</f>
        <v>6.2166666666666659</v>
      </c>
    </row>
    <row r="7" spans="1:21" s="3" customFormat="1" ht="14" x14ac:dyDescent="0.3">
      <c r="A7" s="251" t="s">
        <v>29</v>
      </c>
      <c r="B7" s="183">
        <v>10.4</v>
      </c>
      <c r="C7" s="540">
        <v>6.8</v>
      </c>
      <c r="D7" s="540">
        <v>8.1999999999999993</v>
      </c>
      <c r="E7" s="540">
        <v>6</v>
      </c>
      <c r="F7" s="540">
        <v>23.4</v>
      </c>
      <c r="G7" s="514">
        <v>10.6</v>
      </c>
      <c r="H7" s="182">
        <v>10.8</v>
      </c>
      <c r="I7" s="182">
        <v>36</v>
      </c>
      <c r="J7" s="207">
        <v>7.2</v>
      </c>
      <c r="K7" s="208">
        <v>8.8000000000000007</v>
      </c>
      <c r="L7" s="514">
        <v>26.4</v>
      </c>
      <c r="M7" s="540">
        <v>4</v>
      </c>
      <c r="N7" s="208">
        <v>6.6</v>
      </c>
      <c r="O7" s="205">
        <v>7.8</v>
      </c>
      <c r="P7" s="210">
        <v>4</v>
      </c>
      <c r="Q7" s="215">
        <f>AVERAGE(B7:P7)</f>
        <v>11.8</v>
      </c>
      <c r="R7" s="215">
        <f>MAX(B7:P7)</f>
        <v>36</v>
      </c>
      <c r="S7" s="215">
        <f>AVERAGE(H7:M7)</f>
        <v>15.533333333333331</v>
      </c>
      <c r="T7" s="147"/>
      <c r="U7" s="147"/>
    </row>
    <row r="8" spans="1:21" s="3" customFormat="1" ht="14" x14ac:dyDescent="0.3">
      <c r="A8" s="253" t="s">
        <v>97</v>
      </c>
      <c r="B8" s="540">
        <v>4.4000000000000004</v>
      </c>
      <c r="C8" s="540">
        <v>9.1999999999999993</v>
      </c>
      <c r="D8" s="540">
        <v>13.8</v>
      </c>
      <c r="E8" s="540">
        <v>7.2</v>
      </c>
      <c r="F8" s="540">
        <v>8.6</v>
      </c>
      <c r="G8" s="540">
        <v>26.2</v>
      </c>
      <c r="H8" s="209">
        <v>5</v>
      </c>
      <c r="I8" s="85">
        <v>10.6</v>
      </c>
      <c r="J8" s="85">
        <v>4.4000000000000004</v>
      </c>
      <c r="K8" s="208">
        <v>11.6</v>
      </c>
      <c r="L8" s="514">
        <v>14.2</v>
      </c>
      <c r="M8" s="540">
        <v>6.6</v>
      </c>
      <c r="N8" s="514">
        <v>16.2</v>
      </c>
      <c r="O8" s="514">
        <v>22.2</v>
      </c>
      <c r="P8" s="211">
        <v>4</v>
      </c>
      <c r="Q8" s="215">
        <f>AVERAGE(B8:P8)</f>
        <v>10.946666666666665</v>
      </c>
      <c r="R8" s="215">
        <f>MAX(B8:P8)</f>
        <v>26.2</v>
      </c>
      <c r="S8" s="215">
        <f>AVERAGE(H8:M8)</f>
        <v>8.7333333333333325</v>
      </c>
      <c r="T8" s="147"/>
      <c r="U8" s="147"/>
    </row>
    <row r="9" spans="1:21" s="3" customFormat="1" ht="14" x14ac:dyDescent="0.3">
      <c r="A9" s="253" t="s">
        <v>95</v>
      </c>
      <c r="B9" s="381">
        <v>0</v>
      </c>
      <c r="C9" s="85">
        <v>0</v>
      </c>
      <c r="D9" s="85">
        <v>6.2</v>
      </c>
      <c r="E9" s="85">
        <v>7.6</v>
      </c>
      <c r="F9" s="85">
        <v>6</v>
      </c>
      <c r="G9" s="13">
        <v>11.6</v>
      </c>
      <c r="H9" s="207">
        <v>4</v>
      </c>
      <c r="I9" s="207">
        <v>4</v>
      </c>
      <c r="J9" s="207">
        <v>4.4000000000000004</v>
      </c>
      <c r="K9" s="382">
        <v>4.4000000000000004</v>
      </c>
      <c r="L9" s="207">
        <v>11.2</v>
      </c>
      <c r="M9" s="540">
        <v>6.4</v>
      </c>
      <c r="N9" s="211">
        <v>13</v>
      </c>
      <c r="O9" s="211">
        <v>9.8000000000000007</v>
      </c>
      <c r="P9" s="211">
        <v>4</v>
      </c>
      <c r="Q9" s="215">
        <f>AVERAGE(B9:P9)</f>
        <v>6.1733333333333329</v>
      </c>
      <c r="R9" s="215">
        <f>MAX(B9:P9)</f>
        <v>13</v>
      </c>
      <c r="S9" s="215">
        <f>AVERAGE(H9:M9)</f>
        <v>5.7333333333333334</v>
      </c>
      <c r="T9" s="147"/>
      <c r="U9" s="147"/>
    </row>
    <row r="10" spans="1:21" s="3" customFormat="1" ht="14" x14ac:dyDescent="0.3">
      <c r="A10" s="253" t="s">
        <v>96</v>
      </c>
      <c r="B10" s="183">
        <v>0</v>
      </c>
      <c r="C10" s="738">
        <v>33.799999999999997</v>
      </c>
      <c r="D10" s="738">
        <v>6.8</v>
      </c>
      <c r="E10" s="738">
        <v>8.6</v>
      </c>
      <c r="F10" s="738">
        <v>6.4</v>
      </c>
      <c r="G10" s="208">
        <v>8.6</v>
      </c>
      <c r="H10" s="737">
        <v>5</v>
      </c>
      <c r="I10" s="737">
        <v>4.8</v>
      </c>
      <c r="J10" s="749">
        <v>4</v>
      </c>
      <c r="K10" s="208">
        <v>6.8</v>
      </c>
      <c r="L10" s="208">
        <v>14.2</v>
      </c>
      <c r="M10" s="738">
        <v>5.4</v>
      </c>
      <c r="N10" s="208">
        <v>39.6</v>
      </c>
      <c r="O10" s="208">
        <v>9.1999999999999993</v>
      </c>
      <c r="P10" s="742">
        <v>4</v>
      </c>
      <c r="Q10" s="215">
        <f>AVERAGE(B10:P10)</f>
        <v>10.479999999999999</v>
      </c>
      <c r="R10" s="215">
        <f>MAX(B10:P10)</f>
        <v>39.6</v>
      </c>
      <c r="S10" s="215">
        <f>AVERAGE(H10:M10)</f>
        <v>6.6999999999999993</v>
      </c>
      <c r="T10" s="147"/>
      <c r="U10" s="147"/>
    </row>
    <row r="12" spans="1:21" x14ac:dyDescent="0.3">
      <c r="A12" s="1" t="s">
        <v>10</v>
      </c>
      <c r="B12" s="76"/>
      <c r="C12" s="76"/>
      <c r="D12" s="76"/>
      <c r="E12" s="76"/>
    </row>
    <row r="13" spans="1:21" x14ac:dyDescent="0.3">
      <c r="B13" s="76"/>
      <c r="C13" s="76"/>
      <c r="D13" s="76"/>
      <c r="E13" s="76"/>
    </row>
    <row r="15" spans="1:21" x14ac:dyDescent="0.3">
      <c r="A15" s="72"/>
      <c r="B15" s="72" t="s">
        <v>78</v>
      </c>
      <c r="C15" s="72" t="s">
        <v>79</v>
      </c>
      <c r="D15" s="72" t="s">
        <v>80</v>
      </c>
      <c r="E15" s="72" t="s">
        <v>81</v>
      </c>
      <c r="F15" s="72" t="s">
        <v>82</v>
      </c>
      <c r="G15" s="72" t="s">
        <v>83</v>
      </c>
      <c r="H15" s="72" t="s">
        <v>84</v>
      </c>
      <c r="I15" s="72" t="s">
        <v>85</v>
      </c>
      <c r="J15" s="72" t="s">
        <v>86</v>
      </c>
      <c r="K15" s="72" t="s">
        <v>87</v>
      </c>
      <c r="L15" s="72" t="s">
        <v>88</v>
      </c>
      <c r="M15" s="72" t="s">
        <v>89</v>
      </c>
      <c r="N15" s="124"/>
    </row>
    <row r="16" spans="1:21" ht="15.5" x14ac:dyDescent="0.3">
      <c r="A16" s="421" t="s">
        <v>28</v>
      </c>
      <c r="B16" s="93">
        <f t="shared" ref="B16:G16" si="0">B6</f>
        <v>4</v>
      </c>
      <c r="C16" s="93">
        <f t="shared" si="0"/>
        <v>15</v>
      </c>
      <c r="D16" s="93">
        <f t="shared" si="0"/>
        <v>4</v>
      </c>
      <c r="E16" s="93">
        <f t="shared" si="0"/>
        <v>6.4</v>
      </c>
      <c r="F16" s="93">
        <f t="shared" si="0"/>
        <v>6</v>
      </c>
      <c r="G16" s="93">
        <f t="shared" si="0"/>
        <v>27.6</v>
      </c>
      <c r="H16" s="93">
        <f>AVERAGE(H6:I6)</f>
        <v>19</v>
      </c>
      <c r="I16" s="93">
        <f>AVERAGE(J6:K6)</f>
        <v>88.5</v>
      </c>
      <c r="J16" s="93">
        <f>AVERAGE(L6:M6)</f>
        <v>25.1</v>
      </c>
      <c r="K16" s="93">
        <f>N6</f>
        <v>12.6</v>
      </c>
      <c r="L16" s="93">
        <f t="shared" ref="L16:M20" si="1">O6</f>
        <v>4</v>
      </c>
      <c r="M16" s="93">
        <f t="shared" si="1"/>
        <v>4</v>
      </c>
      <c r="N16" s="2"/>
    </row>
    <row r="17" spans="1:14" ht="15.5" x14ac:dyDescent="0.3">
      <c r="A17" s="421" t="s">
        <v>29</v>
      </c>
      <c r="B17" s="93">
        <f t="shared" ref="B17:G20" si="2">B7</f>
        <v>10.4</v>
      </c>
      <c r="C17" s="93">
        <f t="shared" si="2"/>
        <v>6.8</v>
      </c>
      <c r="D17" s="93">
        <f t="shared" si="2"/>
        <v>8.1999999999999993</v>
      </c>
      <c r="E17" s="93">
        <f t="shared" si="2"/>
        <v>6</v>
      </c>
      <c r="F17" s="93">
        <f t="shared" si="2"/>
        <v>23.4</v>
      </c>
      <c r="G17" s="93">
        <f t="shared" si="2"/>
        <v>10.6</v>
      </c>
      <c r="H17" s="93">
        <f>AVERAGE(H7:I7)</f>
        <v>23.4</v>
      </c>
      <c r="I17" s="93">
        <f>AVERAGE(J7:K7)</f>
        <v>8</v>
      </c>
      <c r="J17" s="93">
        <f>AVERAGE(L7:M7)</f>
        <v>15.2</v>
      </c>
      <c r="K17" s="93">
        <f>N7</f>
        <v>6.6</v>
      </c>
      <c r="L17" s="93">
        <f t="shared" si="1"/>
        <v>7.8</v>
      </c>
      <c r="M17" s="93">
        <f t="shared" si="1"/>
        <v>4</v>
      </c>
      <c r="N17" s="2"/>
    </row>
    <row r="18" spans="1:14" ht="15.5" x14ac:dyDescent="0.3">
      <c r="A18" s="422" t="s">
        <v>97</v>
      </c>
      <c r="B18" s="93">
        <f t="shared" si="2"/>
        <v>4.4000000000000004</v>
      </c>
      <c r="C18" s="93">
        <f t="shared" si="2"/>
        <v>9.1999999999999993</v>
      </c>
      <c r="D18" s="93">
        <f t="shared" si="2"/>
        <v>13.8</v>
      </c>
      <c r="E18" s="93">
        <f t="shared" si="2"/>
        <v>7.2</v>
      </c>
      <c r="F18" s="93">
        <f t="shared" si="2"/>
        <v>8.6</v>
      </c>
      <c r="G18" s="93">
        <f t="shared" si="2"/>
        <v>26.2</v>
      </c>
      <c r="H18" s="93">
        <f>AVERAGE(H8:I8)</f>
        <v>7.8</v>
      </c>
      <c r="I18" s="93">
        <f>AVERAGE(J8:K8)</f>
        <v>8</v>
      </c>
      <c r="J18" s="93">
        <f>AVERAGE(L8:M8)</f>
        <v>10.399999999999999</v>
      </c>
      <c r="K18" s="93">
        <f>N8</f>
        <v>16.2</v>
      </c>
      <c r="L18" s="93">
        <f t="shared" si="1"/>
        <v>22.2</v>
      </c>
      <c r="M18" s="93">
        <f t="shared" si="1"/>
        <v>4</v>
      </c>
      <c r="N18" s="2"/>
    </row>
    <row r="19" spans="1:14" ht="15.5" x14ac:dyDescent="0.3">
      <c r="A19" s="422" t="s">
        <v>95</v>
      </c>
      <c r="B19" s="93">
        <f t="shared" si="2"/>
        <v>0</v>
      </c>
      <c r="C19" s="93">
        <f t="shared" si="2"/>
        <v>0</v>
      </c>
      <c r="D19" s="93">
        <f t="shared" si="2"/>
        <v>6.2</v>
      </c>
      <c r="E19" s="93">
        <f t="shared" si="2"/>
        <v>7.6</v>
      </c>
      <c r="F19" s="93">
        <f t="shared" si="2"/>
        <v>6</v>
      </c>
      <c r="G19" s="93">
        <f t="shared" si="2"/>
        <v>11.6</v>
      </c>
      <c r="H19" s="93">
        <f>AVERAGE(H9:I9)</f>
        <v>4</v>
      </c>
      <c r="I19" s="93">
        <f>AVERAGE(J9:K9)</f>
        <v>4.4000000000000004</v>
      </c>
      <c r="J19" s="93">
        <f>AVERAGE(L9:M9)</f>
        <v>8.8000000000000007</v>
      </c>
      <c r="K19" s="93">
        <f>N9</f>
        <v>13</v>
      </c>
      <c r="L19" s="93">
        <f t="shared" si="1"/>
        <v>9.8000000000000007</v>
      </c>
      <c r="M19" s="93">
        <f t="shared" si="1"/>
        <v>4</v>
      </c>
      <c r="N19" s="2"/>
    </row>
    <row r="20" spans="1:14" ht="15.5" x14ac:dyDescent="0.3">
      <c r="A20" s="422" t="s">
        <v>96</v>
      </c>
      <c r="B20" s="93">
        <f t="shared" si="2"/>
        <v>0</v>
      </c>
      <c r="C20" s="93">
        <f t="shared" si="2"/>
        <v>33.799999999999997</v>
      </c>
      <c r="D20" s="93">
        <f t="shared" si="2"/>
        <v>6.8</v>
      </c>
      <c r="E20" s="93">
        <f t="shared" si="2"/>
        <v>8.6</v>
      </c>
      <c r="F20" s="93">
        <f t="shared" si="2"/>
        <v>6.4</v>
      </c>
      <c r="G20" s="93">
        <f t="shared" si="2"/>
        <v>8.6</v>
      </c>
      <c r="H20" s="93">
        <f>AVERAGE(H10:I10)</f>
        <v>4.9000000000000004</v>
      </c>
      <c r="I20" s="93">
        <f>AVERAGE(J10:K10)</f>
        <v>5.4</v>
      </c>
      <c r="J20" s="93">
        <f>AVERAGE(L10:M10)</f>
        <v>9.8000000000000007</v>
      </c>
      <c r="K20" s="93">
        <f>N10</f>
        <v>39.6</v>
      </c>
      <c r="L20" s="93">
        <f t="shared" si="1"/>
        <v>9.1999999999999993</v>
      </c>
      <c r="M20" s="93">
        <f t="shared" si="1"/>
        <v>4</v>
      </c>
      <c r="N20" s="2"/>
    </row>
    <row r="31" spans="1:14" x14ac:dyDescent="0.3">
      <c r="G31" s="86"/>
    </row>
  </sheetData>
  <mergeCells count="2">
    <mergeCell ref="A1:P1"/>
    <mergeCell ref="A2:P2"/>
  </mergeCells>
  <phoneticPr fontId="0" type="noConversion"/>
  <pageMargins left="0.75" right="0.75" top="1" bottom="1" header="0.5" footer="0.5"/>
  <pageSetup scale="51" orientation="landscape" horizontalDpi="4294967294"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AA22"/>
  <sheetViews>
    <sheetView zoomScale="75" zoomScaleNormal="75" workbookViewId="0">
      <selection activeCell="S5" sqref="S5"/>
    </sheetView>
  </sheetViews>
  <sheetFormatPr defaultRowHeight="13" x14ac:dyDescent="0.3"/>
  <cols>
    <col min="1" max="1" width="18.453125" style="1" bestFit="1" customWidth="1"/>
    <col min="2" max="2" width="12" bestFit="1" customWidth="1"/>
    <col min="3" max="3" width="11.6328125" bestFit="1" customWidth="1"/>
    <col min="4" max="4" width="12" bestFit="1" customWidth="1"/>
    <col min="5" max="5" width="12.36328125" bestFit="1" customWidth="1"/>
    <col min="6" max="6" width="12.54296875" bestFit="1" customWidth="1"/>
    <col min="7" max="7" width="12.08984375" bestFit="1" customWidth="1"/>
    <col min="8" max="8" width="12" bestFit="1" customWidth="1"/>
    <col min="9" max="9" width="11" bestFit="1" customWidth="1"/>
    <col min="10" max="10" width="11.453125" bestFit="1" customWidth="1"/>
    <col min="11" max="11" width="12" bestFit="1" customWidth="1"/>
    <col min="12" max="12" width="12.36328125" bestFit="1" customWidth="1"/>
    <col min="13" max="13" width="12.36328125" customWidth="1"/>
    <col min="14" max="16" width="12.08984375" bestFit="1" customWidth="1"/>
    <col min="17" max="17" width="9.6328125" bestFit="1" customWidth="1"/>
    <col min="18" max="18" width="11.54296875" bestFit="1" customWidth="1"/>
  </cols>
  <sheetData>
    <row r="1" spans="1:27" ht="15.5" x14ac:dyDescent="0.35">
      <c r="A1" s="829" t="s">
        <v>0</v>
      </c>
      <c r="B1" s="829"/>
      <c r="C1" s="829"/>
      <c r="D1" s="829"/>
      <c r="E1" s="829"/>
      <c r="F1" s="829"/>
      <c r="G1" s="829"/>
      <c r="H1" s="829"/>
      <c r="I1" s="829"/>
      <c r="J1" s="829"/>
      <c r="K1" s="829"/>
      <c r="L1" s="829"/>
      <c r="M1" s="829"/>
      <c r="N1" s="829"/>
      <c r="O1" s="829"/>
      <c r="P1" s="829"/>
    </row>
    <row r="3" spans="1:27" x14ac:dyDescent="0.3">
      <c r="A3" s="258" t="s">
        <v>1</v>
      </c>
    </row>
    <row r="4" spans="1:27" s="7" customFormat="1" ht="26" x14ac:dyDescent="0.3">
      <c r="A4" s="259" t="s">
        <v>2</v>
      </c>
      <c r="B4" s="337">
        <v>40567</v>
      </c>
      <c r="C4" s="337">
        <v>40595</v>
      </c>
      <c r="D4" s="337">
        <v>40627</v>
      </c>
      <c r="E4" s="337">
        <v>40658</v>
      </c>
      <c r="F4" s="337">
        <v>40686</v>
      </c>
      <c r="G4" s="337">
        <v>40721</v>
      </c>
      <c r="H4" s="338">
        <v>40743</v>
      </c>
      <c r="I4" s="338">
        <v>40749</v>
      </c>
      <c r="J4" s="338">
        <v>40763</v>
      </c>
      <c r="K4" s="337">
        <v>40777</v>
      </c>
      <c r="L4" s="337">
        <v>40798</v>
      </c>
      <c r="M4" s="339">
        <v>40812</v>
      </c>
      <c r="N4" s="339">
        <v>40840</v>
      </c>
      <c r="O4" s="339">
        <v>40875</v>
      </c>
      <c r="P4" s="338">
        <v>40893</v>
      </c>
      <c r="Q4" s="262" t="s">
        <v>26</v>
      </c>
      <c r="R4" s="263" t="s">
        <v>121</v>
      </c>
      <c r="S4" s="259" t="s">
        <v>92</v>
      </c>
    </row>
    <row r="5" spans="1:27" ht="15.5" x14ac:dyDescent="0.35">
      <c r="A5" s="189" t="s">
        <v>33</v>
      </c>
      <c r="B5" s="540">
        <v>7</v>
      </c>
      <c r="C5" s="540">
        <v>2.75</v>
      </c>
      <c r="D5" s="540">
        <v>12.3</v>
      </c>
      <c r="E5" s="540">
        <v>10.6</v>
      </c>
      <c r="F5" s="540">
        <v>8.1</v>
      </c>
      <c r="G5" s="514">
        <v>8.6</v>
      </c>
      <c r="H5" s="182">
        <v>5.2</v>
      </c>
      <c r="I5" s="182">
        <v>5.8</v>
      </c>
      <c r="J5" s="207">
        <v>5.8</v>
      </c>
      <c r="K5" s="208">
        <v>16.399999999999999</v>
      </c>
      <c r="L5" s="514">
        <v>14.3</v>
      </c>
      <c r="M5" s="540">
        <v>17.399999999999999</v>
      </c>
      <c r="N5" s="205">
        <v>15.3</v>
      </c>
      <c r="O5" s="205">
        <v>4.8</v>
      </c>
      <c r="P5" s="211">
        <v>4.5999999999999996</v>
      </c>
      <c r="Q5" s="383">
        <f t="shared" ref="Q5" si="0">AVERAGE(B5:P5)</f>
        <v>9.2633333333333336</v>
      </c>
      <c r="R5" s="221">
        <f>AVERAGE(H5:M5)</f>
        <v>10.816666666666668</v>
      </c>
      <c r="S5" s="221">
        <f>MAX(B5:P5)</f>
        <v>17.399999999999999</v>
      </c>
    </row>
    <row r="7" spans="1:27" x14ac:dyDescent="0.3">
      <c r="A7" s="258" t="s">
        <v>8</v>
      </c>
    </row>
    <row r="8" spans="1:27" s="7" customFormat="1" ht="26" x14ac:dyDescent="0.3">
      <c r="A8" s="259" t="s">
        <v>2</v>
      </c>
      <c r="B8" s="337">
        <v>40567</v>
      </c>
      <c r="C8" s="337">
        <v>40595</v>
      </c>
      <c r="D8" s="337">
        <v>40627</v>
      </c>
      <c r="E8" s="337">
        <v>40658</v>
      </c>
      <c r="F8" s="337">
        <v>40686</v>
      </c>
      <c r="G8" s="337">
        <v>40721</v>
      </c>
      <c r="H8" s="338">
        <v>40743</v>
      </c>
      <c r="I8" s="338">
        <v>40749</v>
      </c>
      <c r="J8" s="338">
        <v>40763</v>
      </c>
      <c r="K8" s="337">
        <v>40777</v>
      </c>
      <c r="L8" s="337">
        <v>40798</v>
      </c>
      <c r="M8" s="339">
        <v>40812</v>
      </c>
      <c r="N8" s="339">
        <v>40840</v>
      </c>
      <c r="O8" s="339">
        <v>40875</v>
      </c>
      <c r="P8" s="338">
        <v>40893</v>
      </c>
      <c r="Q8" s="259" t="s">
        <v>26</v>
      </c>
      <c r="R8" s="261" t="s">
        <v>121</v>
      </c>
    </row>
    <row r="9" spans="1:27" s="3" customFormat="1" ht="14" x14ac:dyDescent="0.3">
      <c r="A9" s="212" t="s">
        <v>134</v>
      </c>
      <c r="B9" s="751">
        <v>2.65</v>
      </c>
      <c r="C9" s="750">
        <v>3</v>
      </c>
      <c r="D9" s="751">
        <v>1.1200000000000001</v>
      </c>
      <c r="E9" s="751">
        <v>1.1000000000000001</v>
      </c>
      <c r="F9" s="751">
        <v>2.2999999999999998</v>
      </c>
      <c r="G9" s="751">
        <v>2.2999999999999998</v>
      </c>
      <c r="H9" s="751">
        <v>2.2999999999999998</v>
      </c>
      <c r="I9" s="751">
        <v>2.38</v>
      </c>
      <c r="J9" s="751">
        <v>3.1</v>
      </c>
      <c r="K9" s="751">
        <v>2</v>
      </c>
      <c r="L9" s="751">
        <v>1.75</v>
      </c>
      <c r="M9" s="751">
        <v>1.3</v>
      </c>
      <c r="N9" s="751">
        <v>2.25</v>
      </c>
      <c r="O9" s="751">
        <v>1.22</v>
      </c>
      <c r="P9" s="751">
        <v>4.7</v>
      </c>
      <c r="Q9" s="40">
        <f>AVERAGE(B9:P9)</f>
        <v>2.2313333333333336</v>
      </c>
      <c r="R9" s="40">
        <f>AVERAGE(H9:N9)</f>
        <v>2.1542857142857144</v>
      </c>
    </row>
    <row r="10" spans="1:27" x14ac:dyDescent="0.3">
      <c r="A10" s="189" t="s">
        <v>135</v>
      </c>
      <c r="B10" s="73">
        <f>B9*3.28</f>
        <v>8.6919999999999984</v>
      </c>
      <c r="C10" s="73">
        <f t="shared" ref="C10:P10" si="1">C9*3.28</f>
        <v>9.84</v>
      </c>
      <c r="D10" s="73">
        <f t="shared" si="1"/>
        <v>3.6736</v>
      </c>
      <c r="E10" s="73">
        <f t="shared" si="1"/>
        <v>3.6080000000000001</v>
      </c>
      <c r="F10" s="73">
        <f t="shared" si="1"/>
        <v>7.5439999999999987</v>
      </c>
      <c r="G10" s="73">
        <f t="shared" si="1"/>
        <v>7.5439999999999987</v>
      </c>
      <c r="H10" s="73">
        <f t="shared" si="1"/>
        <v>7.5439999999999987</v>
      </c>
      <c r="I10" s="73">
        <f t="shared" si="1"/>
        <v>7.8063999999999991</v>
      </c>
      <c r="J10" s="73">
        <f t="shared" si="1"/>
        <v>10.167999999999999</v>
      </c>
      <c r="K10" s="73">
        <f t="shared" si="1"/>
        <v>6.56</v>
      </c>
      <c r="L10" s="73">
        <f t="shared" si="1"/>
        <v>5.7399999999999993</v>
      </c>
      <c r="M10" s="73">
        <f t="shared" si="1"/>
        <v>4.2640000000000002</v>
      </c>
      <c r="N10" s="73">
        <f t="shared" si="1"/>
        <v>7.38</v>
      </c>
      <c r="O10" s="73">
        <f t="shared" si="1"/>
        <v>4.0015999999999998</v>
      </c>
      <c r="P10" s="73">
        <f t="shared" si="1"/>
        <v>15.416</v>
      </c>
      <c r="Q10" s="40">
        <f>AVERAGE(B10:P10)</f>
        <v>7.3187733333333309</v>
      </c>
      <c r="R10" s="40">
        <f>AVERAGE(H10:N10)</f>
        <v>7.0660571428571428</v>
      </c>
    </row>
    <row r="11" spans="1:27" x14ac:dyDescent="0.3">
      <c r="B11" s="838"/>
      <c r="C11" s="838"/>
      <c r="D11" s="838"/>
      <c r="E11" s="838"/>
      <c r="F11" s="838"/>
      <c r="G11" s="838"/>
    </row>
    <row r="13" spans="1:27" x14ac:dyDescent="0.3">
      <c r="A13" s="189"/>
      <c r="B13" s="260" t="s">
        <v>78</v>
      </c>
      <c r="C13" s="260" t="s">
        <v>79</v>
      </c>
      <c r="D13" s="260" t="s">
        <v>80</v>
      </c>
      <c r="E13" s="260" t="s">
        <v>81</v>
      </c>
      <c r="F13" s="260" t="s">
        <v>82</v>
      </c>
      <c r="G13" s="260" t="s">
        <v>83</v>
      </c>
      <c r="H13" s="260" t="s">
        <v>84</v>
      </c>
      <c r="I13" s="260" t="s">
        <v>85</v>
      </c>
      <c r="J13" s="260" t="s">
        <v>86</v>
      </c>
      <c r="K13" s="260" t="s">
        <v>87</v>
      </c>
      <c r="L13" s="260" t="s">
        <v>88</v>
      </c>
      <c r="M13" s="260" t="s">
        <v>89</v>
      </c>
    </row>
    <row r="14" spans="1:27" x14ac:dyDescent="0.3">
      <c r="A14" s="189" t="s">
        <v>133</v>
      </c>
      <c r="B14" s="121">
        <f t="shared" ref="B14:G14" si="2">B5</f>
        <v>7</v>
      </c>
      <c r="C14" s="121">
        <f t="shared" si="2"/>
        <v>2.75</v>
      </c>
      <c r="D14" s="121">
        <f t="shared" si="2"/>
        <v>12.3</v>
      </c>
      <c r="E14" s="121">
        <f t="shared" si="2"/>
        <v>10.6</v>
      </c>
      <c r="F14" s="121">
        <f t="shared" si="2"/>
        <v>8.1</v>
      </c>
      <c r="G14" s="121">
        <f t="shared" si="2"/>
        <v>8.6</v>
      </c>
      <c r="H14" s="73">
        <f>AVERAGE(H5:I5)</f>
        <v>5.5</v>
      </c>
      <c r="I14" s="73">
        <f>AVERAGE(J5:K5)</f>
        <v>11.1</v>
      </c>
      <c r="J14" s="73">
        <f>AVERAGE(L5:M5)</f>
        <v>15.85</v>
      </c>
      <c r="K14" s="121">
        <f>N5</f>
        <v>15.3</v>
      </c>
      <c r="L14" s="121">
        <f>O5</f>
        <v>4.8</v>
      </c>
      <c r="M14" s="121">
        <f>P5</f>
        <v>4.5999999999999996</v>
      </c>
      <c r="Q14" s="88"/>
      <c r="R14" s="88"/>
      <c r="S14" s="88"/>
      <c r="T14" s="88"/>
      <c r="U14" s="88"/>
      <c r="V14" s="88"/>
      <c r="W14" s="88"/>
      <c r="X14" s="88"/>
      <c r="Y14" s="88"/>
      <c r="Z14" s="88"/>
      <c r="AA14" s="88"/>
    </row>
    <row r="15" spans="1:27" x14ac:dyDescent="0.3">
      <c r="A15" s="189" t="s">
        <v>136</v>
      </c>
      <c r="B15" s="73">
        <f t="shared" ref="B15:G15" si="3">B10</f>
        <v>8.6919999999999984</v>
      </c>
      <c r="C15" s="73">
        <f t="shared" si="3"/>
        <v>9.84</v>
      </c>
      <c r="D15" s="73">
        <f t="shared" si="3"/>
        <v>3.6736</v>
      </c>
      <c r="E15" s="73">
        <f t="shared" si="3"/>
        <v>3.6080000000000001</v>
      </c>
      <c r="F15" s="73">
        <f t="shared" si="3"/>
        <v>7.5439999999999987</v>
      </c>
      <c r="G15" s="73">
        <f t="shared" si="3"/>
        <v>7.5439999999999987</v>
      </c>
      <c r="H15" s="73">
        <f>AVERAGE(H10:I10)</f>
        <v>7.6751999999999985</v>
      </c>
      <c r="I15" s="73">
        <f>AVERAGE(J10:K10)</f>
        <v>8.363999999999999</v>
      </c>
      <c r="J15" s="73">
        <f>AVERAGE(L10:M10)</f>
        <v>5.0019999999999998</v>
      </c>
      <c r="K15" s="73">
        <f>N10</f>
        <v>7.38</v>
      </c>
      <c r="L15" s="73">
        <f>O10</f>
        <v>4.0015999999999998</v>
      </c>
      <c r="M15" s="73">
        <f>P10</f>
        <v>15.416</v>
      </c>
      <c r="Q15" s="3"/>
      <c r="R15" s="3"/>
      <c r="S15" s="3"/>
      <c r="T15" s="3"/>
      <c r="U15" s="3"/>
      <c r="V15" s="3"/>
      <c r="W15" s="3"/>
      <c r="X15" s="3"/>
      <c r="Y15" s="3"/>
      <c r="Z15" s="3"/>
      <c r="AA15" s="3"/>
    </row>
    <row r="16" spans="1:27" x14ac:dyDescent="0.3">
      <c r="Q16" s="3"/>
      <c r="R16" s="3"/>
      <c r="S16" s="3"/>
      <c r="T16" s="3"/>
      <c r="U16" s="3"/>
      <c r="V16" s="3"/>
      <c r="W16" s="3"/>
      <c r="X16" s="3"/>
      <c r="Y16" s="3"/>
      <c r="Z16" s="3"/>
      <c r="AA16" s="3"/>
    </row>
    <row r="17" spans="17:27" x14ac:dyDescent="0.3">
      <c r="Q17" s="3"/>
      <c r="R17" s="3"/>
      <c r="S17" s="3"/>
      <c r="T17" s="3"/>
      <c r="U17" s="3"/>
      <c r="V17" s="3"/>
      <c r="W17" s="3"/>
      <c r="X17" s="3"/>
      <c r="Y17" s="3"/>
      <c r="Z17" s="3"/>
      <c r="AA17" s="3"/>
    </row>
    <row r="18" spans="17:27" x14ac:dyDescent="0.3">
      <c r="Q18" s="3"/>
      <c r="R18" s="3"/>
      <c r="S18" s="3"/>
      <c r="T18" s="3"/>
      <c r="U18" s="3"/>
      <c r="V18" s="3"/>
      <c r="W18" s="3"/>
      <c r="X18" s="3"/>
      <c r="Y18" s="3"/>
      <c r="Z18" s="3"/>
      <c r="AA18" s="3"/>
    </row>
    <row r="19" spans="17:27" x14ac:dyDescent="0.3">
      <c r="Q19" s="3"/>
      <c r="R19" s="3"/>
      <c r="S19" s="3"/>
      <c r="T19" s="3"/>
      <c r="U19" s="3"/>
      <c r="V19" s="3"/>
      <c r="W19" s="3"/>
      <c r="X19" s="3"/>
      <c r="Y19" s="3"/>
      <c r="Z19" s="3"/>
      <c r="AA19" s="3"/>
    </row>
    <row r="20" spans="17:27" x14ac:dyDescent="0.3">
      <c r="Q20" s="3"/>
      <c r="R20" s="3"/>
      <c r="S20" s="3"/>
      <c r="T20" s="3"/>
      <c r="U20" s="3"/>
      <c r="V20" s="3"/>
      <c r="W20" s="3"/>
      <c r="X20" s="3"/>
      <c r="Y20" s="3"/>
      <c r="Z20" s="3"/>
      <c r="AA20" s="3"/>
    </row>
    <row r="21" spans="17:27" x14ac:dyDescent="0.3">
      <c r="Q21" s="3"/>
      <c r="R21" s="3"/>
      <c r="S21" s="3"/>
      <c r="T21" s="3"/>
      <c r="U21" s="3"/>
      <c r="V21" s="3"/>
      <c r="W21" s="3"/>
      <c r="X21" s="3"/>
      <c r="Y21" s="3"/>
      <c r="Z21" s="3"/>
      <c r="AA21" s="3"/>
    </row>
    <row r="22" spans="17:27" x14ac:dyDescent="0.3">
      <c r="Q22" s="3"/>
      <c r="R22" s="3"/>
      <c r="S22" s="3"/>
      <c r="T22" s="3"/>
      <c r="U22" s="3"/>
      <c r="V22" s="3"/>
      <c r="W22" s="3"/>
      <c r="X22" s="3"/>
      <c r="Y22" s="3"/>
      <c r="Z22" s="3"/>
      <c r="AA22" s="3"/>
    </row>
  </sheetData>
  <mergeCells count="2">
    <mergeCell ref="B11:G11"/>
    <mergeCell ref="A1:P1"/>
  </mergeCells>
  <phoneticPr fontId="0" type="noConversion"/>
  <pageMargins left="0.75" right="0.75" top="1" bottom="1" header="0.5" footer="0.5"/>
  <pageSetup scale="60" orientation="landscape" horizontalDpi="4294967294"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02"/>
  <sheetViews>
    <sheetView tabSelected="1" topLeftCell="E187" workbookViewId="0">
      <selection activeCell="F202" sqref="F202"/>
    </sheetView>
  </sheetViews>
  <sheetFormatPr defaultRowHeight="12.5" x14ac:dyDescent="0.25"/>
  <cols>
    <col min="1" max="1" width="38.90625" customWidth="1"/>
    <col min="2" max="2" width="21.453125" bestFit="1" customWidth="1"/>
    <col min="3" max="3" width="8.08984375" bestFit="1" customWidth="1"/>
    <col min="4" max="4" width="11.6328125" bestFit="1" customWidth="1"/>
    <col min="5" max="5" width="34.08984375" bestFit="1" customWidth="1"/>
    <col min="6" max="6" width="13.453125" bestFit="1" customWidth="1"/>
    <col min="7" max="7" width="25.6328125" bestFit="1" customWidth="1"/>
    <col min="8" max="9" width="9.08984375" customWidth="1"/>
    <col min="10" max="11" width="10.6328125" bestFit="1" customWidth="1"/>
    <col min="12" max="12" width="11.6328125" bestFit="1" customWidth="1"/>
    <col min="13" max="14" width="9.08984375" customWidth="1"/>
    <col min="15" max="15" width="10.08984375" customWidth="1"/>
    <col min="16" max="28" width="9.08984375" customWidth="1"/>
    <col min="29" max="31" width="10.08984375" customWidth="1"/>
    <col min="32" max="44" width="9.08984375" customWidth="1"/>
    <col min="45" max="46" width="10.08984375" customWidth="1"/>
    <col min="47" max="60" width="9.08984375" customWidth="1"/>
    <col min="61" max="62" width="10.08984375" customWidth="1"/>
    <col min="63" max="74" width="9.08984375" customWidth="1"/>
    <col min="75" max="76" width="10.08984375" customWidth="1"/>
    <col min="77" max="77" width="9.08984375" customWidth="1"/>
    <col min="90" max="90" width="10.08984375" bestFit="1" customWidth="1"/>
  </cols>
  <sheetData>
    <row r="1" spans="1:12" ht="13" x14ac:dyDescent="0.3">
      <c r="A1" s="179" t="s">
        <v>161</v>
      </c>
      <c r="B1" s="219" t="s">
        <v>1075</v>
      </c>
      <c r="C1" s="124"/>
      <c r="E1" s="82"/>
      <c r="F1" s="780">
        <v>40749</v>
      </c>
      <c r="G1" s="780">
        <v>40763</v>
      </c>
      <c r="H1" s="781">
        <v>40767</v>
      </c>
      <c r="I1" s="781">
        <v>40777</v>
      </c>
      <c r="J1" s="781">
        <v>40798</v>
      </c>
      <c r="K1" s="781">
        <v>40812</v>
      </c>
      <c r="L1" s="785"/>
    </row>
    <row r="2" spans="1:12" ht="13" x14ac:dyDescent="0.3">
      <c r="A2" s="757" t="s">
        <v>223</v>
      </c>
      <c r="B2" s="87">
        <v>8417437.6642335784</v>
      </c>
      <c r="C2" s="779"/>
      <c r="E2" s="300" t="s">
        <v>988</v>
      </c>
      <c r="F2" s="755">
        <v>334.38112745098283</v>
      </c>
      <c r="G2" s="755">
        <v>508.29918032786924</v>
      </c>
      <c r="H2" s="755">
        <v>335.27577937649619</v>
      </c>
      <c r="I2" s="763">
        <v>2062.7131782945958</v>
      </c>
      <c r="J2" s="763">
        <v>1748.6689814814986</v>
      </c>
      <c r="K2" s="755">
        <v>5707.7777777777428</v>
      </c>
    </row>
    <row r="3" spans="1:12" ht="15" x14ac:dyDescent="0.3">
      <c r="A3" s="757" t="s">
        <v>1044</v>
      </c>
      <c r="B3" s="761">
        <v>105426.42201834862</v>
      </c>
      <c r="C3" s="779"/>
      <c r="E3" s="300" t="s">
        <v>989</v>
      </c>
      <c r="F3" s="755">
        <v>301053.27757352905</v>
      </c>
      <c r="G3" s="755">
        <v>125027.73565573836</v>
      </c>
      <c r="H3" s="755">
        <v>89814.252597921717</v>
      </c>
      <c r="I3" s="763">
        <v>102121.78294573637</v>
      </c>
      <c r="J3" s="763">
        <v>248663.33912037109</v>
      </c>
      <c r="K3" s="755">
        <v>6299308.888888903</v>
      </c>
    </row>
    <row r="4" spans="1:12" ht="13" x14ac:dyDescent="0.3">
      <c r="A4" s="82" t="s">
        <v>999</v>
      </c>
      <c r="B4" s="87">
        <v>101834</v>
      </c>
      <c r="C4" s="779"/>
      <c r="E4" s="300" t="s">
        <v>990</v>
      </c>
      <c r="F4" s="756">
        <v>41.202003479003906</v>
      </c>
      <c r="G4" s="756">
        <v>34.895362854003906</v>
      </c>
      <c r="H4" s="756">
        <v>32.531108856201172</v>
      </c>
      <c r="I4" s="764">
        <v>33.448097229003906</v>
      </c>
      <c r="J4" s="764">
        <v>39.827617645263672</v>
      </c>
      <c r="K4" s="756">
        <v>63.119373321533203</v>
      </c>
    </row>
    <row r="5" spans="1:12" ht="13" x14ac:dyDescent="0.3">
      <c r="A5" s="82" t="s">
        <v>151</v>
      </c>
      <c r="B5" s="87">
        <v>99493.333333333343</v>
      </c>
      <c r="C5" s="779"/>
      <c r="E5" s="300" t="s">
        <v>988</v>
      </c>
      <c r="F5" s="755">
        <v>379.25000000000068</v>
      </c>
      <c r="G5" s="755">
        <v>599.15458937198264</v>
      </c>
      <c r="H5" s="763">
        <v>311.2962962962963</v>
      </c>
      <c r="I5" s="763">
        <v>2703.2415902140433</v>
      </c>
      <c r="J5" s="763">
        <v>1576.9230769230956</v>
      </c>
      <c r="K5" s="755">
        <v>8811.5085158150832</v>
      </c>
    </row>
    <row r="6" spans="1:12" ht="15" x14ac:dyDescent="0.3">
      <c r="A6" s="82" t="s">
        <v>13</v>
      </c>
      <c r="B6" s="87">
        <v>97777.777777777766</v>
      </c>
      <c r="C6" s="779"/>
      <c r="E6" s="300" t="s">
        <v>989</v>
      </c>
      <c r="F6" s="755">
        <v>250004.33333333264</v>
      </c>
      <c r="G6" s="755">
        <v>172845.20531401021</v>
      </c>
      <c r="H6" s="763">
        <v>57452.38888888868</v>
      </c>
      <c r="I6" s="763">
        <v>428546.54434250836</v>
      </c>
      <c r="J6" s="763">
        <v>324175.96153846127</v>
      </c>
      <c r="K6" s="755">
        <v>8673463.0121654402</v>
      </c>
    </row>
    <row r="7" spans="1:12" ht="13" x14ac:dyDescent="0.3">
      <c r="A7" s="82" t="s">
        <v>1009</v>
      </c>
      <c r="B7" s="761">
        <v>96199.541284403676</v>
      </c>
      <c r="C7" s="779"/>
      <c r="E7" s="300" t="s">
        <v>990</v>
      </c>
      <c r="F7" s="756">
        <v>39.866268157958984</v>
      </c>
      <c r="G7" s="756">
        <v>37.216163635253906</v>
      </c>
      <c r="H7" s="764">
        <v>29.352153778076172</v>
      </c>
      <c r="I7" s="764">
        <v>43.742599487304688</v>
      </c>
      <c r="J7" s="764">
        <v>41.734203338623047</v>
      </c>
      <c r="K7" s="756">
        <v>65.426620483398438</v>
      </c>
    </row>
    <row r="8" spans="1:12" ht="13" x14ac:dyDescent="0.3">
      <c r="A8" s="82" t="s">
        <v>159</v>
      </c>
      <c r="B8" s="761">
        <v>88307.692307692298</v>
      </c>
      <c r="C8" s="779"/>
      <c r="E8" s="784" t="s">
        <v>1076</v>
      </c>
      <c r="F8" s="782">
        <f>AVERAGE(F2,F5)</f>
        <v>356.81556372549176</v>
      </c>
      <c r="G8" s="782">
        <f t="shared" ref="G8:K8" si="0">AVERAGE(G2,G5)</f>
        <v>553.72688484992591</v>
      </c>
      <c r="H8" s="782">
        <f t="shared" si="0"/>
        <v>323.28603783639625</v>
      </c>
      <c r="I8" s="782">
        <f t="shared" si="0"/>
        <v>2382.9773842543195</v>
      </c>
      <c r="J8" s="782">
        <f t="shared" si="0"/>
        <v>1662.7960292022972</v>
      </c>
      <c r="K8" s="782">
        <f t="shared" si="0"/>
        <v>7259.643146796413</v>
      </c>
    </row>
    <row r="9" spans="1:12" ht="15" x14ac:dyDescent="0.3">
      <c r="A9" s="757" t="s">
        <v>1045</v>
      </c>
      <c r="B9" s="87">
        <v>71326.034063260333</v>
      </c>
      <c r="C9" s="779"/>
      <c r="E9" s="784" t="s">
        <v>1071</v>
      </c>
      <c r="F9" s="783">
        <f t="shared" ref="F9:K9" si="1">AVERAGE(F3,F6)</f>
        <v>275528.80545343086</v>
      </c>
      <c r="G9" s="783">
        <f t="shared" si="1"/>
        <v>148936.47048487427</v>
      </c>
      <c r="H9" s="783">
        <f t="shared" si="1"/>
        <v>73633.320743405202</v>
      </c>
      <c r="I9" s="783">
        <f t="shared" si="1"/>
        <v>265334.16364412237</v>
      </c>
      <c r="J9" s="783">
        <f t="shared" si="1"/>
        <v>286419.65032941615</v>
      </c>
      <c r="K9" s="783">
        <f t="shared" si="1"/>
        <v>7486385.9505271716</v>
      </c>
    </row>
    <row r="10" spans="1:12" ht="13" x14ac:dyDescent="0.3">
      <c r="A10" s="757" t="s">
        <v>1049</v>
      </c>
      <c r="B10" s="761">
        <v>55168.195718654439</v>
      </c>
      <c r="C10" s="779"/>
      <c r="E10" s="784" t="s">
        <v>1072</v>
      </c>
      <c r="F10" s="782">
        <f>AVERAGE(F4,F7)</f>
        <v>40.534135818481445</v>
      </c>
      <c r="G10" s="782">
        <f t="shared" ref="G10:K10" si="2">AVERAGE(G4,G7)</f>
        <v>36.055763244628906</v>
      </c>
      <c r="H10" s="782">
        <f t="shared" si="2"/>
        <v>30.941631317138672</v>
      </c>
      <c r="I10" s="782">
        <f t="shared" si="2"/>
        <v>38.595348358154297</v>
      </c>
      <c r="J10" s="782">
        <f t="shared" si="2"/>
        <v>40.780910491943359</v>
      </c>
      <c r="K10" s="782">
        <f t="shared" si="2"/>
        <v>64.27299690246582</v>
      </c>
    </row>
    <row r="11" spans="1:12" ht="15" x14ac:dyDescent="0.3">
      <c r="A11" s="757" t="s">
        <v>1046</v>
      </c>
      <c r="B11" s="761">
        <v>42038.165137614684</v>
      </c>
      <c r="F11" s="842" t="s">
        <v>1074</v>
      </c>
      <c r="G11" s="843"/>
      <c r="H11" s="843"/>
      <c r="I11" s="843"/>
      <c r="J11" s="843"/>
      <c r="K11" s="843"/>
    </row>
    <row r="12" spans="1:12" ht="13" x14ac:dyDescent="0.3">
      <c r="A12" s="82" t="s">
        <v>1007</v>
      </c>
      <c r="B12" s="87">
        <v>38498.405797101455</v>
      </c>
      <c r="E12" s="543" t="s">
        <v>1073</v>
      </c>
      <c r="F12" s="187">
        <v>19</v>
      </c>
      <c r="G12" s="187">
        <v>18</v>
      </c>
      <c r="H12" s="187">
        <v>31</v>
      </c>
      <c r="I12" s="187">
        <v>18</v>
      </c>
      <c r="J12" s="187">
        <v>15</v>
      </c>
      <c r="K12" s="187">
        <v>24</v>
      </c>
    </row>
    <row r="13" spans="1:12" x14ac:dyDescent="0.25">
      <c r="D13" s="775" t="s">
        <v>1000</v>
      </c>
      <c r="E13" s="82" t="s">
        <v>999</v>
      </c>
      <c r="F13" s="87">
        <v>101834</v>
      </c>
      <c r="G13" s="82"/>
      <c r="H13" s="82"/>
      <c r="I13" s="82"/>
      <c r="J13" s="82"/>
      <c r="K13" s="82"/>
      <c r="L13" s="67">
        <f>AVERAGE(F13:K16)</f>
        <v>1249109.4417536047</v>
      </c>
    </row>
    <row r="14" spans="1:12" x14ac:dyDescent="0.25">
      <c r="D14" s="775" t="s">
        <v>1000</v>
      </c>
      <c r="E14" s="82" t="s">
        <v>152</v>
      </c>
      <c r="F14" s="87">
        <v>48637.25490196079</v>
      </c>
      <c r="G14" s="82"/>
      <c r="H14" s="82"/>
      <c r="I14" s="761">
        <v>6526.0981912144698</v>
      </c>
      <c r="J14" s="82"/>
      <c r="K14" s="82"/>
    </row>
    <row r="15" spans="1:12" x14ac:dyDescent="0.25">
      <c r="D15" s="775" t="s">
        <v>1000</v>
      </c>
      <c r="E15" s="82" t="s">
        <v>1007</v>
      </c>
      <c r="F15" s="82"/>
      <c r="G15" s="87">
        <v>38498.405797101455</v>
      </c>
      <c r="H15" s="82"/>
      <c r="I15" s="82"/>
      <c r="J15" s="82"/>
      <c r="K15" s="82"/>
    </row>
    <row r="16" spans="1:12" x14ac:dyDescent="0.25">
      <c r="D16" s="775" t="s">
        <v>1000</v>
      </c>
      <c r="E16" s="757" t="s">
        <v>223</v>
      </c>
      <c r="F16" s="82"/>
      <c r="G16" s="82"/>
      <c r="H16" s="87"/>
      <c r="I16" s="761">
        <v>17377.981651376147</v>
      </c>
      <c r="J16" s="761">
        <v>113454.6875</v>
      </c>
      <c r="K16" s="87">
        <v>8417437.6642335784</v>
      </c>
    </row>
    <row r="17" spans="4:11" x14ac:dyDescent="0.25">
      <c r="D17" s="775" t="s">
        <v>1016</v>
      </c>
      <c r="E17" s="82" t="s">
        <v>1020</v>
      </c>
      <c r="F17" s="82"/>
      <c r="G17" s="87">
        <v>12364.371980676327</v>
      </c>
      <c r="H17" s="82"/>
      <c r="I17" s="82"/>
      <c r="J17" s="82"/>
      <c r="K17" s="82"/>
    </row>
    <row r="18" spans="4:11" x14ac:dyDescent="0.25">
      <c r="D18" s="775" t="s">
        <v>1016</v>
      </c>
      <c r="E18" s="82" t="s">
        <v>1015</v>
      </c>
      <c r="F18" s="82"/>
      <c r="G18" s="82"/>
      <c r="H18" s="761">
        <v>5922.2222222222217</v>
      </c>
      <c r="I18" s="82"/>
      <c r="J18" s="82"/>
      <c r="K18" s="82"/>
    </row>
    <row r="19" spans="4:11" x14ac:dyDescent="0.25">
      <c r="D19" s="775" t="s">
        <v>1004</v>
      </c>
      <c r="E19" s="82" t="s">
        <v>151</v>
      </c>
      <c r="F19" s="87">
        <v>99493.333333333343</v>
      </c>
      <c r="G19" s="87">
        <v>52863.114754098358</v>
      </c>
      <c r="H19" s="87">
        <v>18746.602717825739</v>
      </c>
      <c r="I19" s="82"/>
      <c r="J19" s="82"/>
      <c r="K19" s="82"/>
    </row>
    <row r="20" spans="4:11" x14ac:dyDescent="0.25">
      <c r="D20" s="775" t="s">
        <v>1004</v>
      </c>
      <c r="E20" s="757" t="s">
        <v>1041</v>
      </c>
      <c r="F20" s="82"/>
      <c r="G20" s="82"/>
      <c r="H20" s="761">
        <v>2733.3333333333335</v>
      </c>
      <c r="I20" s="82"/>
      <c r="J20" s="82"/>
      <c r="K20" s="82"/>
    </row>
    <row r="21" spans="4:11" x14ac:dyDescent="0.25">
      <c r="D21" s="775" t="s">
        <v>997</v>
      </c>
      <c r="E21" s="757" t="s">
        <v>1045</v>
      </c>
      <c r="F21" s="82"/>
      <c r="G21" s="82"/>
      <c r="H21" s="87"/>
      <c r="I21" s="761">
        <v>42038.165137614684</v>
      </c>
      <c r="J21" s="82"/>
      <c r="K21" s="87">
        <v>71326.034063260333</v>
      </c>
    </row>
    <row r="22" spans="4:11" x14ac:dyDescent="0.25">
      <c r="D22" s="775" t="s">
        <v>997</v>
      </c>
      <c r="E22" s="82" t="s">
        <v>159</v>
      </c>
      <c r="F22" s="87">
        <v>14350.000000000002</v>
      </c>
      <c r="G22" s="82"/>
      <c r="H22" s="82"/>
      <c r="I22" s="82"/>
      <c r="J22" s="761">
        <v>88307.692307692298</v>
      </c>
      <c r="K22" s="87">
        <v>61600</v>
      </c>
    </row>
    <row r="23" spans="4:11" x14ac:dyDescent="0.25">
      <c r="D23" s="775" t="s">
        <v>997</v>
      </c>
      <c r="E23" s="82" t="s">
        <v>1007</v>
      </c>
      <c r="F23" s="82"/>
      <c r="G23" s="87">
        <v>14086.916666666668</v>
      </c>
      <c r="H23" s="82"/>
      <c r="I23" s="82"/>
      <c r="J23" s="761">
        <v>23220.192307692309</v>
      </c>
      <c r="K23" s="82"/>
    </row>
    <row r="24" spans="4:11" x14ac:dyDescent="0.25">
      <c r="D24" s="775" t="s">
        <v>997</v>
      </c>
      <c r="E24" s="82" t="s">
        <v>12</v>
      </c>
      <c r="F24" s="82"/>
      <c r="G24" s="87">
        <v>15248.975409836066</v>
      </c>
      <c r="H24" s="82"/>
      <c r="I24" s="82"/>
      <c r="J24" s="82"/>
      <c r="K24" s="82"/>
    </row>
    <row r="25" spans="4:11" x14ac:dyDescent="0.25">
      <c r="D25" s="775" t="s">
        <v>997</v>
      </c>
      <c r="E25" s="82" t="s">
        <v>227</v>
      </c>
      <c r="F25" s="82"/>
      <c r="G25" s="87">
        <v>10349.033816425121</v>
      </c>
      <c r="H25" s="82"/>
      <c r="I25" s="82"/>
      <c r="J25" s="761">
        <v>24967.948717948719</v>
      </c>
      <c r="K25" s="82"/>
    </row>
    <row r="26" spans="4:11" x14ac:dyDescent="0.25">
      <c r="D26" s="775" t="s">
        <v>997</v>
      </c>
      <c r="E26" s="82" t="s">
        <v>12</v>
      </c>
      <c r="F26" s="82"/>
      <c r="G26" s="82"/>
      <c r="H26" s="761">
        <v>4175.9259259259261</v>
      </c>
      <c r="I26" s="82"/>
      <c r="J26" s="82"/>
      <c r="K26" s="82"/>
    </row>
    <row r="27" spans="4:11" x14ac:dyDescent="0.25">
      <c r="D27" s="775" t="s">
        <v>997</v>
      </c>
      <c r="E27" s="82" t="s">
        <v>1023</v>
      </c>
      <c r="F27" s="82"/>
      <c r="G27" s="82"/>
      <c r="H27" s="87">
        <v>5750.1598721023183</v>
      </c>
      <c r="I27" s="82"/>
      <c r="J27" s="82"/>
      <c r="K27" s="82"/>
    </row>
    <row r="28" spans="4:11" x14ac:dyDescent="0.25">
      <c r="D28" s="775" t="s">
        <v>997</v>
      </c>
      <c r="E28" s="82" t="s">
        <v>1024</v>
      </c>
      <c r="F28" s="82"/>
      <c r="G28" s="82"/>
      <c r="H28" s="87">
        <v>6489.2086330935253</v>
      </c>
      <c r="I28" s="82"/>
      <c r="J28" s="82"/>
      <c r="K28" s="82"/>
    </row>
    <row r="29" spans="4:11" x14ac:dyDescent="0.25">
      <c r="D29" s="775" t="s">
        <v>997</v>
      </c>
      <c r="E29" s="82" t="s">
        <v>1005</v>
      </c>
      <c r="F29" s="82"/>
      <c r="G29" s="82"/>
      <c r="H29" s="87">
        <v>6669.4644284572341</v>
      </c>
      <c r="I29" s="82"/>
      <c r="J29" s="82"/>
      <c r="K29" s="82"/>
    </row>
    <row r="30" spans="4:11" x14ac:dyDescent="0.25">
      <c r="D30" s="775" t="s">
        <v>997</v>
      </c>
      <c r="E30" s="82" t="s">
        <v>1026</v>
      </c>
      <c r="F30" s="82"/>
      <c r="G30" s="82"/>
      <c r="H30" s="87">
        <v>3677.2182254196646</v>
      </c>
      <c r="I30" s="82"/>
      <c r="J30" s="82"/>
      <c r="K30" s="82"/>
    </row>
    <row r="31" spans="4:11" x14ac:dyDescent="0.25">
      <c r="D31" s="775" t="s">
        <v>997</v>
      </c>
      <c r="E31" s="82" t="s">
        <v>1027</v>
      </c>
      <c r="F31" s="82"/>
      <c r="G31" s="82"/>
      <c r="H31" s="761">
        <v>5576</v>
      </c>
      <c r="I31" s="82"/>
      <c r="J31" s="82"/>
      <c r="K31" s="82"/>
    </row>
    <row r="32" spans="4:11" x14ac:dyDescent="0.25">
      <c r="D32" s="778" t="s">
        <v>997</v>
      </c>
      <c r="E32" s="757" t="s">
        <v>1044</v>
      </c>
      <c r="F32" s="82"/>
      <c r="G32" s="82"/>
      <c r="H32" s="87"/>
      <c r="I32" s="761">
        <v>105426.42201834862</v>
      </c>
      <c r="J32" s="82"/>
      <c r="K32" s="82"/>
    </row>
    <row r="33" spans="1:11" x14ac:dyDescent="0.25">
      <c r="D33" s="778" t="s">
        <v>997</v>
      </c>
      <c r="E33" s="757" t="s">
        <v>1046</v>
      </c>
      <c r="F33" s="82"/>
      <c r="G33" s="82"/>
      <c r="H33" s="87"/>
      <c r="I33" s="761">
        <v>42038.165137614684</v>
      </c>
      <c r="J33" s="82"/>
      <c r="K33" s="82"/>
    </row>
    <row r="34" spans="1:11" x14ac:dyDescent="0.25">
      <c r="D34" s="778" t="s">
        <v>997</v>
      </c>
      <c r="E34" s="757" t="s">
        <v>14</v>
      </c>
      <c r="F34" s="82"/>
      <c r="G34" s="82"/>
      <c r="H34" s="87"/>
      <c r="I34" s="761">
        <v>34962.84403669725</v>
      </c>
      <c r="J34" s="761">
        <v>11104.166666666666</v>
      </c>
      <c r="K34" s="82"/>
    </row>
    <row r="35" spans="1:11" x14ac:dyDescent="0.25">
      <c r="D35" s="775" t="s">
        <v>997</v>
      </c>
      <c r="E35" s="757" t="s">
        <v>1050</v>
      </c>
      <c r="F35" s="82"/>
      <c r="G35" s="82"/>
      <c r="H35" s="87"/>
      <c r="I35" s="761"/>
      <c r="J35" s="761">
        <v>17538.888888888887</v>
      </c>
      <c r="K35" s="82"/>
    </row>
    <row r="36" spans="1:11" x14ac:dyDescent="0.25">
      <c r="D36" s="775" t="s">
        <v>997</v>
      </c>
      <c r="E36" s="82" t="s">
        <v>13</v>
      </c>
      <c r="F36" s="82"/>
      <c r="G36" s="82"/>
      <c r="H36" s="87"/>
      <c r="I36" s="761"/>
      <c r="J36" s="82"/>
      <c r="K36" s="87">
        <v>97777.777777777766</v>
      </c>
    </row>
    <row r="37" spans="1:11" x14ac:dyDescent="0.25">
      <c r="D37" s="775" t="s">
        <v>1002</v>
      </c>
      <c r="E37" s="82" t="s">
        <v>224</v>
      </c>
      <c r="F37" s="87">
        <v>33483.333333333336</v>
      </c>
      <c r="G37" s="82"/>
      <c r="H37" s="82"/>
      <c r="I37" s="82"/>
      <c r="J37" s="82"/>
      <c r="K37" s="82"/>
    </row>
    <row r="38" spans="1:11" x14ac:dyDescent="0.25">
      <c r="D38" s="775" t="s">
        <v>1011</v>
      </c>
      <c r="E38" s="82" t="s">
        <v>1019</v>
      </c>
      <c r="F38" s="82"/>
      <c r="G38" s="87">
        <v>8710.3995901639355</v>
      </c>
      <c r="H38" s="87">
        <v>13591.286970423662</v>
      </c>
      <c r="I38" s="82"/>
      <c r="J38" s="82"/>
      <c r="K38" s="82"/>
    </row>
    <row r="39" spans="1:11" x14ac:dyDescent="0.25">
      <c r="D39" s="775" t="s">
        <v>1011</v>
      </c>
      <c r="E39" s="82" t="s">
        <v>1035</v>
      </c>
      <c r="F39" s="82"/>
      <c r="G39" s="82"/>
      <c r="H39" s="87">
        <v>7570.7434052757799</v>
      </c>
      <c r="I39" s="82"/>
      <c r="J39" s="82"/>
      <c r="K39" s="82"/>
    </row>
    <row r="40" spans="1:11" x14ac:dyDescent="0.25">
      <c r="D40" s="775" t="s">
        <v>1001</v>
      </c>
      <c r="E40" s="82" t="s">
        <v>1009</v>
      </c>
      <c r="F40" s="82"/>
      <c r="G40" s="87">
        <v>6030.2766393442625</v>
      </c>
      <c r="H40" s="82"/>
      <c r="I40" s="761">
        <v>96199.541284403676</v>
      </c>
      <c r="J40" s="761">
        <v>56375</v>
      </c>
      <c r="K40" s="82"/>
    </row>
    <row r="41" spans="1:11" x14ac:dyDescent="0.25">
      <c r="D41" s="775" t="s">
        <v>1001</v>
      </c>
      <c r="E41" s="82" t="s">
        <v>225</v>
      </c>
      <c r="F41" s="82"/>
      <c r="G41" s="87">
        <v>7108.152173913044</v>
      </c>
      <c r="H41" s="82"/>
      <c r="I41" s="82"/>
      <c r="J41" s="82"/>
      <c r="K41" s="82"/>
    </row>
    <row r="42" spans="1:11" x14ac:dyDescent="0.25">
      <c r="D42" s="775" t="s">
        <v>1001</v>
      </c>
      <c r="E42" s="82" t="s">
        <v>226</v>
      </c>
      <c r="F42" s="82"/>
      <c r="G42" s="87">
        <v>7508.9651639344265</v>
      </c>
      <c r="H42" s="82"/>
      <c r="I42" s="82"/>
      <c r="J42" s="82"/>
      <c r="K42" s="82"/>
    </row>
    <row r="43" spans="1:11" x14ac:dyDescent="0.25">
      <c r="D43" s="778" t="s">
        <v>1001</v>
      </c>
      <c r="E43" s="757" t="s">
        <v>225</v>
      </c>
      <c r="F43" s="82"/>
      <c r="G43" s="82"/>
      <c r="H43" s="87"/>
      <c r="I43" s="761">
        <v>4370.1550387596899</v>
      </c>
      <c r="J43" s="82"/>
      <c r="K43" s="82"/>
    </row>
    <row r="44" spans="1:11" x14ac:dyDescent="0.25">
      <c r="D44" s="778" t="s">
        <v>1001</v>
      </c>
      <c r="E44" s="757" t="s">
        <v>1049</v>
      </c>
      <c r="F44" s="82"/>
      <c r="G44" s="82"/>
      <c r="H44" s="87"/>
      <c r="I44" s="761">
        <v>55168.195718654439</v>
      </c>
      <c r="J44" s="82"/>
      <c r="K44" s="82"/>
    </row>
    <row r="45" spans="1:11" x14ac:dyDescent="0.25">
      <c r="D45" s="777"/>
      <c r="E45" s="753"/>
      <c r="H45" s="776"/>
      <c r="I45" s="765"/>
    </row>
    <row r="46" spans="1:11" x14ac:dyDescent="0.25">
      <c r="E46" s="89"/>
      <c r="H46" s="776"/>
    </row>
    <row r="48" spans="1:11" ht="14" x14ac:dyDescent="0.3">
      <c r="A48" s="129" t="s">
        <v>987</v>
      </c>
      <c r="F48" s="752"/>
    </row>
    <row r="49" spans="1:12" x14ac:dyDescent="0.25">
      <c r="A49" s="82"/>
      <c r="B49" s="840">
        <v>40749</v>
      </c>
      <c r="C49" s="840"/>
      <c r="D49" s="840"/>
      <c r="E49" s="840"/>
      <c r="F49" s="840"/>
      <c r="G49" s="82"/>
      <c r="H49" s="840">
        <v>40749</v>
      </c>
      <c r="I49" s="840"/>
      <c r="J49" s="840"/>
      <c r="K49" s="840"/>
      <c r="L49" s="840"/>
    </row>
    <row r="50" spans="1:12" ht="13" x14ac:dyDescent="0.3">
      <c r="A50" s="82"/>
      <c r="B50" s="754" t="s">
        <v>991</v>
      </c>
      <c r="C50" s="754" t="s">
        <v>991</v>
      </c>
      <c r="D50" s="754" t="s">
        <v>992</v>
      </c>
      <c r="E50" s="754" t="s">
        <v>992</v>
      </c>
      <c r="F50" s="511"/>
      <c r="G50" s="82"/>
      <c r="H50" s="754" t="s">
        <v>991</v>
      </c>
      <c r="I50" s="754" t="s">
        <v>991</v>
      </c>
      <c r="J50" s="754" t="s">
        <v>992</v>
      </c>
      <c r="K50" s="754" t="s">
        <v>992</v>
      </c>
      <c r="L50" s="511"/>
    </row>
    <row r="51" spans="1:12" ht="15" x14ac:dyDescent="0.3">
      <c r="A51" s="91" t="s">
        <v>161</v>
      </c>
      <c r="B51" s="754" t="s">
        <v>993</v>
      </c>
      <c r="C51" s="754" t="s">
        <v>837</v>
      </c>
      <c r="D51" s="754" t="s">
        <v>994</v>
      </c>
      <c r="E51" s="754" t="s">
        <v>837</v>
      </c>
      <c r="F51" s="754" t="s">
        <v>995</v>
      </c>
      <c r="G51" s="91" t="s">
        <v>161</v>
      </c>
      <c r="H51" s="754" t="s">
        <v>993</v>
      </c>
      <c r="I51" s="754" t="s">
        <v>837</v>
      </c>
      <c r="J51" s="754" t="s">
        <v>994</v>
      </c>
      <c r="K51" s="754" t="s">
        <v>837</v>
      </c>
      <c r="L51" s="754" t="s">
        <v>995</v>
      </c>
    </row>
    <row r="52" spans="1:12" ht="13" x14ac:dyDescent="0.3">
      <c r="A52" s="91"/>
      <c r="B52" s="754"/>
      <c r="C52" s="754"/>
      <c r="D52" s="754"/>
      <c r="E52" s="754"/>
      <c r="F52" s="754"/>
      <c r="G52" s="91"/>
      <c r="H52" s="754"/>
      <c r="I52" s="754"/>
      <c r="J52" s="754"/>
      <c r="K52" s="754"/>
      <c r="L52" s="754"/>
    </row>
    <row r="53" spans="1:12" x14ac:dyDescent="0.25">
      <c r="A53" s="82" t="s">
        <v>996</v>
      </c>
      <c r="B53" s="87">
        <v>2.7634803921568629</v>
      </c>
      <c r="C53" s="80">
        <v>0.82644628099172945</v>
      </c>
      <c r="D53" s="87">
        <v>1597.2916666666667</v>
      </c>
      <c r="E53" s="80">
        <v>0.53056777177140857</v>
      </c>
      <c r="F53" s="511" t="s">
        <v>997</v>
      </c>
      <c r="G53" s="82" t="s">
        <v>996</v>
      </c>
      <c r="H53" s="87">
        <v>3.416666666666667</v>
      </c>
      <c r="I53" s="80">
        <v>0.90090090090089936</v>
      </c>
      <c r="J53" s="87">
        <v>1974.8333333333335</v>
      </c>
      <c r="K53" s="80">
        <v>0.78991964139288462</v>
      </c>
      <c r="L53" s="511" t="s">
        <v>997</v>
      </c>
    </row>
    <row r="54" spans="1:12" x14ac:dyDescent="0.25">
      <c r="A54" s="82" t="s">
        <v>998</v>
      </c>
      <c r="B54" s="87">
        <v>2.7634803921568629</v>
      </c>
      <c r="C54" s="80">
        <v>0.82644628099172945</v>
      </c>
      <c r="D54" s="87">
        <v>458.73774509803923</v>
      </c>
      <c r="E54" s="80">
        <v>0.1523775953530343</v>
      </c>
      <c r="F54" s="511" t="s">
        <v>997</v>
      </c>
      <c r="G54" s="82" t="s">
        <v>999</v>
      </c>
      <c r="H54" s="87">
        <v>20.500000000000004</v>
      </c>
      <c r="I54" s="80">
        <v>5.4054054054053964</v>
      </c>
      <c r="J54" s="87">
        <v>68675.000000000015</v>
      </c>
      <c r="K54" s="80">
        <v>27.469523861586481</v>
      </c>
      <c r="L54" s="511" t="s">
        <v>1000</v>
      </c>
    </row>
    <row r="55" spans="1:12" x14ac:dyDescent="0.25">
      <c r="A55" s="82" t="s">
        <v>999</v>
      </c>
      <c r="B55" s="87">
        <v>30.398284313725494</v>
      </c>
      <c r="C55" s="80">
        <v>9.090909090909026</v>
      </c>
      <c r="D55" s="87">
        <v>101834.25245098041</v>
      </c>
      <c r="E55" s="80">
        <v>33.825990293730804</v>
      </c>
      <c r="F55" s="511" t="s">
        <v>1000</v>
      </c>
      <c r="G55" s="82" t="s">
        <v>225</v>
      </c>
      <c r="H55" s="87">
        <v>10.250000000000002</v>
      </c>
      <c r="I55" s="80">
        <v>2.7027027027026982</v>
      </c>
      <c r="J55" s="87">
        <v>256.25000000000006</v>
      </c>
      <c r="K55" s="80">
        <v>0.10249822336412867</v>
      </c>
      <c r="L55" s="511" t="s">
        <v>1001</v>
      </c>
    </row>
    <row r="56" spans="1:12" x14ac:dyDescent="0.25">
      <c r="A56" s="82" t="s">
        <v>225</v>
      </c>
      <c r="B56" s="87">
        <v>13.817401960784315</v>
      </c>
      <c r="C56" s="80">
        <v>4.1322314049586479</v>
      </c>
      <c r="D56" s="87">
        <v>345.43504901960785</v>
      </c>
      <c r="E56" s="80">
        <v>0.11474216517547763</v>
      </c>
      <c r="F56" s="511" t="s">
        <v>1001</v>
      </c>
      <c r="G56" s="82" t="s">
        <v>224</v>
      </c>
      <c r="H56" s="87">
        <v>3.416666666666667</v>
      </c>
      <c r="I56" s="80">
        <v>0.90090090090089936</v>
      </c>
      <c r="J56" s="87">
        <v>33483.333333333336</v>
      </c>
      <c r="K56" s="80">
        <v>13.393101186246142</v>
      </c>
      <c r="L56" s="511" t="s">
        <v>1002</v>
      </c>
    </row>
    <row r="57" spans="1:12" x14ac:dyDescent="0.25">
      <c r="A57" s="82" t="s">
        <v>224</v>
      </c>
      <c r="B57" s="87">
        <v>2.7634803921568629</v>
      </c>
      <c r="C57" s="80">
        <v>0.82644628099172945</v>
      </c>
      <c r="D57" s="87">
        <v>27082.107843137255</v>
      </c>
      <c r="E57" s="80">
        <v>8.9957857497574452</v>
      </c>
      <c r="F57" s="511" t="s">
        <v>1002</v>
      </c>
      <c r="G57" s="82" t="s">
        <v>226</v>
      </c>
      <c r="H57" s="87">
        <v>10.250000000000002</v>
      </c>
      <c r="I57" s="80">
        <v>2.7027027027026982</v>
      </c>
      <c r="J57" s="87">
        <v>3331.2500000000005</v>
      </c>
      <c r="K57" s="80">
        <v>1.3324769037336723</v>
      </c>
      <c r="L57" s="511" t="s">
        <v>1001</v>
      </c>
    </row>
    <row r="58" spans="1:12" x14ac:dyDescent="0.25">
      <c r="A58" s="82" t="s">
        <v>1003</v>
      </c>
      <c r="B58" s="87">
        <v>2.7634803921568629</v>
      </c>
      <c r="C58" s="80">
        <v>0.82644628099172945</v>
      </c>
      <c r="D58" s="87">
        <v>1271.2009803921569</v>
      </c>
      <c r="E58" s="80">
        <v>0.42225116784575767</v>
      </c>
      <c r="F58" s="511" t="s">
        <v>997</v>
      </c>
      <c r="G58" s="82" t="s">
        <v>151</v>
      </c>
      <c r="H58" s="87">
        <v>191.33333333333334</v>
      </c>
      <c r="I58" s="80">
        <v>50.450450450450354</v>
      </c>
      <c r="J58" s="87">
        <v>99493.333333333343</v>
      </c>
      <c r="K58" s="80">
        <v>39.796643524845685</v>
      </c>
      <c r="L58" s="511" t="s">
        <v>1004</v>
      </c>
    </row>
    <row r="59" spans="1:12" x14ac:dyDescent="0.25">
      <c r="A59" s="82" t="s">
        <v>151</v>
      </c>
      <c r="B59" s="87">
        <v>163.04534313725492</v>
      </c>
      <c r="C59" s="80">
        <v>48.760330578512047</v>
      </c>
      <c r="D59" s="87">
        <v>84783.57843137256</v>
      </c>
      <c r="E59" s="80">
        <v>28.162317020669231</v>
      </c>
      <c r="F59" s="511" t="s">
        <v>1004</v>
      </c>
      <c r="G59" s="82" t="s">
        <v>1005</v>
      </c>
      <c r="H59" s="87">
        <v>6.8333333333333339</v>
      </c>
      <c r="I59" s="80">
        <v>1.8018018018017987</v>
      </c>
      <c r="J59" s="87">
        <v>2528.3333333333335</v>
      </c>
      <c r="K59" s="80">
        <v>1.0113158038594026</v>
      </c>
      <c r="L59" s="511" t="s">
        <v>997</v>
      </c>
    </row>
    <row r="60" spans="1:12" x14ac:dyDescent="0.25">
      <c r="A60" s="82" t="s">
        <v>1005</v>
      </c>
      <c r="B60" s="87">
        <v>5.5269607843137258</v>
      </c>
      <c r="C60" s="80">
        <v>1.6528925619834589</v>
      </c>
      <c r="D60" s="87">
        <v>2044.9754901960785</v>
      </c>
      <c r="E60" s="80">
        <v>0.67927361783882756</v>
      </c>
      <c r="F60" s="511" t="s">
        <v>997</v>
      </c>
      <c r="G60" s="82" t="s">
        <v>1012</v>
      </c>
      <c r="H60" s="87">
        <v>3.416666666666667</v>
      </c>
      <c r="I60" s="80">
        <v>0.90090090090089936</v>
      </c>
      <c r="J60" s="87">
        <v>328</v>
      </c>
      <c r="K60" s="80">
        <v>0.13119772590608467</v>
      </c>
      <c r="L60" s="511" t="s">
        <v>997</v>
      </c>
    </row>
    <row r="61" spans="1:12" x14ac:dyDescent="0.25">
      <c r="A61" s="82" t="s">
        <v>159</v>
      </c>
      <c r="B61" s="87">
        <v>2.7634803921568629</v>
      </c>
      <c r="C61" s="80">
        <v>0.82644628099172945</v>
      </c>
      <c r="D61" s="87">
        <v>9285.2941176470595</v>
      </c>
      <c r="E61" s="80">
        <v>3.0842693999168387</v>
      </c>
      <c r="F61" s="511" t="s">
        <v>997</v>
      </c>
      <c r="G61" s="82" t="s">
        <v>159</v>
      </c>
      <c r="H61" s="87">
        <v>6.8333333333333339</v>
      </c>
      <c r="I61" s="80">
        <v>1.8018018018017987</v>
      </c>
      <c r="J61" s="87">
        <v>14350.000000000002</v>
      </c>
      <c r="K61" s="80">
        <v>5.7399005083912051</v>
      </c>
      <c r="L61" s="511" t="s">
        <v>997</v>
      </c>
    </row>
    <row r="62" spans="1:12" x14ac:dyDescent="0.25">
      <c r="A62" s="82" t="s">
        <v>1006</v>
      </c>
      <c r="B62" s="87">
        <v>2.7634803921568629</v>
      </c>
      <c r="C62" s="80">
        <v>0.82644628099172945</v>
      </c>
      <c r="D62" s="87">
        <v>3316.1764705882356</v>
      </c>
      <c r="E62" s="80">
        <v>1.1015247856845853</v>
      </c>
      <c r="F62" s="511" t="s">
        <v>997</v>
      </c>
      <c r="G62" s="82" t="s">
        <v>1006</v>
      </c>
      <c r="H62" s="87">
        <v>3.416666666666667</v>
      </c>
      <c r="I62" s="80">
        <v>0.90090090090089936</v>
      </c>
      <c r="J62" s="87">
        <v>2050</v>
      </c>
      <c r="K62" s="80">
        <v>0.81998578691302915</v>
      </c>
      <c r="L62" s="511" t="s">
        <v>997</v>
      </c>
    </row>
    <row r="63" spans="1:12" x14ac:dyDescent="0.25">
      <c r="A63" s="82" t="s">
        <v>1007</v>
      </c>
      <c r="B63" s="87">
        <v>8.2904411764705888</v>
      </c>
      <c r="C63" s="80">
        <v>2.4793388429751886</v>
      </c>
      <c r="D63" s="87">
        <v>13184.288602941178</v>
      </c>
      <c r="E63" s="80">
        <v>4.3793871666854907</v>
      </c>
      <c r="F63" s="511" t="s">
        <v>997</v>
      </c>
      <c r="G63" s="82" t="s">
        <v>1013</v>
      </c>
      <c r="H63" s="87">
        <v>3.416666666666667</v>
      </c>
      <c r="I63" s="80">
        <v>0.90090090090089936</v>
      </c>
      <c r="J63" s="87">
        <v>2904.166666666667</v>
      </c>
      <c r="K63" s="80">
        <v>1.1616465314601248</v>
      </c>
      <c r="L63" s="511" t="s">
        <v>997</v>
      </c>
    </row>
    <row r="64" spans="1:12" x14ac:dyDescent="0.25">
      <c r="A64" s="82" t="s">
        <v>152</v>
      </c>
      <c r="B64" s="87">
        <v>30.398284313725494</v>
      </c>
      <c r="C64" s="80">
        <v>9.090909090909026</v>
      </c>
      <c r="D64" s="87">
        <v>48637.25490196079</v>
      </c>
      <c r="E64" s="80">
        <v>16.155696856707252</v>
      </c>
      <c r="F64" s="511" t="s">
        <v>1000</v>
      </c>
      <c r="G64" s="82" t="s">
        <v>1007</v>
      </c>
      <c r="H64" s="87">
        <v>6.8333333333333339</v>
      </c>
      <c r="I64" s="80">
        <v>1.8018018018017987</v>
      </c>
      <c r="J64" s="87">
        <v>14086.916666666668</v>
      </c>
      <c r="K64" s="80">
        <v>5.6346689990706986</v>
      </c>
      <c r="L64" s="511" t="s">
        <v>997</v>
      </c>
    </row>
    <row r="65" spans="1:12" x14ac:dyDescent="0.25">
      <c r="A65" s="82" t="s">
        <v>1008</v>
      </c>
      <c r="B65" s="87">
        <v>2.7634803921568629</v>
      </c>
      <c r="C65" s="80">
        <v>0.82644628099172945</v>
      </c>
      <c r="D65" s="87">
        <v>55.269607843137258</v>
      </c>
      <c r="E65" s="80">
        <v>1.8358746428076424E-2</v>
      </c>
      <c r="F65" s="511" t="s">
        <v>1004</v>
      </c>
      <c r="G65" s="82" t="s">
        <v>152</v>
      </c>
      <c r="H65" s="87">
        <v>47.833333333333336</v>
      </c>
      <c r="I65" s="80">
        <v>12.612612612612589</v>
      </c>
      <c r="J65" s="87">
        <v>3826.666666666667</v>
      </c>
      <c r="K65" s="80">
        <v>1.5306401355709878</v>
      </c>
      <c r="L65" s="511" t="s">
        <v>1000</v>
      </c>
    </row>
    <row r="66" spans="1:12" x14ac:dyDescent="0.25">
      <c r="A66" s="82" t="s">
        <v>1009</v>
      </c>
      <c r="B66" s="87">
        <v>60.796568627450988</v>
      </c>
      <c r="C66" s="80">
        <v>18.181818181818052</v>
      </c>
      <c r="D66" s="87">
        <v>2735.8455882352946</v>
      </c>
      <c r="E66" s="80">
        <v>0.90875794818978295</v>
      </c>
      <c r="F66" s="511" t="s">
        <v>1001</v>
      </c>
      <c r="G66" s="82" t="s">
        <v>1008</v>
      </c>
      <c r="H66" s="87">
        <v>13.666666666666668</v>
      </c>
      <c r="I66" s="80">
        <v>3.6036036036035974</v>
      </c>
      <c r="J66" s="87">
        <v>273.33333333333337</v>
      </c>
      <c r="K66" s="80">
        <v>0.10933143825507056</v>
      </c>
      <c r="L66" s="511" t="s">
        <v>1004</v>
      </c>
    </row>
    <row r="67" spans="1:12" x14ac:dyDescent="0.25">
      <c r="A67" s="82" t="s">
        <v>1010</v>
      </c>
      <c r="B67" s="87">
        <v>2.7634803921568629</v>
      </c>
      <c r="C67" s="80">
        <v>0.82644628099172945</v>
      </c>
      <c r="D67" s="87">
        <v>4421.5686274509808</v>
      </c>
      <c r="E67" s="80">
        <v>1.4686997142461138</v>
      </c>
      <c r="F67" s="511" t="s">
        <v>1011</v>
      </c>
      <c r="G67" s="82" t="s">
        <v>1014</v>
      </c>
      <c r="H67" s="87">
        <v>3.416666666666667</v>
      </c>
      <c r="I67" s="80">
        <v>0.90090090090089936</v>
      </c>
      <c r="J67" s="87">
        <v>444.16666666666669</v>
      </c>
      <c r="K67" s="80">
        <v>0.17766358716448963</v>
      </c>
      <c r="L67" s="511" t="s">
        <v>1001</v>
      </c>
    </row>
    <row r="68" spans="1:12" ht="13" x14ac:dyDescent="0.3">
      <c r="A68" s="754" t="s">
        <v>988</v>
      </c>
      <c r="B68" s="755">
        <v>334.38112745098283</v>
      </c>
      <c r="C68" s="80"/>
      <c r="D68" s="87"/>
      <c r="E68" s="80"/>
      <c r="F68" s="511"/>
      <c r="G68" s="82" t="s">
        <v>1009</v>
      </c>
      <c r="H68" s="87">
        <v>44.416666666666664</v>
      </c>
      <c r="I68" s="80">
        <v>11.71171171171169</v>
      </c>
      <c r="J68" s="87">
        <v>1998.75</v>
      </c>
      <c r="K68" s="80">
        <v>0.79948614224020342</v>
      </c>
      <c r="L68" s="511" t="s">
        <v>1001</v>
      </c>
    </row>
    <row r="69" spans="1:12" ht="15" x14ac:dyDescent="0.3">
      <c r="A69" s="754" t="s">
        <v>989</v>
      </c>
      <c r="B69" s="755">
        <v>301053.27757352905</v>
      </c>
      <c r="C69" s="80"/>
      <c r="D69" s="87"/>
      <c r="E69" s="80"/>
      <c r="F69" s="511"/>
      <c r="G69" s="754" t="s">
        <v>988</v>
      </c>
      <c r="H69" s="755">
        <v>379.25000000000068</v>
      </c>
      <c r="I69" s="80"/>
      <c r="J69" s="87"/>
      <c r="K69" s="80"/>
      <c r="L69" s="511"/>
    </row>
    <row r="70" spans="1:12" ht="15" x14ac:dyDescent="0.3">
      <c r="A70" s="754" t="s">
        <v>990</v>
      </c>
      <c r="B70" s="756">
        <v>41.202003479003906</v>
      </c>
      <c r="C70" s="80"/>
      <c r="D70" s="87"/>
      <c r="E70" s="80"/>
      <c r="F70" s="511"/>
      <c r="G70" s="754" t="s">
        <v>989</v>
      </c>
      <c r="H70" s="755">
        <v>250004.33333333264</v>
      </c>
      <c r="I70" s="80"/>
      <c r="J70" s="87"/>
      <c r="K70" s="80"/>
      <c r="L70" s="511"/>
    </row>
    <row r="71" spans="1:12" ht="13" x14ac:dyDescent="0.3">
      <c r="A71" s="82"/>
      <c r="B71" s="87"/>
      <c r="C71" s="80"/>
      <c r="D71" s="87"/>
      <c r="E71" s="80"/>
      <c r="F71" s="511"/>
      <c r="G71" s="754" t="s">
        <v>990</v>
      </c>
      <c r="H71" s="756">
        <v>39.866268157958984</v>
      </c>
      <c r="I71" s="80"/>
      <c r="J71" s="87"/>
      <c r="K71" s="80"/>
      <c r="L71" s="511"/>
    </row>
    <row r="73" spans="1:12" x14ac:dyDescent="0.25">
      <c r="A73" s="82"/>
      <c r="B73" s="840">
        <v>40763</v>
      </c>
      <c r="C73" s="840"/>
      <c r="D73" s="840"/>
      <c r="E73" s="840"/>
      <c r="F73" s="840"/>
      <c r="G73" s="82"/>
      <c r="H73" s="840">
        <v>40763</v>
      </c>
      <c r="I73" s="840"/>
      <c r="J73" s="840"/>
      <c r="K73" s="840"/>
      <c r="L73" s="840"/>
    </row>
    <row r="74" spans="1:12" ht="13" x14ac:dyDescent="0.3">
      <c r="A74" s="82"/>
      <c r="B74" s="754" t="s">
        <v>991</v>
      </c>
      <c r="C74" s="754" t="s">
        <v>991</v>
      </c>
      <c r="D74" s="754" t="s">
        <v>992</v>
      </c>
      <c r="E74" s="754" t="s">
        <v>992</v>
      </c>
      <c r="F74" s="511"/>
      <c r="G74" s="82"/>
      <c r="H74" s="754" t="s">
        <v>991</v>
      </c>
      <c r="I74" s="754" t="s">
        <v>991</v>
      </c>
      <c r="J74" s="754" t="s">
        <v>992</v>
      </c>
      <c r="K74" s="754" t="s">
        <v>992</v>
      </c>
      <c r="L74" s="511"/>
    </row>
    <row r="75" spans="1:12" ht="15" x14ac:dyDescent="0.3">
      <c r="A75" s="91" t="s">
        <v>161</v>
      </c>
      <c r="B75" s="754" t="s">
        <v>993</v>
      </c>
      <c r="C75" s="754" t="s">
        <v>837</v>
      </c>
      <c r="D75" s="754" t="s">
        <v>994</v>
      </c>
      <c r="E75" s="754" t="s">
        <v>837</v>
      </c>
      <c r="F75" s="754" t="s">
        <v>995</v>
      </c>
      <c r="G75" s="91" t="s">
        <v>161</v>
      </c>
      <c r="H75" s="754" t="s">
        <v>993</v>
      </c>
      <c r="I75" s="754" t="s">
        <v>837</v>
      </c>
      <c r="J75" s="754" t="s">
        <v>994</v>
      </c>
      <c r="K75" s="754" t="s">
        <v>837</v>
      </c>
      <c r="L75" s="754" t="s">
        <v>995</v>
      </c>
    </row>
    <row r="76" spans="1:12" x14ac:dyDescent="0.25">
      <c r="A76" s="82" t="s">
        <v>225</v>
      </c>
      <c r="B76" s="87">
        <v>157.11065573770492</v>
      </c>
      <c r="C76" s="80">
        <v>30.909090909090885</v>
      </c>
      <c r="D76" s="87">
        <v>3927.7663934426228</v>
      </c>
      <c r="E76" s="80">
        <v>3.141516058690895</v>
      </c>
      <c r="F76" s="511" t="s">
        <v>1001</v>
      </c>
      <c r="G76" s="82" t="s">
        <v>225</v>
      </c>
      <c r="H76" s="87">
        <v>245.10869565217394</v>
      </c>
      <c r="I76" s="80">
        <v>40.909090909090779</v>
      </c>
      <c r="J76" s="87">
        <v>6127.717391304348</v>
      </c>
      <c r="K76" s="80">
        <v>3.5452053067784215</v>
      </c>
      <c r="L76" s="511" t="s">
        <v>1001</v>
      </c>
    </row>
    <row r="77" spans="1:12" x14ac:dyDescent="0.25">
      <c r="A77" s="82" t="s">
        <v>12</v>
      </c>
      <c r="B77" s="87">
        <v>13.862704918032788</v>
      </c>
      <c r="C77" s="80">
        <v>2.7272727272727253</v>
      </c>
      <c r="D77" s="87">
        <v>15248.975409836066</v>
      </c>
      <c r="E77" s="80">
        <v>12.196474110211712</v>
      </c>
      <c r="F77" s="511" t="s">
        <v>997</v>
      </c>
      <c r="G77" s="82" t="s">
        <v>224</v>
      </c>
      <c r="H77" s="87">
        <v>5.4468599033816423</v>
      </c>
      <c r="I77" s="80">
        <v>0.90909090909090606</v>
      </c>
      <c r="J77" s="87">
        <v>53379.227053140094</v>
      </c>
      <c r="K77" s="80">
        <v>30.882677339047582</v>
      </c>
      <c r="L77" s="511" t="s">
        <v>1002</v>
      </c>
    </row>
    <row r="78" spans="1:12" x14ac:dyDescent="0.25">
      <c r="A78" s="82" t="s">
        <v>226</v>
      </c>
      <c r="B78" s="87">
        <v>23.104508196721312</v>
      </c>
      <c r="C78" s="80">
        <v>4.5454545454545423</v>
      </c>
      <c r="D78" s="87">
        <v>7508.9651639344265</v>
      </c>
      <c r="E78" s="80">
        <v>6.0058395239678886</v>
      </c>
      <c r="F78" s="511" t="s">
        <v>1001</v>
      </c>
      <c r="G78" s="82" t="s">
        <v>226</v>
      </c>
      <c r="H78" s="87">
        <v>16.340579710144929</v>
      </c>
      <c r="I78" s="80">
        <v>2.7272727272727186</v>
      </c>
      <c r="J78" s="87">
        <v>5310.688405797102</v>
      </c>
      <c r="K78" s="80">
        <v>3.0725112658746321</v>
      </c>
      <c r="L78" s="511" t="s">
        <v>1001</v>
      </c>
    </row>
    <row r="79" spans="1:12" x14ac:dyDescent="0.25">
      <c r="A79" s="82" t="s">
        <v>1003</v>
      </c>
      <c r="B79" s="87">
        <v>4.6209016393442628</v>
      </c>
      <c r="C79" s="80">
        <v>0.90909090909090851</v>
      </c>
      <c r="D79" s="87">
        <v>2125.6147540983607</v>
      </c>
      <c r="E79" s="80">
        <v>1.7001145729386022</v>
      </c>
      <c r="F79" s="511" t="s">
        <v>997</v>
      </c>
      <c r="G79" s="82" t="s">
        <v>227</v>
      </c>
      <c r="H79" s="87">
        <v>5.4468599033816423</v>
      </c>
      <c r="I79" s="80">
        <v>0.90909090909090606</v>
      </c>
      <c r="J79" s="87">
        <v>10349.033816425121</v>
      </c>
      <c r="K79" s="80">
        <v>5.9874578514480001</v>
      </c>
      <c r="L79" s="511" t="s">
        <v>1001</v>
      </c>
    </row>
    <row r="80" spans="1:12" x14ac:dyDescent="0.25">
      <c r="A80" s="82" t="s">
        <v>151</v>
      </c>
      <c r="B80" s="87">
        <v>101.65983606557377</v>
      </c>
      <c r="C80" s="80">
        <v>19.999999999999986</v>
      </c>
      <c r="D80" s="87">
        <v>52863.114754098358</v>
      </c>
      <c r="E80" s="80">
        <v>42.281110248733924</v>
      </c>
      <c r="F80" s="511" t="s">
        <v>1004</v>
      </c>
      <c r="G80" s="82" t="s">
        <v>151</v>
      </c>
      <c r="H80" s="87">
        <v>65.362318840579718</v>
      </c>
      <c r="I80" s="80">
        <v>10.909090909090875</v>
      </c>
      <c r="J80" s="87">
        <v>33988.405797101455</v>
      </c>
      <c r="K80" s="80">
        <v>19.664072101597647</v>
      </c>
      <c r="L80" s="511" t="s">
        <v>1004</v>
      </c>
    </row>
    <row r="81" spans="1:12" x14ac:dyDescent="0.25">
      <c r="A81" s="82" t="s">
        <v>1015</v>
      </c>
      <c r="B81" s="87">
        <v>9.2418032786885256</v>
      </c>
      <c r="C81" s="80">
        <v>1.818181818181817</v>
      </c>
      <c r="D81" s="87">
        <v>1109.016393442623</v>
      </c>
      <c r="E81" s="80">
        <v>0.88701629892448808</v>
      </c>
      <c r="F81" s="511" t="s">
        <v>1016</v>
      </c>
      <c r="G81" s="82" t="s">
        <v>1020</v>
      </c>
      <c r="H81" s="87">
        <v>5.4468599033816423</v>
      </c>
      <c r="I81" s="80">
        <v>0.90909090909090606</v>
      </c>
      <c r="J81" s="87">
        <v>12364.371980676327</v>
      </c>
      <c r="K81" s="80">
        <v>7.1534364856773474</v>
      </c>
      <c r="L81" s="511" t="s">
        <v>997</v>
      </c>
    </row>
    <row r="82" spans="1:12" x14ac:dyDescent="0.25">
      <c r="A82" s="82" t="s">
        <v>1017</v>
      </c>
      <c r="B82" s="87">
        <v>4.6209016393442628</v>
      </c>
      <c r="C82" s="80">
        <v>0.90909090909090851</v>
      </c>
      <c r="D82" s="87">
        <v>3234.6311475409839</v>
      </c>
      <c r="E82" s="80">
        <v>2.5871308718630903</v>
      </c>
      <c r="F82" s="511" t="s">
        <v>1002</v>
      </c>
      <c r="G82" s="82" t="s">
        <v>1005</v>
      </c>
      <c r="H82" s="87">
        <v>5.4468599033816423</v>
      </c>
      <c r="I82" s="80">
        <v>0.90909090909090606</v>
      </c>
      <c r="J82" s="87">
        <v>2015.3381642512077</v>
      </c>
      <c r="K82" s="80">
        <v>1.1659786342293474</v>
      </c>
      <c r="L82" s="511" t="s">
        <v>997</v>
      </c>
    </row>
    <row r="83" spans="1:12" x14ac:dyDescent="0.25">
      <c r="A83" s="82" t="s">
        <v>1007</v>
      </c>
      <c r="B83" s="87">
        <v>9.2418032786885256</v>
      </c>
      <c r="C83" s="80">
        <v>1.818181818181817</v>
      </c>
      <c r="D83" s="87">
        <v>21773.688524590165</v>
      </c>
      <c r="E83" s="80">
        <v>17.415086668884115</v>
      </c>
      <c r="F83" s="511" t="s">
        <v>997</v>
      </c>
      <c r="G83" s="82" t="s">
        <v>1021</v>
      </c>
      <c r="H83" s="87">
        <v>5.4468599033816423</v>
      </c>
      <c r="I83" s="80">
        <v>0.90909090909090606</v>
      </c>
      <c r="J83" s="87">
        <v>653.62318840579712</v>
      </c>
      <c r="K83" s="80">
        <v>0.37815523272303164</v>
      </c>
      <c r="L83" s="511" t="s">
        <v>997</v>
      </c>
    </row>
    <row r="84" spans="1:12" x14ac:dyDescent="0.25">
      <c r="A84" s="82" t="s">
        <v>152</v>
      </c>
      <c r="B84" s="87">
        <v>13.862704918032788</v>
      </c>
      <c r="C84" s="80">
        <v>2.7272727272727253</v>
      </c>
      <c r="D84" s="87">
        <v>1109.016393442623</v>
      </c>
      <c r="E84" s="80">
        <v>0.88701629892448808</v>
      </c>
      <c r="F84" s="511" t="s">
        <v>1000</v>
      </c>
      <c r="G84" s="82" t="s">
        <v>1007</v>
      </c>
      <c r="H84" s="87">
        <v>16.340579710144929</v>
      </c>
      <c r="I84" s="80">
        <v>2.7272727272727186</v>
      </c>
      <c r="J84" s="87">
        <v>38498.405797101455</v>
      </c>
      <c r="K84" s="80">
        <v>22.273343207386564</v>
      </c>
      <c r="L84" s="511" t="s">
        <v>997</v>
      </c>
    </row>
    <row r="85" spans="1:12" x14ac:dyDescent="0.25">
      <c r="A85" s="82" t="s">
        <v>1008</v>
      </c>
      <c r="B85" s="87">
        <v>27.725409836065577</v>
      </c>
      <c r="C85" s="80">
        <v>5.4545454545454506</v>
      </c>
      <c r="D85" s="87">
        <v>554.50819672131149</v>
      </c>
      <c r="E85" s="80">
        <v>0.44350814946224404</v>
      </c>
      <c r="F85" s="511" t="s">
        <v>1004</v>
      </c>
      <c r="G85" s="82" t="s">
        <v>152</v>
      </c>
      <c r="H85" s="87">
        <v>27.234299516908212</v>
      </c>
      <c r="I85" s="80">
        <v>4.5454545454545308</v>
      </c>
      <c r="J85" s="87">
        <v>2178.7439613526572</v>
      </c>
      <c r="K85" s="80">
        <v>1.2605174424101055</v>
      </c>
      <c r="L85" s="511" t="s">
        <v>1000</v>
      </c>
    </row>
    <row r="86" spans="1:12" x14ac:dyDescent="0.25">
      <c r="A86" s="82" t="s">
        <v>1018</v>
      </c>
      <c r="B86" s="87">
        <v>4.6209016393442628</v>
      </c>
      <c r="C86" s="80">
        <v>0.90909090909090851</v>
      </c>
      <c r="D86" s="87">
        <v>831.7622950819673</v>
      </c>
      <c r="E86" s="80">
        <v>0.66526222419336611</v>
      </c>
      <c r="F86" s="511" t="s">
        <v>1001</v>
      </c>
      <c r="G86" s="82" t="s">
        <v>1008</v>
      </c>
      <c r="H86" s="87">
        <v>43.574879227053138</v>
      </c>
      <c r="I86" s="80">
        <v>7.2727272727272485</v>
      </c>
      <c r="J86" s="87">
        <v>871.49758454106279</v>
      </c>
      <c r="K86" s="80">
        <v>0.50420697696404215</v>
      </c>
      <c r="L86" s="511" t="s">
        <v>1004</v>
      </c>
    </row>
    <row r="87" spans="1:12" x14ac:dyDescent="0.25">
      <c r="A87" s="82" t="s">
        <v>1009</v>
      </c>
      <c r="B87" s="87">
        <v>134.00614754098362</v>
      </c>
      <c r="C87" s="80">
        <v>26.363636363636346</v>
      </c>
      <c r="D87" s="87">
        <v>6030.2766393442625</v>
      </c>
      <c r="E87" s="80">
        <v>4.8231511254019042</v>
      </c>
      <c r="F87" s="511" t="s">
        <v>1001</v>
      </c>
      <c r="G87" s="82" t="s">
        <v>1009</v>
      </c>
      <c r="H87" s="87">
        <v>157.95893719806764</v>
      </c>
      <c r="I87" s="80">
        <v>26.363636363636278</v>
      </c>
      <c r="J87" s="87">
        <v>7108.152173913044</v>
      </c>
      <c r="K87" s="80">
        <v>4.1124381558629697</v>
      </c>
      <c r="L87" s="511" t="s">
        <v>1001</v>
      </c>
    </row>
    <row r="88" spans="1:12" x14ac:dyDescent="0.25">
      <c r="A88" s="82" t="s">
        <v>1019</v>
      </c>
      <c r="B88" s="87">
        <v>4.6209016393442628</v>
      </c>
      <c r="C88" s="80">
        <v>0.90909090909090851</v>
      </c>
      <c r="D88" s="87">
        <v>8710.3995901639355</v>
      </c>
      <c r="E88" s="80">
        <v>6.9667738478027514</v>
      </c>
      <c r="F88" s="511" t="s">
        <v>1011</v>
      </c>
      <c r="G88" s="82"/>
      <c r="H88" s="82"/>
      <c r="I88" s="80"/>
      <c r="J88" s="87"/>
      <c r="K88" s="80"/>
      <c r="L88" s="511"/>
    </row>
    <row r="89" spans="1:12" ht="13" x14ac:dyDescent="0.3">
      <c r="A89" s="754" t="s">
        <v>988</v>
      </c>
      <c r="B89" s="755">
        <v>508.29918032786924</v>
      </c>
      <c r="C89" s="80"/>
      <c r="D89" s="87"/>
      <c r="E89" s="80"/>
      <c r="F89" s="511"/>
      <c r="G89" s="754" t="s">
        <v>988</v>
      </c>
      <c r="H89" s="755">
        <v>599.15458937198264</v>
      </c>
      <c r="I89" s="80"/>
      <c r="J89" s="87"/>
      <c r="K89" s="80"/>
      <c r="L89" s="511"/>
    </row>
    <row r="90" spans="1:12" ht="15" x14ac:dyDescent="0.3">
      <c r="A90" s="754" t="s">
        <v>989</v>
      </c>
      <c r="B90" s="755">
        <v>125027.73565573836</v>
      </c>
      <c r="C90" s="80"/>
      <c r="D90" s="87"/>
      <c r="E90" s="80"/>
      <c r="F90" s="511"/>
      <c r="G90" s="754" t="s">
        <v>989</v>
      </c>
      <c r="H90" s="755">
        <v>172845.20531401021</v>
      </c>
      <c r="I90" s="80"/>
      <c r="J90" s="87"/>
      <c r="K90" s="80"/>
      <c r="L90" s="511"/>
    </row>
    <row r="91" spans="1:12" ht="13" x14ac:dyDescent="0.3">
      <c r="A91" s="754" t="s">
        <v>990</v>
      </c>
      <c r="B91" s="756">
        <v>34.895362854003906</v>
      </c>
      <c r="C91" s="80"/>
      <c r="D91" s="87"/>
      <c r="E91" s="80"/>
      <c r="F91" s="511"/>
      <c r="G91" s="754" t="s">
        <v>990</v>
      </c>
      <c r="H91" s="756">
        <v>37.216163635253906</v>
      </c>
      <c r="I91" s="82"/>
      <c r="J91" s="82"/>
      <c r="K91" s="82"/>
      <c r="L91" s="82"/>
    </row>
    <row r="93" spans="1:12" x14ac:dyDescent="0.25">
      <c r="A93" s="82"/>
      <c r="B93" s="840">
        <v>40767</v>
      </c>
      <c r="C93" s="840"/>
      <c r="D93" s="840"/>
      <c r="E93" s="840"/>
      <c r="F93" s="840"/>
      <c r="G93" s="757"/>
      <c r="H93" s="841">
        <v>40767</v>
      </c>
      <c r="I93" s="841"/>
      <c r="J93" s="841"/>
      <c r="K93" s="841"/>
      <c r="L93" s="841"/>
    </row>
    <row r="94" spans="1:12" ht="13" x14ac:dyDescent="0.3">
      <c r="A94" s="82"/>
      <c r="B94" s="754" t="s">
        <v>991</v>
      </c>
      <c r="C94" s="754" t="s">
        <v>991</v>
      </c>
      <c r="D94" s="754" t="s">
        <v>992</v>
      </c>
      <c r="E94" s="754" t="s">
        <v>992</v>
      </c>
      <c r="F94" s="511"/>
      <c r="G94" s="757"/>
      <c r="H94" s="758" t="s">
        <v>991</v>
      </c>
      <c r="I94" s="758" t="s">
        <v>991</v>
      </c>
      <c r="J94" s="758" t="s">
        <v>992</v>
      </c>
      <c r="K94" s="758" t="s">
        <v>992</v>
      </c>
      <c r="L94" s="759"/>
    </row>
    <row r="95" spans="1:12" ht="15" x14ac:dyDescent="0.3">
      <c r="A95" s="91" t="s">
        <v>161</v>
      </c>
      <c r="B95" s="754" t="s">
        <v>993</v>
      </c>
      <c r="C95" s="754" t="s">
        <v>837</v>
      </c>
      <c r="D95" s="754" t="s">
        <v>994</v>
      </c>
      <c r="E95" s="754" t="s">
        <v>837</v>
      </c>
      <c r="F95" s="754" t="s">
        <v>995</v>
      </c>
      <c r="G95" s="760" t="s">
        <v>161</v>
      </c>
      <c r="H95" s="758" t="s">
        <v>993</v>
      </c>
      <c r="I95" s="758" t="s">
        <v>837</v>
      </c>
      <c r="J95" s="758" t="s">
        <v>994</v>
      </c>
      <c r="K95" s="758" t="s">
        <v>837</v>
      </c>
      <c r="L95" s="758" t="s">
        <v>995</v>
      </c>
    </row>
    <row r="96" spans="1:12" ht="13" x14ac:dyDescent="0.3">
      <c r="A96" s="91"/>
      <c r="B96" s="754"/>
      <c r="C96" s="754"/>
      <c r="D96" s="754"/>
      <c r="E96" s="754"/>
      <c r="F96" s="754"/>
      <c r="G96" s="760"/>
      <c r="H96" s="758"/>
      <c r="I96" s="758"/>
      <c r="J96" s="758"/>
      <c r="K96" s="758"/>
      <c r="L96" s="758"/>
    </row>
    <row r="97" spans="1:12" x14ac:dyDescent="0.25">
      <c r="A97" s="82" t="s">
        <v>1022</v>
      </c>
      <c r="B97" s="87">
        <v>3.6051159072741807</v>
      </c>
      <c r="C97" s="80">
        <v>1.0752688172043094</v>
      </c>
      <c r="D97" s="87">
        <v>648.92086330935251</v>
      </c>
      <c r="E97" s="80">
        <v>0.72251434993778307</v>
      </c>
      <c r="F97" s="511" t="s">
        <v>997</v>
      </c>
      <c r="G97" s="757" t="s">
        <v>1036</v>
      </c>
      <c r="H97" s="761">
        <v>3.7962962962962963</v>
      </c>
      <c r="I97" s="762">
        <v>1.2195121951219512</v>
      </c>
      <c r="J97" s="761">
        <v>569.44444444444446</v>
      </c>
      <c r="K97" s="762">
        <v>0.99115886294255606</v>
      </c>
      <c r="L97" s="759" t="s">
        <v>997</v>
      </c>
    </row>
    <row r="98" spans="1:12" x14ac:dyDescent="0.25">
      <c r="A98" s="82" t="s">
        <v>1023</v>
      </c>
      <c r="B98" s="87">
        <v>104.54836131095124</v>
      </c>
      <c r="C98" s="80">
        <v>31.182795698924977</v>
      </c>
      <c r="D98" s="87">
        <v>5750.1598721023183</v>
      </c>
      <c r="E98" s="80">
        <v>6.4022799341709113</v>
      </c>
      <c r="F98" s="511" t="s">
        <v>997</v>
      </c>
      <c r="G98" s="757" t="s">
        <v>1037</v>
      </c>
      <c r="H98" s="761">
        <v>3.7962962962962963</v>
      </c>
      <c r="I98" s="762">
        <v>1.2195121951219512</v>
      </c>
      <c r="J98" s="761">
        <v>1841.2037037037037</v>
      </c>
      <c r="K98" s="762">
        <v>3.2047469901809311</v>
      </c>
      <c r="L98" s="759" t="s">
        <v>997</v>
      </c>
    </row>
    <row r="99" spans="1:12" x14ac:dyDescent="0.25">
      <c r="A99" s="82" t="s">
        <v>225</v>
      </c>
      <c r="B99" s="87">
        <v>10.81534772182254</v>
      </c>
      <c r="C99" s="80">
        <v>3.2258064516129279</v>
      </c>
      <c r="D99" s="87">
        <v>270.38369304556352</v>
      </c>
      <c r="E99" s="80">
        <v>0.30104764580740956</v>
      </c>
      <c r="F99" s="511" t="s">
        <v>1001</v>
      </c>
      <c r="G99" s="757" t="s">
        <v>1022</v>
      </c>
      <c r="H99" s="761">
        <v>7.5925925925925926</v>
      </c>
      <c r="I99" s="762">
        <v>2.4390243902439024</v>
      </c>
      <c r="J99" s="761">
        <v>1366.6666666666667</v>
      </c>
      <c r="K99" s="762">
        <v>2.3787812710621346</v>
      </c>
      <c r="L99" s="759" t="s">
        <v>997</v>
      </c>
    </row>
    <row r="100" spans="1:12" x14ac:dyDescent="0.25">
      <c r="A100" s="82" t="s">
        <v>12</v>
      </c>
      <c r="B100" s="87">
        <v>7.2102318145483615</v>
      </c>
      <c r="C100" s="80">
        <v>2.1505376344086189</v>
      </c>
      <c r="D100" s="87">
        <v>3965.6274980015992</v>
      </c>
      <c r="E100" s="80">
        <v>4.4153654718420077</v>
      </c>
      <c r="F100" s="511" t="s">
        <v>997</v>
      </c>
      <c r="G100" s="757" t="s">
        <v>1038</v>
      </c>
      <c r="H100" s="761">
        <v>11.388888888888889</v>
      </c>
      <c r="I100" s="762">
        <v>3.6585365853658534</v>
      </c>
      <c r="J100" s="761">
        <v>1503.3333333333335</v>
      </c>
      <c r="K100" s="762">
        <v>2.6166593981683484</v>
      </c>
      <c r="L100" s="759" t="s">
        <v>997</v>
      </c>
    </row>
    <row r="101" spans="1:12" x14ac:dyDescent="0.25">
      <c r="A101" s="82" t="s">
        <v>1003</v>
      </c>
      <c r="B101" s="87">
        <v>3.6051159072741807</v>
      </c>
      <c r="C101" s="80">
        <v>1.0752688172043094</v>
      </c>
      <c r="D101" s="87">
        <v>1658.353317346123</v>
      </c>
      <c r="E101" s="80">
        <v>1.8464255609521123</v>
      </c>
      <c r="F101" s="511" t="s">
        <v>997</v>
      </c>
      <c r="G101" s="757" t="s">
        <v>1023</v>
      </c>
      <c r="H101" s="761">
        <v>110.0925925925926</v>
      </c>
      <c r="I101" s="762">
        <v>35.365853658536587</v>
      </c>
      <c r="J101" s="761">
        <v>5504.6296296296296</v>
      </c>
      <c r="K101" s="762">
        <v>9.5812023417780416</v>
      </c>
      <c r="L101" s="759" t="s">
        <v>997</v>
      </c>
    </row>
    <row r="102" spans="1:12" x14ac:dyDescent="0.25">
      <c r="A102" s="82" t="s">
        <v>151</v>
      </c>
      <c r="B102" s="87">
        <v>36.051159072741804</v>
      </c>
      <c r="C102" s="80">
        <v>10.752688172043094</v>
      </c>
      <c r="D102" s="87">
        <v>18746.602717825739</v>
      </c>
      <c r="E102" s="80">
        <v>20.8726367759804</v>
      </c>
      <c r="F102" s="511" t="s">
        <v>1004</v>
      </c>
      <c r="G102" s="757" t="s">
        <v>998</v>
      </c>
      <c r="H102" s="761">
        <v>3.7962962962962963</v>
      </c>
      <c r="I102" s="762">
        <v>1.2195121951219512</v>
      </c>
      <c r="J102" s="761">
        <v>1260.3703703703704</v>
      </c>
      <c r="K102" s="762">
        <v>2.1937649499795242</v>
      </c>
      <c r="L102" s="759" t="s">
        <v>997</v>
      </c>
    </row>
    <row r="103" spans="1:12" x14ac:dyDescent="0.25">
      <c r="A103" s="82" t="s">
        <v>1024</v>
      </c>
      <c r="B103" s="87">
        <v>3.6051159072741807</v>
      </c>
      <c r="C103" s="80">
        <v>1.0752688172043094</v>
      </c>
      <c r="D103" s="87">
        <v>6489.2086330935253</v>
      </c>
      <c r="E103" s="80">
        <v>7.2251434993778316</v>
      </c>
      <c r="F103" s="511" t="s">
        <v>997</v>
      </c>
      <c r="G103" s="757" t="s">
        <v>225</v>
      </c>
      <c r="H103" s="761">
        <v>7.5925925925925926</v>
      </c>
      <c r="I103" s="762">
        <v>2.4390243902439024</v>
      </c>
      <c r="J103" s="761">
        <v>189.81481481481481</v>
      </c>
      <c r="K103" s="762">
        <v>0.33038628764751865</v>
      </c>
      <c r="L103" s="759" t="s">
        <v>1001</v>
      </c>
    </row>
    <row r="104" spans="1:12" x14ac:dyDescent="0.25">
      <c r="A104" s="82" t="s">
        <v>1005</v>
      </c>
      <c r="B104" s="87">
        <v>18.025579536370902</v>
      </c>
      <c r="C104" s="80">
        <v>5.3763440860215468</v>
      </c>
      <c r="D104" s="87">
        <v>6669.4644284572341</v>
      </c>
      <c r="E104" s="80">
        <v>7.4258419299161034</v>
      </c>
      <c r="F104" s="511" t="s">
        <v>997</v>
      </c>
      <c r="G104" s="757" t="s">
        <v>12</v>
      </c>
      <c r="H104" s="761">
        <v>7.5925925925925926</v>
      </c>
      <c r="I104" s="762">
        <v>2.4390243902439024</v>
      </c>
      <c r="J104" s="761">
        <v>4175.9259259259261</v>
      </c>
      <c r="K104" s="762">
        <v>7.2684983282454114</v>
      </c>
      <c r="L104" s="759" t="s">
        <v>997</v>
      </c>
    </row>
    <row r="105" spans="1:12" x14ac:dyDescent="0.25">
      <c r="A105" s="82" t="s">
        <v>1025</v>
      </c>
      <c r="B105" s="87">
        <v>3.6051159072741807</v>
      </c>
      <c r="C105" s="80">
        <v>1.0752688172043094</v>
      </c>
      <c r="D105" s="87">
        <v>504.71622701838533</v>
      </c>
      <c r="E105" s="80">
        <v>0.56195560550716461</v>
      </c>
      <c r="F105" s="511" t="s">
        <v>997</v>
      </c>
      <c r="G105" s="757" t="s">
        <v>151</v>
      </c>
      <c r="H105" s="761">
        <v>30.37037037037037</v>
      </c>
      <c r="I105" s="762">
        <v>9.7560975609756095</v>
      </c>
      <c r="J105" s="761">
        <v>15792.592592592593</v>
      </c>
      <c r="K105" s="762">
        <v>27.488139132273552</v>
      </c>
      <c r="L105" s="759" t="s">
        <v>1004</v>
      </c>
    </row>
    <row r="106" spans="1:12" x14ac:dyDescent="0.25">
      <c r="A106" s="82" t="s">
        <v>1015</v>
      </c>
      <c r="B106" s="87">
        <v>54.076738609112709</v>
      </c>
      <c r="C106" s="80">
        <v>16.12903225806464</v>
      </c>
      <c r="D106" s="87">
        <v>6489.2086330935253</v>
      </c>
      <c r="E106" s="80">
        <v>7.2251434993778316</v>
      </c>
      <c r="F106" s="511" t="s">
        <v>1016</v>
      </c>
      <c r="G106" s="757" t="s">
        <v>1005</v>
      </c>
      <c r="H106" s="761">
        <v>15.185185185185185</v>
      </c>
      <c r="I106" s="762">
        <v>4.8780487804878048</v>
      </c>
      <c r="J106" s="761">
        <v>5618.5185185185182</v>
      </c>
      <c r="K106" s="762">
        <v>9.7794341143665537</v>
      </c>
      <c r="L106" s="759" t="s">
        <v>997</v>
      </c>
    </row>
    <row r="107" spans="1:12" x14ac:dyDescent="0.25">
      <c r="A107" s="82" t="s">
        <v>1026</v>
      </c>
      <c r="B107" s="87">
        <v>3.6051159072741807</v>
      </c>
      <c r="C107" s="80">
        <v>1.0752688172043094</v>
      </c>
      <c r="D107" s="87">
        <v>3677.2182254196646</v>
      </c>
      <c r="E107" s="80">
        <v>4.0942479829807716</v>
      </c>
      <c r="F107" s="511" t="s">
        <v>997</v>
      </c>
      <c r="G107" s="757" t="s">
        <v>1025</v>
      </c>
      <c r="H107" s="761">
        <v>7.5925925925925926</v>
      </c>
      <c r="I107" s="762">
        <v>2.4390243902439024</v>
      </c>
      <c r="J107" s="761">
        <v>1062.962962962963</v>
      </c>
      <c r="K107" s="762">
        <v>1.8501632108261046</v>
      </c>
      <c r="L107" s="759" t="s">
        <v>997</v>
      </c>
    </row>
    <row r="108" spans="1:12" x14ac:dyDescent="0.25">
      <c r="A108" s="82" t="s">
        <v>1021</v>
      </c>
      <c r="B108" s="87">
        <v>10.81534772182254</v>
      </c>
      <c r="C108" s="80">
        <v>3.2258064516129279</v>
      </c>
      <c r="D108" s="87">
        <v>1297.8417266187048</v>
      </c>
      <c r="E108" s="80">
        <v>1.4450286998755657</v>
      </c>
      <c r="F108" s="511" t="s">
        <v>997</v>
      </c>
      <c r="G108" s="757" t="s">
        <v>1015</v>
      </c>
      <c r="H108" s="761">
        <v>49.351851851851848</v>
      </c>
      <c r="I108" s="762">
        <v>15.853658536585364</v>
      </c>
      <c r="J108" s="761">
        <v>5922.2222222222217</v>
      </c>
      <c r="K108" s="762">
        <v>10.308052174602581</v>
      </c>
      <c r="L108" s="759" t="s">
        <v>1016</v>
      </c>
    </row>
    <row r="109" spans="1:12" x14ac:dyDescent="0.25">
      <c r="A109" s="82" t="s">
        <v>1027</v>
      </c>
      <c r="B109" s="87">
        <v>14.420463629096723</v>
      </c>
      <c r="C109" s="80">
        <v>4.3010752688172378</v>
      </c>
      <c r="D109" s="87">
        <v>4153.0935251798564</v>
      </c>
      <c r="E109" s="80">
        <v>4.624091839601812</v>
      </c>
      <c r="F109" s="511" t="s">
        <v>997</v>
      </c>
      <c r="G109" s="757" t="s">
        <v>1012</v>
      </c>
      <c r="H109" s="761">
        <v>3.7962962962962963</v>
      </c>
      <c r="I109" s="762">
        <v>1.2195121951219512</v>
      </c>
      <c r="J109" s="761">
        <v>911.11111111111109</v>
      </c>
      <c r="K109" s="762">
        <v>1.5858541807080895</v>
      </c>
      <c r="L109" s="759" t="s">
        <v>997</v>
      </c>
    </row>
    <row r="110" spans="1:12" x14ac:dyDescent="0.25">
      <c r="A110" s="82" t="s">
        <v>1028</v>
      </c>
      <c r="B110" s="87">
        <v>3.6051159072741807</v>
      </c>
      <c r="C110" s="80">
        <v>1.0752688172043094</v>
      </c>
      <c r="D110" s="87">
        <v>811.15107913669067</v>
      </c>
      <c r="E110" s="80">
        <v>0.90314293742222895</v>
      </c>
      <c r="F110" s="511" t="s">
        <v>997</v>
      </c>
      <c r="G110" s="757" t="s">
        <v>1027</v>
      </c>
      <c r="H110" s="761">
        <v>11.388888888888889</v>
      </c>
      <c r="I110" s="762">
        <v>3.6585365853658534</v>
      </c>
      <c r="J110" s="761">
        <v>5576</v>
      </c>
      <c r="K110" s="762">
        <v>9.7054275859335082</v>
      </c>
      <c r="L110" s="759" t="s">
        <v>997</v>
      </c>
    </row>
    <row r="111" spans="1:12" x14ac:dyDescent="0.25">
      <c r="A111" s="82" t="s">
        <v>1029</v>
      </c>
      <c r="B111" s="87">
        <v>14.420463629096723</v>
      </c>
      <c r="C111" s="80">
        <v>4.3010752688172378</v>
      </c>
      <c r="D111" s="87">
        <v>908.48920863309354</v>
      </c>
      <c r="E111" s="80">
        <v>1.0115200899128964</v>
      </c>
      <c r="F111" s="511" t="s">
        <v>1016</v>
      </c>
      <c r="G111" s="757" t="s">
        <v>1039</v>
      </c>
      <c r="H111" s="761">
        <v>3.7962962962962963</v>
      </c>
      <c r="I111" s="762">
        <v>1.2195121951219512</v>
      </c>
      <c r="J111" s="761">
        <v>683.33333333333337</v>
      </c>
      <c r="K111" s="762">
        <v>1.1893906355310673</v>
      </c>
      <c r="L111" s="759" t="s">
        <v>997</v>
      </c>
    </row>
    <row r="112" spans="1:12" x14ac:dyDescent="0.25">
      <c r="A112" s="82" t="s">
        <v>1030</v>
      </c>
      <c r="B112" s="87">
        <v>3.6051159072741807</v>
      </c>
      <c r="C112" s="80">
        <v>1.0752688172043094</v>
      </c>
      <c r="D112" s="87">
        <v>216.30695443645084</v>
      </c>
      <c r="E112" s="80">
        <v>0.24083811664592766</v>
      </c>
      <c r="F112" s="511" t="s">
        <v>997</v>
      </c>
      <c r="G112" s="757" t="s">
        <v>1029</v>
      </c>
      <c r="H112" s="761">
        <v>11.388888888888889</v>
      </c>
      <c r="I112" s="762">
        <v>3.6585365853658534</v>
      </c>
      <c r="J112" s="761">
        <v>717.5</v>
      </c>
      <c r="K112" s="762">
        <v>1.2488601673076205</v>
      </c>
      <c r="L112" s="759" t="s">
        <v>1016</v>
      </c>
    </row>
    <row r="113" spans="1:12" x14ac:dyDescent="0.25">
      <c r="A113" s="82" t="s">
        <v>1031</v>
      </c>
      <c r="B113" s="87">
        <v>7.2102318145483615</v>
      </c>
      <c r="C113" s="80">
        <v>2.1505376344086189</v>
      </c>
      <c r="D113" s="87">
        <v>1384.3645083932854</v>
      </c>
      <c r="E113" s="80">
        <v>1.5413639465339373</v>
      </c>
      <c r="F113" s="511" t="s">
        <v>997</v>
      </c>
      <c r="G113" s="757" t="s">
        <v>1030</v>
      </c>
      <c r="H113" s="761">
        <v>3.7962962962962963</v>
      </c>
      <c r="I113" s="762">
        <v>1.2195121951219512</v>
      </c>
      <c r="J113" s="761">
        <v>227.77777777777777</v>
      </c>
      <c r="K113" s="762">
        <v>0.39646354517702237</v>
      </c>
      <c r="L113" s="759" t="s">
        <v>997</v>
      </c>
    </row>
    <row r="114" spans="1:12" x14ac:dyDescent="0.25">
      <c r="A114" s="82" t="s">
        <v>1032</v>
      </c>
      <c r="B114" s="87">
        <v>3.6051159072741807</v>
      </c>
      <c r="C114" s="80">
        <v>1.0752688172043094</v>
      </c>
      <c r="D114" s="87">
        <v>540.76738609112715</v>
      </c>
      <c r="E114" s="80">
        <v>0.60209529161481923</v>
      </c>
      <c r="F114" s="511" t="s">
        <v>997</v>
      </c>
      <c r="G114" s="757" t="s">
        <v>1040</v>
      </c>
      <c r="H114" s="761">
        <v>3.7962962962962963</v>
      </c>
      <c r="I114" s="762">
        <v>1.2195121951219512</v>
      </c>
      <c r="J114" s="761">
        <v>170.83333333333334</v>
      </c>
      <c r="K114" s="762">
        <v>0.29734765888276682</v>
      </c>
      <c r="L114" s="759" t="s">
        <v>997</v>
      </c>
    </row>
    <row r="115" spans="1:12" x14ac:dyDescent="0.25">
      <c r="A115" s="82" t="s">
        <v>1008</v>
      </c>
      <c r="B115" s="87">
        <v>7.2102318145483615</v>
      </c>
      <c r="C115" s="80">
        <v>2.1505376344086189</v>
      </c>
      <c r="D115" s="87">
        <v>144.20463629096724</v>
      </c>
      <c r="E115" s="80">
        <v>0.16055874443061849</v>
      </c>
      <c r="F115" s="511" t="s">
        <v>1004</v>
      </c>
      <c r="G115" s="757" t="s">
        <v>1041</v>
      </c>
      <c r="H115" s="761">
        <v>7.5925925925925926</v>
      </c>
      <c r="I115" s="762">
        <v>2.4390243902439024</v>
      </c>
      <c r="J115" s="761">
        <v>2733.3333333333335</v>
      </c>
      <c r="K115" s="762">
        <v>4.7575625421242691</v>
      </c>
      <c r="L115" s="759" t="s">
        <v>997</v>
      </c>
    </row>
    <row r="116" spans="1:12" x14ac:dyDescent="0.25">
      <c r="A116" s="82" t="s">
        <v>1033</v>
      </c>
      <c r="B116" s="87">
        <v>7.2102318145483615</v>
      </c>
      <c r="C116" s="80">
        <v>2.1505376344086189</v>
      </c>
      <c r="D116" s="87">
        <v>3028.297362110312</v>
      </c>
      <c r="E116" s="80">
        <v>3.3717336330429877</v>
      </c>
      <c r="F116" s="511" t="s">
        <v>1001</v>
      </c>
      <c r="G116" s="757" t="s">
        <v>1042</v>
      </c>
      <c r="H116" s="761">
        <v>3.7962962962962963</v>
      </c>
      <c r="I116" s="762">
        <v>1.2195121951219512</v>
      </c>
      <c r="J116" s="761">
        <v>372.03703703703701</v>
      </c>
      <c r="K116" s="762">
        <v>0.64755712378913655</v>
      </c>
      <c r="L116" s="759" t="s">
        <v>997</v>
      </c>
    </row>
    <row r="117" spans="1:12" x14ac:dyDescent="0.25">
      <c r="A117" s="82" t="s">
        <v>1034</v>
      </c>
      <c r="B117" s="87">
        <v>3.6051159072741807</v>
      </c>
      <c r="C117" s="80">
        <v>1.0752688172043094</v>
      </c>
      <c r="D117" s="87">
        <v>1297.841726618705</v>
      </c>
      <c r="E117" s="80">
        <v>1.4450286998755661</v>
      </c>
      <c r="F117" s="511" t="s">
        <v>997</v>
      </c>
      <c r="G117" s="757" t="s">
        <v>1043</v>
      </c>
      <c r="H117" s="761">
        <v>3.7962962962962963</v>
      </c>
      <c r="I117" s="762">
        <v>1.2195121951219512</v>
      </c>
      <c r="J117" s="761">
        <v>1252.7777777777778</v>
      </c>
      <c r="K117" s="762">
        <v>2.1805494984736233</v>
      </c>
      <c r="L117" s="759" t="s">
        <v>997</v>
      </c>
    </row>
    <row r="118" spans="1:12" x14ac:dyDescent="0.25">
      <c r="A118" s="82" t="s">
        <v>1035</v>
      </c>
      <c r="B118" s="87">
        <v>3.6051159072741807</v>
      </c>
      <c r="C118" s="80">
        <v>1.0752688172043094</v>
      </c>
      <c r="D118" s="87">
        <v>7570.7434052757799</v>
      </c>
      <c r="E118" s="80">
        <v>8.4293340826074683</v>
      </c>
      <c r="F118" s="511" t="s">
        <v>1011</v>
      </c>
      <c r="G118" s="82"/>
      <c r="H118" s="82"/>
      <c r="I118" s="762"/>
      <c r="J118" s="761"/>
      <c r="K118" s="762"/>
      <c r="L118" s="759"/>
    </row>
    <row r="119" spans="1:12" x14ac:dyDescent="0.25">
      <c r="A119" s="82" t="s">
        <v>1019</v>
      </c>
      <c r="B119" s="87">
        <v>7.2102318145483615</v>
      </c>
      <c r="C119" s="80">
        <v>2.1505376344086189</v>
      </c>
      <c r="D119" s="87">
        <v>13591.286970423662</v>
      </c>
      <c r="E119" s="80">
        <v>15.132661662585789</v>
      </c>
      <c r="F119" s="511" t="s">
        <v>1011</v>
      </c>
      <c r="G119" s="82"/>
      <c r="H119" s="82"/>
      <c r="I119" s="762"/>
      <c r="J119" s="761"/>
      <c r="K119" s="762"/>
      <c r="L119" s="759"/>
    </row>
    <row r="120" spans="1:12" ht="13" x14ac:dyDescent="0.3">
      <c r="A120" s="754" t="s">
        <v>988</v>
      </c>
      <c r="B120" s="755">
        <v>335.27577937649619</v>
      </c>
      <c r="C120" s="80"/>
      <c r="D120" s="87"/>
      <c r="E120" s="80"/>
      <c r="F120" s="511"/>
      <c r="G120" s="758" t="s">
        <v>988</v>
      </c>
      <c r="H120" s="763">
        <v>311.2962962962963</v>
      </c>
      <c r="I120" s="762"/>
      <c r="J120" s="761"/>
      <c r="K120" s="762"/>
      <c r="L120" s="759"/>
    </row>
    <row r="121" spans="1:12" ht="15" x14ac:dyDescent="0.3">
      <c r="A121" s="754" t="s">
        <v>989</v>
      </c>
      <c r="B121" s="755">
        <v>89814.252597921717</v>
      </c>
      <c r="C121" s="80"/>
      <c r="D121" s="87"/>
      <c r="E121" s="80"/>
      <c r="F121" s="511"/>
      <c r="G121" s="758" t="s">
        <v>989</v>
      </c>
      <c r="H121" s="763">
        <v>57452.38888888868</v>
      </c>
      <c r="I121" s="82"/>
      <c r="J121" s="82"/>
      <c r="K121" s="82"/>
      <c r="L121" s="82"/>
    </row>
    <row r="122" spans="1:12" ht="13" x14ac:dyDescent="0.3">
      <c r="A122" s="754" t="s">
        <v>990</v>
      </c>
      <c r="B122" s="756">
        <v>32.531108856201172</v>
      </c>
      <c r="C122" s="80"/>
      <c r="D122" s="87"/>
      <c r="E122" s="80"/>
      <c r="F122" s="511"/>
      <c r="G122" s="758" t="s">
        <v>990</v>
      </c>
      <c r="H122" s="764">
        <v>29.352153778076172</v>
      </c>
      <c r="I122" s="82"/>
      <c r="J122" s="82"/>
      <c r="K122" s="82"/>
      <c r="L122" s="82"/>
    </row>
    <row r="124" spans="1:12" x14ac:dyDescent="0.25">
      <c r="A124" s="757"/>
      <c r="B124" s="841">
        <v>40777</v>
      </c>
      <c r="C124" s="841"/>
      <c r="D124" s="841"/>
      <c r="E124" s="841"/>
      <c r="F124" s="841"/>
      <c r="G124" s="757"/>
      <c r="H124" s="841">
        <v>40777</v>
      </c>
      <c r="I124" s="841"/>
      <c r="J124" s="841"/>
      <c r="K124" s="841"/>
      <c r="L124" s="841"/>
    </row>
    <row r="125" spans="1:12" ht="13" x14ac:dyDescent="0.3">
      <c r="A125" s="757"/>
      <c r="B125" s="758" t="s">
        <v>991</v>
      </c>
      <c r="C125" s="758" t="s">
        <v>991</v>
      </c>
      <c r="D125" s="758" t="s">
        <v>992</v>
      </c>
      <c r="E125" s="758" t="s">
        <v>992</v>
      </c>
      <c r="F125" s="759"/>
      <c r="G125" s="757"/>
      <c r="H125" s="758" t="s">
        <v>991</v>
      </c>
      <c r="I125" s="758" t="s">
        <v>991</v>
      </c>
      <c r="J125" s="758" t="s">
        <v>992</v>
      </c>
      <c r="K125" s="758" t="s">
        <v>992</v>
      </c>
      <c r="L125" s="759"/>
    </row>
    <row r="126" spans="1:12" ht="15" x14ac:dyDescent="0.3">
      <c r="A126" s="760" t="s">
        <v>161</v>
      </c>
      <c r="B126" s="758" t="s">
        <v>993</v>
      </c>
      <c r="C126" s="758" t="s">
        <v>837</v>
      </c>
      <c r="D126" s="758" t="s">
        <v>994</v>
      </c>
      <c r="E126" s="758" t="s">
        <v>837</v>
      </c>
      <c r="F126" s="758" t="s">
        <v>995</v>
      </c>
      <c r="G126" s="760" t="s">
        <v>161</v>
      </c>
      <c r="H126" s="758" t="s">
        <v>993</v>
      </c>
      <c r="I126" s="758" t="s">
        <v>837</v>
      </c>
      <c r="J126" s="758" t="s">
        <v>994</v>
      </c>
      <c r="K126" s="758" t="s">
        <v>837</v>
      </c>
      <c r="L126" s="758" t="s">
        <v>995</v>
      </c>
    </row>
    <row r="127" spans="1:12" ht="13" x14ac:dyDescent="0.3">
      <c r="A127" s="760"/>
      <c r="B127" s="758"/>
      <c r="C127" s="758"/>
      <c r="D127" s="758"/>
      <c r="E127" s="758"/>
      <c r="F127" s="758"/>
      <c r="G127" s="760"/>
      <c r="H127" s="758"/>
      <c r="I127" s="758"/>
      <c r="J127" s="758"/>
      <c r="K127" s="758"/>
      <c r="L127" s="758"/>
    </row>
    <row r="128" spans="1:12" x14ac:dyDescent="0.25">
      <c r="A128" s="757" t="s">
        <v>1023</v>
      </c>
      <c r="B128" s="761">
        <v>11.65374677002584</v>
      </c>
      <c r="C128" s="762">
        <v>0.56497175141242328</v>
      </c>
      <c r="D128" s="761">
        <v>582.68733850129206</v>
      </c>
      <c r="E128" s="762">
        <v>0.57058085130663061</v>
      </c>
      <c r="F128" s="759" t="s">
        <v>997</v>
      </c>
      <c r="G128" s="757" t="s">
        <v>998</v>
      </c>
      <c r="H128" s="761">
        <v>13.79204892966361</v>
      </c>
      <c r="I128" s="762">
        <v>0.51020408163265762</v>
      </c>
      <c r="J128" s="761">
        <v>2289.4801223241593</v>
      </c>
      <c r="K128" s="762">
        <v>0.53424304840370673</v>
      </c>
      <c r="L128" s="759" t="s">
        <v>997</v>
      </c>
    </row>
    <row r="129" spans="1:12" x14ac:dyDescent="0.25">
      <c r="A129" s="757" t="s">
        <v>999</v>
      </c>
      <c r="B129" s="761">
        <v>11.65374677002584</v>
      </c>
      <c r="C129" s="762">
        <v>0.56497175141242328</v>
      </c>
      <c r="D129" s="761">
        <v>3123.2041343669252</v>
      </c>
      <c r="E129" s="762">
        <v>3.0583133630035397</v>
      </c>
      <c r="F129" s="759" t="s">
        <v>1000</v>
      </c>
      <c r="G129" s="757" t="s">
        <v>999</v>
      </c>
      <c r="H129" s="761">
        <v>13.79204892966361</v>
      </c>
      <c r="I129" s="762">
        <v>0.51020408163265762</v>
      </c>
      <c r="J129" s="761">
        <v>7392.5382262996945</v>
      </c>
      <c r="K129" s="762">
        <v>1.7250257466529324</v>
      </c>
      <c r="L129" s="759" t="s">
        <v>1000</v>
      </c>
    </row>
    <row r="130" spans="1:12" x14ac:dyDescent="0.25">
      <c r="A130" s="757" t="s">
        <v>225</v>
      </c>
      <c r="B130" s="761">
        <v>174.80620155038758</v>
      </c>
      <c r="C130" s="762">
        <v>8.4745762711863488</v>
      </c>
      <c r="D130" s="761">
        <v>4370.1550387596899</v>
      </c>
      <c r="E130" s="762">
        <v>4.2793563847997289</v>
      </c>
      <c r="F130" s="759" t="s">
        <v>1001</v>
      </c>
      <c r="G130" s="757" t="s">
        <v>225</v>
      </c>
      <c r="H130" s="761">
        <v>179.29663608562689</v>
      </c>
      <c r="I130" s="762">
        <v>6.6326530612245467</v>
      </c>
      <c r="J130" s="761">
        <v>4482.4159021406722</v>
      </c>
      <c r="K130" s="762">
        <v>1.0459577754891844</v>
      </c>
      <c r="L130" s="759" t="s">
        <v>1001</v>
      </c>
    </row>
    <row r="131" spans="1:12" x14ac:dyDescent="0.25">
      <c r="A131" s="757" t="s">
        <v>12</v>
      </c>
      <c r="B131" s="761">
        <v>11.65374677002584</v>
      </c>
      <c r="C131" s="762">
        <v>0.56497175141242328</v>
      </c>
      <c r="D131" s="761">
        <v>2563.8242894056848</v>
      </c>
      <c r="E131" s="762">
        <v>2.5105557457491745</v>
      </c>
      <c r="F131" s="759" t="s">
        <v>997</v>
      </c>
      <c r="G131" s="757" t="s">
        <v>223</v>
      </c>
      <c r="H131" s="761">
        <v>13.79204892966361</v>
      </c>
      <c r="I131" s="762">
        <v>0.51020408163265762</v>
      </c>
      <c r="J131" s="761">
        <v>17377.981651376147</v>
      </c>
      <c r="K131" s="762">
        <v>4.0550978372811466</v>
      </c>
      <c r="L131" s="759" t="s">
        <v>1000</v>
      </c>
    </row>
    <row r="132" spans="1:12" x14ac:dyDescent="0.25">
      <c r="A132" s="757" t="s">
        <v>151</v>
      </c>
      <c r="B132" s="761">
        <v>11.65374677002584</v>
      </c>
      <c r="C132" s="762">
        <v>0.56497175141242328</v>
      </c>
      <c r="D132" s="761">
        <v>6059.9483204134367</v>
      </c>
      <c r="E132" s="762">
        <v>5.9340408535889573</v>
      </c>
      <c r="F132" s="759" t="s">
        <v>1004</v>
      </c>
      <c r="G132" s="757" t="s">
        <v>151</v>
      </c>
      <c r="H132" s="761">
        <v>13.79204892966361</v>
      </c>
      <c r="I132" s="762">
        <v>0.51020408163265762</v>
      </c>
      <c r="J132" s="761">
        <v>7171.8654434250766</v>
      </c>
      <c r="K132" s="762">
        <v>1.6735324407826955</v>
      </c>
      <c r="L132" s="759" t="s">
        <v>1004</v>
      </c>
    </row>
    <row r="133" spans="1:12" x14ac:dyDescent="0.25">
      <c r="A133" s="757" t="s">
        <v>152</v>
      </c>
      <c r="B133" s="761">
        <v>81.576227390180875</v>
      </c>
      <c r="C133" s="762">
        <v>3.954802259886963</v>
      </c>
      <c r="D133" s="761">
        <v>6526.0981912144698</v>
      </c>
      <c r="E133" s="762">
        <v>6.3905055346342614</v>
      </c>
      <c r="F133" s="759" t="s">
        <v>1000</v>
      </c>
      <c r="G133" s="757" t="s">
        <v>1044</v>
      </c>
      <c r="H133" s="761">
        <v>41.376146788990823</v>
      </c>
      <c r="I133" s="762">
        <v>1.5306122448979727</v>
      </c>
      <c r="J133" s="761">
        <v>105426.42201834862</v>
      </c>
      <c r="K133" s="762">
        <v>24.600926879505622</v>
      </c>
      <c r="L133" s="759" t="s">
        <v>997</v>
      </c>
    </row>
    <row r="134" spans="1:12" x14ac:dyDescent="0.25">
      <c r="A134" s="757" t="s">
        <v>1008</v>
      </c>
      <c r="B134" s="761">
        <v>11.65374677002584</v>
      </c>
      <c r="C134" s="762">
        <v>0.56497175141242328</v>
      </c>
      <c r="D134" s="761">
        <v>233.07493540051681</v>
      </c>
      <c r="E134" s="762">
        <v>0.22823234052265223</v>
      </c>
      <c r="F134" s="759" t="s">
        <v>1004</v>
      </c>
      <c r="G134" s="757" t="s">
        <v>1045</v>
      </c>
      <c r="H134" s="761">
        <v>13.79204892966361</v>
      </c>
      <c r="I134" s="762">
        <v>0.51020408163265762</v>
      </c>
      <c r="J134" s="761">
        <v>35859.327217125385</v>
      </c>
      <c r="K134" s="762">
        <v>8.3676622039134774</v>
      </c>
      <c r="L134" s="759" t="s">
        <v>997</v>
      </c>
    </row>
    <row r="135" spans="1:12" x14ac:dyDescent="0.25">
      <c r="A135" s="757" t="s">
        <v>1009</v>
      </c>
      <c r="B135" s="761">
        <v>1748.062015503876</v>
      </c>
      <c r="C135" s="762">
        <v>84.745762711863492</v>
      </c>
      <c r="D135" s="761">
        <v>78662.790697674413</v>
      </c>
      <c r="E135" s="762">
        <v>77.028414926395115</v>
      </c>
      <c r="F135" s="759" t="s">
        <v>1001</v>
      </c>
      <c r="G135" s="757" t="s">
        <v>152</v>
      </c>
      <c r="H135" s="761">
        <v>110.33639143730888</v>
      </c>
      <c r="I135" s="762">
        <v>4.081632653061261</v>
      </c>
      <c r="J135" s="761">
        <v>8826.9113149847108</v>
      </c>
      <c r="K135" s="762">
        <v>2.0597322348094718</v>
      </c>
      <c r="L135" s="759" t="s">
        <v>1000</v>
      </c>
    </row>
    <row r="136" spans="1:12" ht="13" x14ac:dyDescent="0.3">
      <c r="A136" s="758" t="s">
        <v>988</v>
      </c>
      <c r="B136" s="763">
        <v>2062.7131782945958</v>
      </c>
      <c r="C136" s="762"/>
      <c r="D136" s="761"/>
      <c r="E136" s="762"/>
      <c r="F136" s="759"/>
      <c r="G136" s="757" t="s">
        <v>1046</v>
      </c>
      <c r="H136" s="761">
        <v>13.79204892966361</v>
      </c>
      <c r="I136" s="762">
        <v>0.51020408163265762</v>
      </c>
      <c r="J136" s="761">
        <v>42038.165137614684</v>
      </c>
      <c r="K136" s="762">
        <v>9.8094747682801078</v>
      </c>
      <c r="L136" s="759" t="s">
        <v>997</v>
      </c>
    </row>
    <row r="137" spans="1:12" ht="15" x14ac:dyDescent="0.3">
      <c r="A137" s="758" t="s">
        <v>989</v>
      </c>
      <c r="B137" s="763">
        <v>102121.78294573637</v>
      </c>
      <c r="C137" s="762"/>
      <c r="D137" s="761"/>
      <c r="E137" s="762"/>
      <c r="F137" s="759"/>
      <c r="G137" s="757" t="s">
        <v>1042</v>
      </c>
      <c r="H137" s="761">
        <v>13.79204892966361</v>
      </c>
      <c r="I137" s="762">
        <v>0.51020408163265762</v>
      </c>
      <c r="J137" s="761">
        <v>1351.6207951070337</v>
      </c>
      <c r="K137" s="762">
        <v>0.31539649845520035</v>
      </c>
      <c r="L137" s="759" t="s">
        <v>997</v>
      </c>
    </row>
    <row r="138" spans="1:12" ht="13" x14ac:dyDescent="0.3">
      <c r="A138" s="758" t="s">
        <v>990</v>
      </c>
      <c r="B138" s="764">
        <v>33.448097229003906</v>
      </c>
      <c r="C138" s="762"/>
      <c r="D138" s="761"/>
      <c r="E138" s="762"/>
      <c r="F138" s="759"/>
      <c r="G138" s="757" t="s">
        <v>1047</v>
      </c>
      <c r="H138" s="761">
        <v>13.79204892966361</v>
      </c>
      <c r="I138" s="762">
        <v>0.51020408163265762</v>
      </c>
      <c r="J138" s="761">
        <v>1655.045871559633</v>
      </c>
      <c r="K138" s="762">
        <v>0.3861997940267759</v>
      </c>
      <c r="L138" s="759" t="s">
        <v>997</v>
      </c>
    </row>
    <row r="139" spans="1:12" x14ac:dyDescent="0.25">
      <c r="A139" s="753"/>
      <c r="B139" s="765"/>
      <c r="C139" s="766"/>
      <c r="D139" s="765"/>
      <c r="E139" s="766"/>
      <c r="F139" s="767"/>
      <c r="G139" s="757" t="s">
        <v>1008</v>
      </c>
      <c r="H139" s="761">
        <v>13.79204892966361</v>
      </c>
      <c r="I139" s="762">
        <v>0.51020408163265762</v>
      </c>
      <c r="J139" s="761">
        <v>275.84097859327221</v>
      </c>
      <c r="K139" s="762">
        <v>6.4366632337795993E-2</v>
      </c>
      <c r="L139" s="759" t="s">
        <v>1004</v>
      </c>
    </row>
    <row r="140" spans="1:12" x14ac:dyDescent="0.25">
      <c r="A140" s="767"/>
      <c r="B140" s="768"/>
      <c r="C140" s="766"/>
      <c r="D140" s="765"/>
      <c r="E140" s="766"/>
      <c r="F140" s="767"/>
      <c r="G140" s="757" t="s">
        <v>1048</v>
      </c>
      <c r="H140" s="761">
        <v>68.960244648318039</v>
      </c>
      <c r="I140" s="762">
        <v>2.5510204081632879</v>
      </c>
      <c r="J140" s="761">
        <v>8068.3486238532105</v>
      </c>
      <c r="K140" s="762">
        <v>1.8827239958805322</v>
      </c>
      <c r="L140" s="759" t="s">
        <v>997</v>
      </c>
    </row>
    <row r="141" spans="1:12" x14ac:dyDescent="0.25">
      <c r="A141" s="753"/>
      <c r="B141" s="753"/>
      <c r="C141" s="766"/>
      <c r="D141" s="765"/>
      <c r="E141" s="766"/>
      <c r="F141" s="767"/>
      <c r="G141" s="757" t="s">
        <v>1009</v>
      </c>
      <c r="H141" s="761">
        <v>2137.7675840978595</v>
      </c>
      <c r="I141" s="762">
        <v>79.081632653061931</v>
      </c>
      <c r="J141" s="761">
        <v>96199.541284403676</v>
      </c>
      <c r="K141" s="762">
        <v>22.447863027806349</v>
      </c>
      <c r="L141" s="759" t="s">
        <v>1001</v>
      </c>
    </row>
    <row r="142" spans="1:12" x14ac:dyDescent="0.25">
      <c r="A142" s="753"/>
      <c r="B142" s="753"/>
      <c r="C142" s="766"/>
      <c r="D142" s="765"/>
      <c r="E142" s="766"/>
      <c r="F142" s="767"/>
      <c r="G142" s="757" t="s">
        <v>1049</v>
      </c>
      <c r="H142" s="761">
        <v>13.79204892966361</v>
      </c>
      <c r="I142" s="762">
        <v>0.51020408163265762</v>
      </c>
      <c r="J142" s="761">
        <v>55168.195718654439</v>
      </c>
      <c r="K142" s="762">
        <v>12.873326467559195</v>
      </c>
      <c r="L142" s="759" t="s">
        <v>1001</v>
      </c>
    </row>
    <row r="143" spans="1:12" x14ac:dyDescent="0.25">
      <c r="A143" s="753"/>
      <c r="B143" s="753"/>
      <c r="C143" s="766"/>
      <c r="D143" s="765"/>
      <c r="E143" s="766"/>
      <c r="F143" s="767"/>
      <c r="G143" s="757" t="s">
        <v>14</v>
      </c>
      <c r="H143" s="761">
        <v>27.584097859327219</v>
      </c>
      <c r="I143" s="762">
        <v>1.0204081632653152</v>
      </c>
      <c r="J143" s="761">
        <v>34962.84403669725</v>
      </c>
      <c r="K143" s="762">
        <v>8.1584706488156407</v>
      </c>
      <c r="L143" s="759" t="s">
        <v>997</v>
      </c>
    </row>
    <row r="144" spans="1:12" ht="13" x14ac:dyDescent="0.3">
      <c r="A144" s="753"/>
      <c r="B144" s="765"/>
      <c r="C144" s="766"/>
      <c r="D144" s="765"/>
      <c r="E144" s="766"/>
      <c r="F144" s="767"/>
      <c r="G144" s="758" t="s">
        <v>988</v>
      </c>
      <c r="H144" s="763">
        <v>2703.2415902140433</v>
      </c>
      <c r="I144" s="762"/>
      <c r="J144" s="761"/>
      <c r="K144" s="762"/>
      <c r="L144" s="759"/>
    </row>
    <row r="145" spans="1:12" ht="15" x14ac:dyDescent="0.3">
      <c r="A145" s="753"/>
      <c r="B145" s="765"/>
      <c r="C145" s="766"/>
      <c r="D145" s="765"/>
      <c r="E145" s="766"/>
      <c r="F145" s="767"/>
      <c r="G145" s="758" t="s">
        <v>989</v>
      </c>
      <c r="H145" s="763">
        <v>428546.54434250836</v>
      </c>
      <c r="I145" s="762"/>
      <c r="J145" s="761"/>
      <c r="K145" s="762"/>
      <c r="L145" s="759"/>
    </row>
    <row r="146" spans="1:12" ht="13" x14ac:dyDescent="0.3">
      <c r="A146" s="753"/>
      <c r="B146" s="765"/>
      <c r="C146" s="766"/>
      <c r="D146" s="765"/>
      <c r="E146" s="766"/>
      <c r="F146" s="767"/>
      <c r="G146" s="758" t="s">
        <v>990</v>
      </c>
      <c r="H146" s="764">
        <v>43.742599487304688</v>
      </c>
      <c r="I146" s="762"/>
      <c r="J146" s="761"/>
      <c r="K146" s="762"/>
      <c r="L146" s="759"/>
    </row>
    <row r="148" spans="1:12" x14ac:dyDescent="0.25">
      <c r="A148" s="757"/>
      <c r="B148" s="841">
        <v>40798</v>
      </c>
      <c r="C148" s="841"/>
      <c r="D148" s="841"/>
      <c r="E148" s="841"/>
      <c r="F148" s="841"/>
      <c r="G148" s="757"/>
      <c r="H148" s="841">
        <v>40798</v>
      </c>
      <c r="I148" s="841"/>
      <c r="J148" s="841"/>
      <c r="K148" s="841"/>
      <c r="L148" s="841"/>
    </row>
    <row r="149" spans="1:12" ht="13" x14ac:dyDescent="0.3">
      <c r="A149" s="757"/>
      <c r="B149" s="758" t="s">
        <v>991</v>
      </c>
      <c r="C149" s="758" t="s">
        <v>991</v>
      </c>
      <c r="D149" s="758" t="s">
        <v>992</v>
      </c>
      <c r="E149" s="758" t="s">
        <v>992</v>
      </c>
      <c r="F149" s="759"/>
      <c r="G149" s="757"/>
      <c r="H149" s="758" t="s">
        <v>991</v>
      </c>
      <c r="I149" s="758" t="s">
        <v>991</v>
      </c>
      <c r="J149" s="758" t="s">
        <v>992</v>
      </c>
      <c r="K149" s="758" t="s">
        <v>992</v>
      </c>
      <c r="L149" s="759"/>
    </row>
    <row r="150" spans="1:12" ht="15" x14ac:dyDescent="0.3">
      <c r="A150" s="760" t="s">
        <v>161</v>
      </c>
      <c r="B150" s="758" t="s">
        <v>993</v>
      </c>
      <c r="C150" s="758" t="s">
        <v>837</v>
      </c>
      <c r="D150" s="758" t="s">
        <v>994</v>
      </c>
      <c r="E150" s="758" t="s">
        <v>837</v>
      </c>
      <c r="F150" s="758" t="s">
        <v>995</v>
      </c>
      <c r="G150" s="760" t="s">
        <v>161</v>
      </c>
      <c r="H150" s="758" t="s">
        <v>993</v>
      </c>
      <c r="I150" s="758" t="s">
        <v>837</v>
      </c>
      <c r="J150" s="758" t="s">
        <v>994</v>
      </c>
      <c r="K150" s="758" t="s">
        <v>837</v>
      </c>
      <c r="L150" s="758" t="s">
        <v>995</v>
      </c>
    </row>
    <row r="151" spans="1:12" ht="13" x14ac:dyDescent="0.3">
      <c r="A151" s="760"/>
      <c r="B151" s="758"/>
      <c r="C151" s="758"/>
      <c r="D151" s="758"/>
      <c r="E151" s="758"/>
      <c r="F151" s="758"/>
      <c r="G151" s="760"/>
      <c r="H151" s="758"/>
      <c r="I151" s="758"/>
      <c r="J151" s="758"/>
      <c r="K151" s="758"/>
      <c r="L151" s="758"/>
    </row>
    <row r="152" spans="1:12" x14ac:dyDescent="0.25">
      <c r="A152" s="757" t="s">
        <v>225</v>
      </c>
      <c r="B152" s="761">
        <v>221.84606481481481</v>
      </c>
      <c r="C152" s="762">
        <v>12.68656716417898</v>
      </c>
      <c r="D152" s="761">
        <v>5546.1516203703704</v>
      </c>
      <c r="E152" s="762">
        <v>2.2303857255313502</v>
      </c>
      <c r="F152" s="759" t="s">
        <v>1001</v>
      </c>
      <c r="G152" s="757" t="s">
        <v>225</v>
      </c>
      <c r="H152" s="761">
        <v>118.26923076923076</v>
      </c>
      <c r="I152" s="762">
        <v>7.4999999999999112</v>
      </c>
      <c r="J152" s="761">
        <v>2956.7307692307691</v>
      </c>
      <c r="K152" s="762">
        <v>0.91207588471360879</v>
      </c>
      <c r="L152" s="759" t="s">
        <v>1001</v>
      </c>
    </row>
    <row r="153" spans="1:12" x14ac:dyDescent="0.25">
      <c r="A153" s="757" t="s">
        <v>223</v>
      </c>
      <c r="B153" s="761">
        <v>78.298611111111114</v>
      </c>
      <c r="C153" s="762">
        <v>4.4776119402984644</v>
      </c>
      <c r="D153" s="761">
        <v>113454.6875</v>
      </c>
      <c r="E153" s="762">
        <v>45.6258199947519</v>
      </c>
      <c r="F153" s="759" t="s">
        <v>1000</v>
      </c>
      <c r="G153" s="757" t="s">
        <v>223</v>
      </c>
      <c r="H153" s="761">
        <v>65.705128205128204</v>
      </c>
      <c r="I153" s="762">
        <v>4.1666666666666172</v>
      </c>
      <c r="J153" s="761">
        <v>91067.307692307702</v>
      </c>
      <c r="K153" s="762">
        <v>28.091937249179161</v>
      </c>
      <c r="L153" s="759" t="s">
        <v>1000</v>
      </c>
    </row>
    <row r="154" spans="1:12" x14ac:dyDescent="0.25">
      <c r="A154" s="757" t="s">
        <v>226</v>
      </c>
      <c r="B154" s="761">
        <v>13.049768518518517</v>
      </c>
      <c r="C154" s="762">
        <v>0.74626865671641052</v>
      </c>
      <c r="D154" s="761">
        <v>4241.1747685185182</v>
      </c>
      <c r="E154" s="762">
        <v>1.7055890842298558</v>
      </c>
      <c r="F154" s="759" t="s">
        <v>1001</v>
      </c>
      <c r="G154" s="757" t="s">
        <v>12</v>
      </c>
      <c r="H154" s="761">
        <v>39.42307692307692</v>
      </c>
      <c r="I154" s="762">
        <v>2.4999999999999702</v>
      </c>
      <c r="J154" s="761">
        <v>11274.999999999998</v>
      </c>
      <c r="K154" s="762">
        <v>3.4780493737078948</v>
      </c>
      <c r="L154" s="759" t="s">
        <v>997</v>
      </c>
    </row>
    <row r="155" spans="1:12" x14ac:dyDescent="0.25">
      <c r="A155" s="757" t="s">
        <v>1005</v>
      </c>
      <c r="B155" s="761">
        <v>13.049768518518517</v>
      </c>
      <c r="C155" s="762">
        <v>0.74626865671641052</v>
      </c>
      <c r="D155" s="761">
        <v>4828.4143518518513</v>
      </c>
      <c r="E155" s="762">
        <v>1.9417475728155282</v>
      </c>
      <c r="F155" s="759" t="s">
        <v>997</v>
      </c>
      <c r="G155" s="757" t="s">
        <v>226</v>
      </c>
      <c r="H155" s="761">
        <v>26.282051282051281</v>
      </c>
      <c r="I155" s="762">
        <v>1.666666666666647</v>
      </c>
      <c r="J155" s="761">
        <v>8541.6666666666661</v>
      </c>
      <c r="K155" s="762">
        <v>2.6348858891726477</v>
      </c>
      <c r="L155" s="759" t="s">
        <v>1001</v>
      </c>
    </row>
    <row r="156" spans="1:12" x14ac:dyDescent="0.25">
      <c r="A156" s="757" t="s">
        <v>1050</v>
      </c>
      <c r="B156" s="761">
        <v>13.049768518518517</v>
      </c>
      <c r="C156" s="762">
        <v>0.74626865671641052</v>
      </c>
      <c r="D156" s="761">
        <v>17538.888888888887</v>
      </c>
      <c r="E156" s="762">
        <v>7.0532668590920808</v>
      </c>
      <c r="F156" s="759" t="s">
        <v>997</v>
      </c>
      <c r="G156" s="757" t="s">
        <v>227</v>
      </c>
      <c r="H156" s="761">
        <v>13.141025641025641</v>
      </c>
      <c r="I156" s="762">
        <v>0.83333333333332349</v>
      </c>
      <c r="J156" s="761">
        <v>24967.948717948719</v>
      </c>
      <c r="K156" s="762">
        <v>7.7019741375815869</v>
      </c>
      <c r="L156" s="759" t="s">
        <v>1001</v>
      </c>
    </row>
    <row r="157" spans="1:12" x14ac:dyDescent="0.25">
      <c r="A157" s="757" t="s">
        <v>159</v>
      </c>
      <c r="B157" s="761">
        <v>13.049768518518517</v>
      </c>
      <c r="C157" s="762">
        <v>0.74626865671641052</v>
      </c>
      <c r="D157" s="761">
        <v>21923.611111111109</v>
      </c>
      <c r="E157" s="762">
        <v>8.8165835738651008</v>
      </c>
      <c r="F157" s="759" t="s">
        <v>997</v>
      </c>
      <c r="G157" s="757" t="s">
        <v>159</v>
      </c>
      <c r="H157" s="761">
        <v>13.141025641025641</v>
      </c>
      <c r="I157" s="762">
        <v>0.83333333333332349</v>
      </c>
      <c r="J157" s="761">
        <v>88307.692307692298</v>
      </c>
      <c r="K157" s="762">
        <v>27.240666423446452</v>
      </c>
      <c r="L157" s="759" t="s">
        <v>997</v>
      </c>
    </row>
    <row r="158" spans="1:12" x14ac:dyDescent="0.25">
      <c r="A158" s="757" t="s">
        <v>152</v>
      </c>
      <c r="B158" s="761">
        <v>78.298611111111114</v>
      </c>
      <c r="C158" s="762">
        <v>4.4776119402984644</v>
      </c>
      <c r="D158" s="761">
        <v>9395.8333333333339</v>
      </c>
      <c r="E158" s="762">
        <v>3.7785358173707579</v>
      </c>
      <c r="F158" s="759" t="s">
        <v>1000</v>
      </c>
      <c r="G158" s="757" t="s">
        <v>1007</v>
      </c>
      <c r="H158" s="761">
        <v>13.141025641025641</v>
      </c>
      <c r="I158" s="762">
        <v>0.83333333333332349</v>
      </c>
      <c r="J158" s="761">
        <v>23220.192307692309</v>
      </c>
      <c r="K158" s="762">
        <v>7.1628359479508754</v>
      </c>
      <c r="L158" s="759" t="s">
        <v>997</v>
      </c>
    </row>
    <row r="159" spans="1:12" x14ac:dyDescent="0.25">
      <c r="A159" s="757" t="s">
        <v>1051</v>
      </c>
      <c r="B159" s="761">
        <v>13.049768518518517</v>
      </c>
      <c r="C159" s="762">
        <v>0.74626865671641052</v>
      </c>
      <c r="D159" s="761">
        <v>3549.5370370370365</v>
      </c>
      <c r="E159" s="762">
        <v>1.427446864340064</v>
      </c>
      <c r="F159" s="759" t="s">
        <v>1001</v>
      </c>
      <c r="G159" s="757" t="s">
        <v>152</v>
      </c>
      <c r="H159" s="761">
        <v>78.84615384615384</v>
      </c>
      <c r="I159" s="762">
        <v>4.9999999999999405</v>
      </c>
      <c r="J159" s="761">
        <v>6307.6923076923067</v>
      </c>
      <c r="K159" s="762">
        <v>1.9457618873890321</v>
      </c>
      <c r="L159" s="759" t="s">
        <v>1000</v>
      </c>
    </row>
    <row r="160" spans="1:12" x14ac:dyDescent="0.25">
      <c r="A160" s="757" t="s">
        <v>1008</v>
      </c>
      <c r="B160" s="761">
        <v>39.149305555555557</v>
      </c>
      <c r="C160" s="762">
        <v>2.2388059701492322</v>
      </c>
      <c r="D160" s="761">
        <v>782.98611111111109</v>
      </c>
      <c r="E160" s="762">
        <v>0.31487798478089651</v>
      </c>
      <c r="F160" s="759" t="s">
        <v>1004</v>
      </c>
      <c r="G160" s="757" t="s">
        <v>1052</v>
      </c>
      <c r="H160" s="761">
        <v>13.141025641025641</v>
      </c>
      <c r="I160" s="762">
        <v>0.83333333333332349</v>
      </c>
      <c r="J160" s="761">
        <v>3534.9358974358975</v>
      </c>
      <c r="K160" s="762">
        <v>1.0904373910576035</v>
      </c>
      <c r="L160" s="759" t="s">
        <v>997</v>
      </c>
    </row>
    <row r="161" spans="1:12" x14ac:dyDescent="0.25">
      <c r="A161" s="757" t="s">
        <v>1009</v>
      </c>
      <c r="B161" s="761">
        <v>1252.7777777777778</v>
      </c>
      <c r="C161" s="762">
        <v>71.641791044775431</v>
      </c>
      <c r="D161" s="761">
        <v>56375</v>
      </c>
      <c r="E161" s="762">
        <v>22.671214904224545</v>
      </c>
      <c r="F161" s="759" t="s">
        <v>1001</v>
      </c>
      <c r="G161" s="757" t="s">
        <v>1008</v>
      </c>
      <c r="H161" s="761">
        <v>13.141025641025641</v>
      </c>
      <c r="I161" s="762">
        <v>0.83333333333332349</v>
      </c>
      <c r="J161" s="761">
        <v>262.82051282051282</v>
      </c>
      <c r="K161" s="762">
        <v>8.1073411974543014E-2</v>
      </c>
      <c r="L161" s="759" t="s">
        <v>1004</v>
      </c>
    </row>
    <row r="162" spans="1:12" x14ac:dyDescent="0.25">
      <c r="A162" s="757" t="s">
        <v>14</v>
      </c>
      <c r="B162" s="761">
        <v>13.049768518518517</v>
      </c>
      <c r="C162" s="762">
        <v>0.74626865671641052</v>
      </c>
      <c r="D162" s="761">
        <v>11027.054398148148</v>
      </c>
      <c r="E162" s="762">
        <v>4.4345316189976254</v>
      </c>
      <c r="F162" s="759" t="s">
        <v>997</v>
      </c>
      <c r="G162" s="757" t="s">
        <v>1009</v>
      </c>
      <c r="H162" s="761">
        <v>1169.551282051282</v>
      </c>
      <c r="I162" s="762">
        <v>74.166666666665776</v>
      </c>
      <c r="J162" s="761">
        <v>52629.807692307688</v>
      </c>
      <c r="K162" s="762">
        <v>16.234950747902239</v>
      </c>
      <c r="L162" s="759" t="s">
        <v>1001</v>
      </c>
    </row>
    <row r="163" spans="1:12" x14ac:dyDescent="0.25">
      <c r="A163" s="757"/>
      <c r="B163" s="757"/>
      <c r="C163" s="762"/>
      <c r="D163" s="761"/>
      <c r="E163" s="762"/>
      <c r="F163" s="759"/>
      <c r="G163" s="757" t="s">
        <v>14</v>
      </c>
      <c r="H163" s="761">
        <v>13.141025641025641</v>
      </c>
      <c r="I163" s="762">
        <v>0.83333333333332349</v>
      </c>
      <c r="J163" s="761">
        <v>11104.166666666666</v>
      </c>
      <c r="K163" s="762">
        <v>3.4253516559244419</v>
      </c>
      <c r="L163" s="759" t="s">
        <v>997</v>
      </c>
    </row>
    <row r="164" spans="1:12" ht="13" x14ac:dyDescent="0.3">
      <c r="A164" s="758" t="s">
        <v>988</v>
      </c>
      <c r="B164" s="763">
        <v>1748.6689814814986</v>
      </c>
      <c r="C164" s="762"/>
      <c r="D164" s="761"/>
      <c r="E164" s="762"/>
      <c r="F164" s="759"/>
      <c r="G164" s="758" t="s">
        <v>988</v>
      </c>
      <c r="H164" s="763">
        <v>1576.9230769230956</v>
      </c>
      <c r="I164" s="762"/>
      <c r="J164" s="761"/>
      <c r="K164" s="762"/>
      <c r="L164" s="759"/>
    </row>
    <row r="165" spans="1:12" ht="15" x14ac:dyDescent="0.3">
      <c r="A165" s="758" t="s">
        <v>989</v>
      </c>
      <c r="B165" s="763">
        <v>248663.33912037109</v>
      </c>
      <c r="C165" s="762"/>
      <c r="D165" s="761"/>
      <c r="E165" s="762"/>
      <c r="F165" s="759"/>
      <c r="G165" s="758" t="s">
        <v>989</v>
      </c>
      <c r="H165" s="763">
        <v>324175.96153846127</v>
      </c>
      <c r="I165" s="762"/>
      <c r="J165" s="761"/>
      <c r="K165" s="762"/>
      <c r="L165" s="759"/>
    </row>
    <row r="166" spans="1:12" ht="13" x14ac:dyDescent="0.3">
      <c r="A166" s="758" t="s">
        <v>990</v>
      </c>
      <c r="B166" s="764">
        <v>39.827617645263672</v>
      </c>
      <c r="C166" s="762"/>
      <c r="D166" s="761"/>
      <c r="E166" s="762"/>
      <c r="F166" s="759"/>
      <c r="G166" s="758" t="s">
        <v>990</v>
      </c>
      <c r="H166" s="764">
        <v>41.734203338623047</v>
      </c>
      <c r="I166" s="762"/>
      <c r="J166" s="761"/>
      <c r="K166" s="762"/>
      <c r="L166" s="759"/>
    </row>
    <row r="168" spans="1:12" x14ac:dyDescent="0.25">
      <c r="A168" s="82"/>
      <c r="B168" s="840">
        <v>40812</v>
      </c>
      <c r="C168" s="840"/>
      <c r="D168" s="840"/>
      <c r="E168" s="840"/>
      <c r="F168" s="840"/>
      <c r="G168" s="82"/>
      <c r="H168" s="840">
        <v>40812</v>
      </c>
      <c r="I168" s="840"/>
      <c r="J168" s="840"/>
      <c r="K168" s="840"/>
      <c r="L168" s="840"/>
    </row>
    <row r="169" spans="1:12" ht="13" x14ac:dyDescent="0.3">
      <c r="A169" s="82"/>
      <c r="B169" s="754" t="s">
        <v>991</v>
      </c>
      <c r="C169" s="754" t="s">
        <v>991</v>
      </c>
      <c r="D169" s="754" t="s">
        <v>992</v>
      </c>
      <c r="E169" s="754" t="s">
        <v>992</v>
      </c>
      <c r="F169" s="82"/>
      <c r="G169" s="82"/>
      <c r="H169" s="754" t="s">
        <v>991</v>
      </c>
      <c r="I169" s="754" t="s">
        <v>991</v>
      </c>
      <c r="J169" s="754" t="s">
        <v>992</v>
      </c>
      <c r="K169" s="754" t="s">
        <v>992</v>
      </c>
      <c r="L169" s="82"/>
    </row>
    <row r="170" spans="1:12" ht="15" x14ac:dyDescent="0.3">
      <c r="A170" s="91" t="s">
        <v>161</v>
      </c>
      <c r="B170" s="754" t="s">
        <v>993</v>
      </c>
      <c r="C170" s="754" t="s">
        <v>837</v>
      </c>
      <c r="D170" s="754" t="s">
        <v>994</v>
      </c>
      <c r="E170" s="754" t="s">
        <v>837</v>
      </c>
      <c r="F170" s="300" t="s">
        <v>995</v>
      </c>
      <c r="G170" s="91" t="s">
        <v>161</v>
      </c>
      <c r="H170" s="754" t="s">
        <v>993</v>
      </c>
      <c r="I170" s="754" t="s">
        <v>837</v>
      </c>
      <c r="J170" s="754" t="s">
        <v>994</v>
      </c>
      <c r="K170" s="754" t="s">
        <v>837</v>
      </c>
      <c r="L170" s="300" t="s">
        <v>995</v>
      </c>
    </row>
    <row r="171" spans="1:12" x14ac:dyDescent="0.25">
      <c r="A171" s="82" t="s">
        <v>223</v>
      </c>
      <c r="B171" s="87">
        <v>5365.5555555555547</v>
      </c>
      <c r="C171" s="80">
        <v>94.004282655246811</v>
      </c>
      <c r="D171" s="87">
        <v>6084539.9999999991</v>
      </c>
      <c r="E171" s="80">
        <v>96.590596005416941</v>
      </c>
      <c r="F171" s="82" t="s">
        <v>1000</v>
      </c>
      <c r="G171" s="82" t="s">
        <v>223</v>
      </c>
      <c r="H171" s="87">
        <v>8350.6326034063277</v>
      </c>
      <c r="I171" s="80">
        <v>94.769613947696172</v>
      </c>
      <c r="J171" s="87">
        <v>8417437.6642335784</v>
      </c>
      <c r="K171" s="80">
        <v>97.048176171700291</v>
      </c>
      <c r="L171" s="82" t="s">
        <v>1000</v>
      </c>
    </row>
    <row r="172" spans="1:12" x14ac:dyDescent="0.25">
      <c r="A172" s="82" t="s">
        <v>1009</v>
      </c>
      <c r="B172" s="87">
        <v>110</v>
      </c>
      <c r="C172" s="80">
        <v>1.9271948608137164</v>
      </c>
      <c r="D172" s="87">
        <v>4950</v>
      </c>
      <c r="E172" s="80">
        <v>7.8580048816642489E-2</v>
      </c>
      <c r="F172" s="82" t="s">
        <v>1001</v>
      </c>
      <c r="G172" s="82" t="s">
        <v>1009</v>
      </c>
      <c r="H172" s="87">
        <v>120.70559610705597</v>
      </c>
      <c r="I172" s="80">
        <v>1.3698630136986305</v>
      </c>
      <c r="J172" s="87">
        <v>5431.7518248175184</v>
      </c>
      <c r="K172" s="80">
        <v>6.2624949425609103E-2</v>
      </c>
      <c r="L172" s="82" t="s">
        <v>1001</v>
      </c>
    </row>
    <row r="173" spans="1:12" x14ac:dyDescent="0.25">
      <c r="A173" s="82" t="s">
        <v>225</v>
      </c>
      <c r="B173" s="87">
        <v>61.111111111111107</v>
      </c>
      <c r="C173" s="80">
        <v>1.0706638115631757</v>
      </c>
      <c r="D173" s="87">
        <v>1527.7777777777776</v>
      </c>
      <c r="E173" s="80">
        <v>2.4253101486618051E-2</v>
      </c>
      <c r="F173" s="82" t="s">
        <v>1001</v>
      </c>
      <c r="G173" s="82" t="s">
        <v>1053</v>
      </c>
      <c r="H173" s="87">
        <v>98.759124087591246</v>
      </c>
      <c r="I173" s="80">
        <v>1.1207970112079704</v>
      </c>
      <c r="J173" s="87">
        <v>20857.927007299273</v>
      </c>
      <c r="K173" s="80">
        <v>0.24047980579433897</v>
      </c>
      <c r="L173" s="82" t="s">
        <v>997</v>
      </c>
    </row>
    <row r="174" spans="1:12" x14ac:dyDescent="0.25">
      <c r="A174" s="82" t="s">
        <v>1012</v>
      </c>
      <c r="B174" s="87">
        <v>24.444444444444443</v>
      </c>
      <c r="C174" s="80">
        <v>0.42826552462527029</v>
      </c>
      <c r="D174" s="87">
        <v>1173.3333333333333</v>
      </c>
      <c r="E174" s="80">
        <v>1.8626381941722666E-2</v>
      </c>
      <c r="F174" s="82" t="s">
        <v>997</v>
      </c>
      <c r="G174" s="82" t="s">
        <v>225</v>
      </c>
      <c r="H174" s="87">
        <v>43.892944038929443</v>
      </c>
      <c r="I174" s="80">
        <v>0.49813200498132021</v>
      </c>
      <c r="J174" s="87">
        <v>1097.3236009732361</v>
      </c>
      <c r="K174" s="80">
        <v>1.2651504934466486E-2</v>
      </c>
      <c r="L174" s="82" t="s">
        <v>1001</v>
      </c>
    </row>
    <row r="175" spans="1:12" x14ac:dyDescent="0.25">
      <c r="A175" s="82" t="s">
        <v>151</v>
      </c>
      <c r="B175" s="87">
        <v>24.444444444444443</v>
      </c>
      <c r="C175" s="80">
        <v>0.42826552462527029</v>
      </c>
      <c r="D175" s="87">
        <v>12711.111111111109</v>
      </c>
      <c r="E175" s="80">
        <v>0.2017858043686622</v>
      </c>
      <c r="F175" s="82" t="s">
        <v>1004</v>
      </c>
      <c r="G175" s="82" t="s">
        <v>152</v>
      </c>
      <c r="H175" s="87">
        <v>32.919708029197082</v>
      </c>
      <c r="I175" s="80">
        <v>0.37359900373599014</v>
      </c>
      <c r="J175" s="87">
        <v>10534.306569343065</v>
      </c>
      <c r="K175" s="80">
        <v>0.12145444737087824</v>
      </c>
      <c r="L175" s="82" t="s">
        <v>1000</v>
      </c>
    </row>
    <row r="176" spans="1:12" x14ac:dyDescent="0.25">
      <c r="A176" s="82" t="s">
        <v>1008</v>
      </c>
      <c r="B176" s="87">
        <v>24.444444444444443</v>
      </c>
      <c r="C176" s="80">
        <v>0.42826552462527029</v>
      </c>
      <c r="D176" s="87">
        <v>488.88888888888886</v>
      </c>
      <c r="E176" s="80">
        <v>7.7609924757177772E-3</v>
      </c>
      <c r="F176" s="82" t="s">
        <v>1004</v>
      </c>
      <c r="G176" s="82" t="s">
        <v>1005</v>
      </c>
      <c r="H176" s="87">
        <v>32.919708029197082</v>
      </c>
      <c r="I176" s="80">
        <v>0.37359900373599014</v>
      </c>
      <c r="J176" s="87">
        <v>12180.29197080292</v>
      </c>
      <c r="K176" s="80">
        <v>0.14043170477257799</v>
      </c>
      <c r="L176" s="82" t="s">
        <v>997</v>
      </c>
    </row>
    <row r="177" spans="1:12" x14ac:dyDescent="0.25">
      <c r="A177" s="82" t="s">
        <v>12</v>
      </c>
      <c r="B177" s="87">
        <v>24.444444444444443</v>
      </c>
      <c r="C177" s="80">
        <v>0.42826552462527029</v>
      </c>
      <c r="D177" s="87">
        <v>5377.7777777777774</v>
      </c>
      <c r="E177" s="80">
        <v>8.5370917232895555E-2</v>
      </c>
      <c r="F177" s="82" t="s">
        <v>997</v>
      </c>
      <c r="G177" s="82" t="s">
        <v>12</v>
      </c>
      <c r="H177" s="87">
        <v>21.946472019464721</v>
      </c>
      <c r="I177" s="80">
        <v>0.2490660024906601</v>
      </c>
      <c r="J177" s="87">
        <v>4828.223844282239</v>
      </c>
      <c r="K177" s="80">
        <v>5.5666621711652535E-2</v>
      </c>
      <c r="L177" s="82" t="s">
        <v>997</v>
      </c>
    </row>
    <row r="178" spans="1:12" x14ac:dyDescent="0.25">
      <c r="A178" s="82" t="s">
        <v>14</v>
      </c>
      <c r="B178" s="87">
        <v>12.222222222222221</v>
      </c>
      <c r="C178" s="80">
        <v>0.21413276231263514</v>
      </c>
      <c r="D178" s="87">
        <v>20655.555555555555</v>
      </c>
      <c r="E178" s="80">
        <v>0.32790193209907609</v>
      </c>
      <c r="F178" s="82" t="s">
        <v>997</v>
      </c>
      <c r="G178" s="82" t="s">
        <v>1027</v>
      </c>
      <c r="H178" s="87">
        <v>21.946472019464721</v>
      </c>
      <c r="I178" s="80">
        <v>0.2490660024906601</v>
      </c>
      <c r="J178" s="87">
        <v>6320.5839416058398</v>
      </c>
      <c r="K178" s="80">
        <v>7.2872668422526946E-2</v>
      </c>
      <c r="L178" s="82" t="s">
        <v>997</v>
      </c>
    </row>
    <row r="179" spans="1:12" x14ac:dyDescent="0.25">
      <c r="A179" s="82" t="s">
        <v>160</v>
      </c>
      <c r="B179" s="87">
        <v>12.222222222222221</v>
      </c>
      <c r="C179" s="80">
        <v>0.21413276231263514</v>
      </c>
      <c r="D179" s="87">
        <v>1466.6666666666665</v>
      </c>
      <c r="E179" s="80">
        <v>2.328297742715333E-2</v>
      </c>
      <c r="F179" s="82" t="s">
        <v>997</v>
      </c>
      <c r="G179" s="82" t="s">
        <v>1020</v>
      </c>
      <c r="H179" s="87">
        <v>10.973236009732361</v>
      </c>
      <c r="I179" s="80">
        <v>0.12453300124533005</v>
      </c>
      <c r="J179" s="87">
        <v>24909.245742092458</v>
      </c>
      <c r="K179" s="80">
        <v>0.2871891620123892</v>
      </c>
      <c r="L179" s="82" t="s">
        <v>997</v>
      </c>
    </row>
    <row r="180" spans="1:12" x14ac:dyDescent="0.25">
      <c r="A180" s="82" t="s">
        <v>159</v>
      </c>
      <c r="B180" s="87">
        <v>12.222222222222221</v>
      </c>
      <c r="C180" s="80">
        <v>0.21413276231263514</v>
      </c>
      <c r="D180" s="87">
        <v>61600</v>
      </c>
      <c r="E180" s="80">
        <v>0.97788505194044006</v>
      </c>
      <c r="F180" s="82" t="s">
        <v>997</v>
      </c>
      <c r="G180" s="82" t="s">
        <v>1054</v>
      </c>
      <c r="H180" s="87">
        <v>10.973236009732361</v>
      </c>
      <c r="I180" s="80">
        <v>0.12453300124533005</v>
      </c>
      <c r="J180" s="87">
        <v>3950.36496350365</v>
      </c>
      <c r="K180" s="80">
        <v>4.5545417764079346E-2</v>
      </c>
      <c r="L180" s="82" t="s">
        <v>997</v>
      </c>
    </row>
    <row r="181" spans="1:12" x14ac:dyDescent="0.25">
      <c r="A181" s="82" t="s">
        <v>13</v>
      </c>
      <c r="B181" s="87">
        <v>12.222222222222221</v>
      </c>
      <c r="C181" s="80">
        <v>0.21413276231263514</v>
      </c>
      <c r="D181" s="87">
        <v>97777.777777777766</v>
      </c>
      <c r="E181" s="80">
        <v>1.5521984951435552</v>
      </c>
      <c r="F181" s="82" t="s">
        <v>997</v>
      </c>
      <c r="G181" s="82" t="s">
        <v>159</v>
      </c>
      <c r="H181" s="87">
        <v>10.973236009732361</v>
      </c>
      <c r="I181" s="80">
        <v>0.12453300124533005</v>
      </c>
      <c r="J181" s="87">
        <v>55305.109489051101</v>
      </c>
      <c r="K181" s="80">
        <v>0.63763584869711087</v>
      </c>
      <c r="L181" s="82" t="s">
        <v>997</v>
      </c>
    </row>
    <row r="182" spans="1:12" x14ac:dyDescent="0.25">
      <c r="A182" s="82" t="s">
        <v>152</v>
      </c>
      <c r="B182" s="87">
        <v>12.222222222222221</v>
      </c>
      <c r="C182" s="80">
        <v>0.21413276231263514</v>
      </c>
      <c r="D182" s="87">
        <v>5866.6666666666661</v>
      </c>
      <c r="E182" s="80">
        <v>9.313190970861332E-2</v>
      </c>
      <c r="F182" s="82" t="s">
        <v>1000</v>
      </c>
      <c r="G182" s="82" t="s">
        <v>1003</v>
      </c>
      <c r="H182" s="87">
        <v>10.973236009732361</v>
      </c>
      <c r="I182" s="80">
        <v>0.12453300124533005</v>
      </c>
      <c r="J182" s="87">
        <v>5047.6885644768863</v>
      </c>
      <c r="K182" s="80">
        <v>5.819692269854583E-2</v>
      </c>
      <c r="L182" s="82" t="s">
        <v>997</v>
      </c>
    </row>
    <row r="183" spans="1:12" x14ac:dyDescent="0.25">
      <c r="A183" s="82" t="s">
        <v>1053</v>
      </c>
      <c r="B183" s="87">
        <v>12.222222222222221</v>
      </c>
      <c r="C183" s="80">
        <v>0.21413276231263514</v>
      </c>
      <c r="D183" s="87">
        <v>1173.3333333333333</v>
      </c>
      <c r="E183" s="80">
        <v>1.8626381941722666E-2</v>
      </c>
      <c r="F183" s="82" t="s">
        <v>997</v>
      </c>
      <c r="G183" s="82" t="s">
        <v>1010</v>
      </c>
      <c r="H183" s="87">
        <v>10.973236009732361</v>
      </c>
      <c r="I183" s="80">
        <v>0.12453300124533005</v>
      </c>
      <c r="J183" s="87">
        <v>17557.177615571778</v>
      </c>
      <c r="K183" s="80">
        <v>0.20242407895146378</v>
      </c>
      <c r="L183" s="82" t="s">
        <v>1011</v>
      </c>
    </row>
    <row r="184" spans="1:12" ht="13" x14ac:dyDescent="0.3">
      <c r="A184" s="754" t="s">
        <v>988</v>
      </c>
      <c r="B184" s="755">
        <v>5707.7777777777428</v>
      </c>
      <c r="C184" s="80"/>
      <c r="D184" s="87"/>
      <c r="E184" s="80"/>
      <c r="F184" s="82"/>
      <c r="G184" s="82" t="s">
        <v>1055</v>
      </c>
      <c r="H184" s="87">
        <v>10.973236009732361</v>
      </c>
      <c r="I184" s="80">
        <v>0.12453300124533005</v>
      </c>
      <c r="J184" s="87">
        <v>1975.182481751825</v>
      </c>
      <c r="K184" s="80">
        <v>2.2772708882039673E-2</v>
      </c>
      <c r="L184" s="82" t="s">
        <v>997</v>
      </c>
    </row>
    <row r="185" spans="1:12" ht="15" x14ac:dyDescent="0.3">
      <c r="A185" s="754" t="s">
        <v>989</v>
      </c>
      <c r="B185" s="755">
        <v>6299308.888888903</v>
      </c>
      <c r="C185" s="80"/>
      <c r="D185" s="87"/>
      <c r="E185" s="80"/>
      <c r="F185" s="82"/>
      <c r="G185" s="82" t="s">
        <v>999</v>
      </c>
      <c r="H185" s="87">
        <v>10.973236009732361</v>
      </c>
      <c r="I185" s="80">
        <v>0.12453300124533005</v>
      </c>
      <c r="J185" s="87">
        <v>14704.136253041363</v>
      </c>
      <c r="K185" s="80">
        <v>0.1695301661218509</v>
      </c>
      <c r="L185" s="82" t="s">
        <v>1000</v>
      </c>
    </row>
    <row r="186" spans="1:12" ht="13" x14ac:dyDescent="0.3">
      <c r="A186" s="754" t="s">
        <v>990</v>
      </c>
      <c r="B186" s="756">
        <v>63.119373321533203</v>
      </c>
      <c r="C186" s="80"/>
      <c r="D186" s="87"/>
      <c r="E186" s="80"/>
      <c r="F186" s="82"/>
      <c r="G186" s="82" t="s">
        <v>1045</v>
      </c>
      <c r="H186" s="87">
        <v>10.973236009732361</v>
      </c>
      <c r="I186" s="80">
        <v>0.12453300124533005</v>
      </c>
      <c r="J186" s="87">
        <v>71326.034063260333</v>
      </c>
      <c r="K186" s="80">
        <v>0.82234782074032142</v>
      </c>
      <c r="L186" s="82" t="s">
        <v>997</v>
      </c>
    </row>
    <row r="187" spans="1:12" ht="13" x14ac:dyDescent="0.3">
      <c r="A187" s="82"/>
      <c r="B187" s="87"/>
      <c r="C187" s="80"/>
      <c r="D187" s="87"/>
      <c r="E187" s="80"/>
      <c r="F187" s="82"/>
      <c r="G187" s="754" t="s">
        <v>988</v>
      </c>
      <c r="H187" s="755">
        <v>8811.5085158150832</v>
      </c>
      <c r="I187" s="80"/>
      <c r="J187" s="87"/>
      <c r="K187" s="80"/>
      <c r="L187" s="82"/>
    </row>
    <row r="188" spans="1:12" ht="15" x14ac:dyDescent="0.3">
      <c r="A188" s="511"/>
      <c r="B188" s="755"/>
      <c r="C188" s="80"/>
      <c r="D188" s="87"/>
      <c r="E188" s="80"/>
      <c r="F188" s="82"/>
      <c r="G188" s="754" t="s">
        <v>989</v>
      </c>
      <c r="H188" s="755">
        <v>8673463.0121654402</v>
      </c>
      <c r="I188" s="80"/>
      <c r="J188" s="87"/>
      <c r="K188" s="80"/>
      <c r="L188" s="82"/>
    </row>
    <row r="189" spans="1:12" ht="13" x14ac:dyDescent="0.3">
      <c r="A189" s="82"/>
      <c r="B189" s="82"/>
      <c r="C189" s="80"/>
      <c r="D189" s="87"/>
      <c r="E189" s="80"/>
      <c r="F189" s="82"/>
      <c r="G189" s="754" t="s">
        <v>990</v>
      </c>
      <c r="H189" s="756">
        <v>65.426620483398438</v>
      </c>
      <c r="I189" s="80"/>
      <c r="J189" s="87"/>
      <c r="K189" s="80"/>
      <c r="L189" s="82"/>
    </row>
    <row r="192" spans="1:12" x14ac:dyDescent="0.25">
      <c r="F192">
        <v>21</v>
      </c>
    </row>
    <row r="193" spans="6:6" x14ac:dyDescent="0.25">
      <c r="F193">
        <v>48</v>
      </c>
    </row>
    <row r="194" spans="6:6" x14ac:dyDescent="0.25">
      <c r="F194">
        <v>27</v>
      </c>
    </row>
    <row r="195" spans="6:6" x14ac:dyDescent="0.25">
      <c r="F195">
        <v>14</v>
      </c>
    </row>
    <row r="196" spans="6:6" x14ac:dyDescent="0.25">
      <c r="F196">
        <v>14</v>
      </c>
    </row>
    <row r="197" spans="6:6" x14ac:dyDescent="0.25">
      <c r="F197">
        <v>66</v>
      </c>
    </row>
    <row r="198" spans="6:6" x14ac:dyDescent="0.25">
      <c r="F198">
        <v>79</v>
      </c>
    </row>
    <row r="199" spans="6:6" x14ac:dyDescent="0.25">
      <c r="F199">
        <v>8350</v>
      </c>
    </row>
    <row r="200" spans="6:6" x14ac:dyDescent="0.25">
      <c r="F200">
        <v>33</v>
      </c>
    </row>
    <row r="201" spans="6:6" x14ac:dyDescent="0.25">
      <c r="F201">
        <v>11</v>
      </c>
    </row>
    <row r="202" spans="6:6" x14ac:dyDescent="0.25">
      <c r="F202" s="5">
        <f>AVERAGE(F192:F201)</f>
        <v>866.3</v>
      </c>
    </row>
  </sheetData>
  <sortState ref="D13:K44">
    <sortCondition ref="D13:D44"/>
  </sortState>
  <mergeCells count="13">
    <mergeCell ref="F11:K11"/>
    <mergeCell ref="B49:F49"/>
    <mergeCell ref="H49:L49"/>
    <mergeCell ref="B73:F73"/>
    <mergeCell ref="H73:L73"/>
    <mergeCell ref="B168:F168"/>
    <mergeCell ref="H168:L168"/>
    <mergeCell ref="B93:F93"/>
    <mergeCell ref="H93:L93"/>
    <mergeCell ref="B124:F124"/>
    <mergeCell ref="H124:L124"/>
    <mergeCell ref="B148:F148"/>
    <mergeCell ref="H148:L148"/>
  </mergeCells>
  <phoneticPr fontId="8" type="noConversion"/>
  <pageMargins left="0.25" right="0.25" top="0.75" bottom="0.5" header="0.5" footer="0.5"/>
  <pageSetup orientation="landscape" horizontalDpi="4294967294" r:id="rId1"/>
  <headerFooter alignWithMargins="0">
    <oddHeader>&amp;A</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S52"/>
  <sheetViews>
    <sheetView zoomScale="77" zoomScaleNormal="77" workbookViewId="0">
      <selection activeCell="C13" sqref="C13:Q13"/>
    </sheetView>
  </sheetViews>
  <sheetFormatPr defaultColWidth="17.54296875" defaultRowHeight="12.5" x14ac:dyDescent="0.25"/>
  <cols>
    <col min="1" max="1" width="33.6328125" customWidth="1"/>
    <col min="2" max="2" width="27.54296875" bestFit="1" customWidth="1"/>
    <col min="3" max="3" width="9" customWidth="1"/>
    <col min="4" max="4" width="8.90625" bestFit="1" customWidth="1"/>
    <col min="5" max="5" width="9" bestFit="1" customWidth="1"/>
    <col min="6" max="6" width="8.90625" bestFit="1" customWidth="1"/>
    <col min="7" max="7" width="9.453125" bestFit="1" customWidth="1"/>
    <col min="8" max="8" width="9" bestFit="1" customWidth="1"/>
    <col min="9" max="9" width="8" bestFit="1" customWidth="1"/>
    <col min="10" max="10" width="8.36328125" bestFit="1" customWidth="1"/>
    <col min="11" max="11" width="8.08984375" bestFit="1" customWidth="1"/>
    <col min="12" max="12" width="9.453125" bestFit="1" customWidth="1"/>
    <col min="13" max="13" width="9" bestFit="1" customWidth="1"/>
    <col min="14" max="14" width="9.453125" customWidth="1"/>
    <col min="15" max="15" width="9" bestFit="1" customWidth="1"/>
    <col min="16" max="16" width="9.36328125" bestFit="1" customWidth="1"/>
    <col min="17" max="17" width="9" bestFit="1" customWidth="1"/>
    <col min="18" max="18" width="10.08984375" bestFit="1" customWidth="1"/>
    <col min="19" max="19" width="8" bestFit="1" customWidth="1"/>
    <col min="20" max="20" width="12" customWidth="1"/>
  </cols>
  <sheetData>
    <row r="1" spans="1:19" ht="13" x14ac:dyDescent="0.3">
      <c r="A1" s="839" t="s">
        <v>202</v>
      </c>
      <c r="B1" s="839"/>
      <c r="C1" s="839"/>
      <c r="D1" s="839"/>
      <c r="E1" s="839"/>
      <c r="F1" s="839"/>
      <c r="G1" s="839"/>
      <c r="H1" s="839"/>
      <c r="I1" s="839"/>
      <c r="J1" s="839"/>
      <c r="K1" s="839"/>
      <c r="L1" s="839"/>
      <c r="M1" s="839"/>
      <c r="N1" s="839"/>
      <c r="O1" s="839"/>
      <c r="P1" s="839"/>
      <c r="Q1" s="839"/>
      <c r="R1" s="839"/>
    </row>
    <row r="2" spans="1:19" ht="13" x14ac:dyDescent="0.3">
      <c r="A2" s="189" t="s">
        <v>20</v>
      </c>
      <c r="B2" s="189" t="s">
        <v>201</v>
      </c>
      <c r="C2" s="337">
        <v>40567</v>
      </c>
      <c r="D2" s="337">
        <v>40595</v>
      </c>
      <c r="E2" s="337">
        <v>40627</v>
      </c>
      <c r="F2" s="337">
        <v>40658</v>
      </c>
      <c r="G2" s="337">
        <v>40686</v>
      </c>
      <c r="H2" s="337">
        <v>40721</v>
      </c>
      <c r="I2" s="338">
        <v>40743</v>
      </c>
      <c r="J2" s="338">
        <v>40749</v>
      </c>
      <c r="K2" s="338">
        <v>40763</v>
      </c>
      <c r="L2" s="337">
        <v>40777</v>
      </c>
      <c r="M2" s="337">
        <v>40798</v>
      </c>
      <c r="N2" s="339">
        <v>40812</v>
      </c>
      <c r="O2" s="339">
        <v>40840</v>
      </c>
      <c r="P2" s="339">
        <v>40875</v>
      </c>
      <c r="Q2" s="338">
        <v>40893</v>
      </c>
      <c r="R2" s="747" t="s">
        <v>26</v>
      </c>
      <c r="S2" s="748" t="s">
        <v>983</v>
      </c>
    </row>
    <row r="3" spans="1:19" x14ac:dyDescent="0.25">
      <c r="A3" s="844" t="s">
        <v>241</v>
      </c>
      <c r="B3" s="179" t="s">
        <v>222</v>
      </c>
      <c r="C3" s="456">
        <v>2248</v>
      </c>
      <c r="D3" s="83">
        <v>1373</v>
      </c>
      <c r="E3" s="83">
        <v>1119</v>
      </c>
      <c r="F3" s="83">
        <v>1689</v>
      </c>
      <c r="G3" s="83">
        <v>932</v>
      </c>
      <c r="H3" s="203">
        <v>669</v>
      </c>
      <c r="I3" s="182">
        <v>465</v>
      </c>
      <c r="J3" s="182">
        <v>498</v>
      </c>
      <c r="K3" s="204">
        <v>538</v>
      </c>
      <c r="L3" s="203">
        <v>710</v>
      </c>
      <c r="M3" s="203">
        <v>1296</v>
      </c>
      <c r="N3" s="540">
        <v>1218</v>
      </c>
      <c r="O3" s="208">
        <v>1166</v>
      </c>
      <c r="P3" s="205">
        <v>1023</v>
      </c>
      <c r="Q3" s="210">
        <v>897</v>
      </c>
      <c r="R3" s="744">
        <f>AVERAGE(C3:Q3)</f>
        <v>1056.0666666666666</v>
      </c>
      <c r="S3" s="748">
        <f t="shared" ref="S3:S27" si="0">MEDIAN(I3:O3)</f>
        <v>710</v>
      </c>
    </row>
    <row r="4" spans="1:19" x14ac:dyDescent="0.25">
      <c r="A4" s="848"/>
      <c r="B4" s="82" t="s">
        <v>204</v>
      </c>
      <c r="C4" s="305">
        <v>1958</v>
      </c>
      <c r="D4" s="83">
        <v>1160</v>
      </c>
      <c r="E4" s="83">
        <v>766</v>
      </c>
      <c r="F4" s="83">
        <v>962</v>
      </c>
      <c r="G4" s="83">
        <v>537</v>
      </c>
      <c r="H4" s="203">
        <v>350</v>
      </c>
      <c r="I4" s="182">
        <v>19</v>
      </c>
      <c r="J4" s="182">
        <v>254</v>
      </c>
      <c r="K4" s="204">
        <v>229</v>
      </c>
      <c r="L4" s="203">
        <v>463</v>
      </c>
      <c r="M4" s="203">
        <v>1170</v>
      </c>
      <c r="N4" s="540">
        <v>1100</v>
      </c>
      <c r="O4" s="208">
        <v>937</v>
      </c>
      <c r="P4" s="205">
        <v>753</v>
      </c>
      <c r="Q4" s="210">
        <v>742</v>
      </c>
      <c r="R4" s="744">
        <f t="shared" ref="R4:R28" si="1">AVERAGE(C4:Q4)</f>
        <v>760</v>
      </c>
      <c r="S4" s="748">
        <f t="shared" si="0"/>
        <v>463</v>
      </c>
    </row>
    <row r="5" spans="1:19" x14ac:dyDescent="0.25">
      <c r="A5" s="848"/>
      <c r="B5" s="179" t="s">
        <v>198</v>
      </c>
      <c r="C5" s="182">
        <v>38</v>
      </c>
      <c r="D5" s="83">
        <v>29</v>
      </c>
      <c r="E5" s="83">
        <v>37</v>
      </c>
      <c r="F5" s="83">
        <v>31</v>
      </c>
      <c r="G5" s="83">
        <v>60</v>
      </c>
      <c r="H5" s="203">
        <v>49</v>
      </c>
      <c r="I5" s="182">
        <v>11</v>
      </c>
      <c r="J5" s="182">
        <v>34</v>
      </c>
      <c r="K5" s="204">
        <v>30</v>
      </c>
      <c r="L5" s="206">
        <v>41</v>
      </c>
      <c r="M5" s="203">
        <v>121</v>
      </c>
      <c r="N5" s="540">
        <v>29</v>
      </c>
      <c r="O5" s="208">
        <v>15</v>
      </c>
      <c r="P5" s="205">
        <v>18</v>
      </c>
      <c r="Q5" s="210">
        <v>11</v>
      </c>
      <c r="R5" s="744">
        <f t="shared" si="1"/>
        <v>36.93333333333333</v>
      </c>
      <c r="S5" s="748">
        <f t="shared" si="0"/>
        <v>30</v>
      </c>
    </row>
    <row r="6" spans="1:19" x14ac:dyDescent="0.25">
      <c r="A6" s="848"/>
      <c r="B6" s="180" t="s">
        <v>199</v>
      </c>
      <c r="C6" s="183">
        <v>25</v>
      </c>
      <c r="D6" s="451">
        <v>26</v>
      </c>
      <c r="E6" s="451">
        <v>12</v>
      </c>
      <c r="F6" s="451">
        <v>19</v>
      </c>
      <c r="G6" s="451">
        <v>13</v>
      </c>
      <c r="H6" s="450">
        <v>24</v>
      </c>
      <c r="I6" s="182">
        <v>17</v>
      </c>
      <c r="J6" s="182">
        <v>12</v>
      </c>
      <c r="K6" s="204">
        <v>21</v>
      </c>
      <c r="L6" s="206">
        <v>31</v>
      </c>
      <c r="M6" s="450">
        <v>29</v>
      </c>
      <c r="N6" s="540">
        <v>19</v>
      </c>
      <c r="O6" s="208">
        <v>13</v>
      </c>
      <c r="P6" s="205">
        <v>12</v>
      </c>
      <c r="Q6" s="210">
        <v>5</v>
      </c>
      <c r="R6" s="744"/>
      <c r="S6" s="748">
        <f t="shared" si="0"/>
        <v>19</v>
      </c>
    </row>
    <row r="7" spans="1:19" x14ac:dyDescent="0.25">
      <c r="A7" s="849"/>
      <c r="B7" s="180" t="s">
        <v>203</v>
      </c>
      <c r="C7" s="183">
        <v>10.4</v>
      </c>
      <c r="D7" s="83">
        <v>6.8</v>
      </c>
      <c r="E7" s="83">
        <v>8.1999999999999993</v>
      </c>
      <c r="F7" s="83">
        <v>6</v>
      </c>
      <c r="G7" s="83">
        <v>23.4</v>
      </c>
      <c r="H7" s="203">
        <v>10.6</v>
      </c>
      <c r="I7" s="182">
        <v>10.8</v>
      </c>
      <c r="J7" s="182">
        <v>36</v>
      </c>
      <c r="K7" s="207">
        <v>7.2</v>
      </c>
      <c r="L7" s="208">
        <v>8.8000000000000007</v>
      </c>
      <c r="M7" s="203">
        <v>26.4</v>
      </c>
      <c r="N7" s="540">
        <v>4</v>
      </c>
      <c r="O7" s="208">
        <v>6.6</v>
      </c>
      <c r="P7" s="205">
        <v>7.8</v>
      </c>
      <c r="Q7" s="210">
        <v>4</v>
      </c>
      <c r="R7" s="744">
        <f t="shared" si="1"/>
        <v>11.8</v>
      </c>
      <c r="S7" s="748">
        <f t="shared" si="0"/>
        <v>8.8000000000000007</v>
      </c>
    </row>
    <row r="8" spans="1:19" x14ac:dyDescent="0.25">
      <c r="A8" s="850" t="s">
        <v>242</v>
      </c>
      <c r="B8" s="274" t="s">
        <v>222</v>
      </c>
      <c r="C8" s="268">
        <v>747</v>
      </c>
      <c r="D8" s="269">
        <v>935</v>
      </c>
      <c r="E8" s="269">
        <v>568</v>
      </c>
      <c r="F8" s="269">
        <v>553</v>
      </c>
      <c r="G8" s="269">
        <v>418</v>
      </c>
      <c r="H8" s="270">
        <v>664</v>
      </c>
      <c r="I8" s="268">
        <v>575</v>
      </c>
      <c r="J8" s="268">
        <v>629</v>
      </c>
      <c r="K8" s="271">
        <v>520</v>
      </c>
      <c r="L8" s="270">
        <v>737</v>
      </c>
      <c r="M8" s="270">
        <v>670</v>
      </c>
      <c r="N8" s="700">
        <v>595</v>
      </c>
      <c r="O8" s="272">
        <v>643</v>
      </c>
      <c r="P8" s="272">
        <v>729</v>
      </c>
      <c r="Q8" s="273">
        <v>630</v>
      </c>
      <c r="R8" s="744">
        <f t="shared" si="1"/>
        <v>640.86666666666667</v>
      </c>
      <c r="S8" s="748">
        <f t="shared" si="0"/>
        <v>629</v>
      </c>
    </row>
    <row r="9" spans="1:19" x14ac:dyDescent="0.25">
      <c r="A9" s="851"/>
      <c r="B9" s="267" t="s">
        <v>204</v>
      </c>
      <c r="C9" s="268">
        <v>603</v>
      </c>
      <c r="D9" s="269">
        <v>671</v>
      </c>
      <c r="E9" s="269">
        <v>279</v>
      </c>
      <c r="F9" s="269">
        <v>225</v>
      </c>
      <c r="G9" s="269">
        <v>174</v>
      </c>
      <c r="H9" s="270">
        <v>486</v>
      </c>
      <c r="I9" s="268">
        <v>281</v>
      </c>
      <c r="J9" s="268">
        <v>379</v>
      </c>
      <c r="K9" s="271">
        <v>342</v>
      </c>
      <c r="L9" s="270">
        <v>494</v>
      </c>
      <c r="M9" s="270">
        <v>636</v>
      </c>
      <c r="N9" s="700">
        <v>435</v>
      </c>
      <c r="O9" s="272">
        <v>371</v>
      </c>
      <c r="P9" s="272">
        <v>581</v>
      </c>
      <c r="Q9" s="273">
        <v>534</v>
      </c>
      <c r="R9" s="744">
        <f t="shared" si="1"/>
        <v>432.73333333333335</v>
      </c>
      <c r="S9" s="748">
        <f t="shared" si="0"/>
        <v>379</v>
      </c>
    </row>
    <row r="10" spans="1:19" x14ac:dyDescent="0.25">
      <c r="A10" s="851"/>
      <c r="B10" s="274" t="s">
        <v>198</v>
      </c>
      <c r="C10" s="268">
        <v>2</v>
      </c>
      <c r="D10" s="269">
        <v>23</v>
      </c>
      <c r="E10" s="269">
        <v>15</v>
      </c>
      <c r="F10" s="269">
        <v>8</v>
      </c>
      <c r="G10" s="269">
        <v>7</v>
      </c>
      <c r="H10" s="452">
        <v>27</v>
      </c>
      <c r="I10" s="268">
        <v>30</v>
      </c>
      <c r="J10" s="268">
        <v>23</v>
      </c>
      <c r="K10" s="271">
        <v>24</v>
      </c>
      <c r="L10" s="452">
        <v>4</v>
      </c>
      <c r="M10" s="452">
        <v>6</v>
      </c>
      <c r="N10" s="700">
        <v>5</v>
      </c>
      <c r="O10" s="272">
        <v>8</v>
      </c>
      <c r="P10" s="272">
        <v>4</v>
      </c>
      <c r="Q10" s="273">
        <v>2</v>
      </c>
      <c r="R10" s="744">
        <f t="shared" si="1"/>
        <v>12.533333333333333</v>
      </c>
      <c r="S10" s="748">
        <f t="shared" si="0"/>
        <v>8</v>
      </c>
    </row>
    <row r="11" spans="1:19" x14ac:dyDescent="0.25">
      <c r="A11" s="851"/>
      <c r="B11" s="275" t="s">
        <v>199</v>
      </c>
      <c r="C11" s="269">
        <v>2</v>
      </c>
      <c r="D11" s="269">
        <v>10</v>
      </c>
      <c r="E11" s="269">
        <v>2</v>
      </c>
      <c r="F11" s="269">
        <v>0</v>
      </c>
      <c r="G11" s="269">
        <v>6</v>
      </c>
      <c r="H11" s="270">
        <v>19</v>
      </c>
      <c r="I11" s="268">
        <v>14</v>
      </c>
      <c r="J11" s="268">
        <v>16</v>
      </c>
      <c r="K11" s="271">
        <v>6</v>
      </c>
      <c r="L11" s="276">
        <v>5</v>
      </c>
      <c r="M11" s="270">
        <v>4</v>
      </c>
      <c r="N11" s="700">
        <v>2</v>
      </c>
      <c r="O11" s="272">
        <v>5</v>
      </c>
      <c r="P11" s="272">
        <v>5</v>
      </c>
      <c r="Q11" s="273">
        <v>2</v>
      </c>
      <c r="R11" s="744">
        <f t="shared" si="1"/>
        <v>6.5333333333333332</v>
      </c>
      <c r="S11" s="748">
        <f t="shared" si="0"/>
        <v>5</v>
      </c>
    </row>
    <row r="12" spans="1:19" x14ac:dyDescent="0.25">
      <c r="A12" s="852"/>
      <c r="B12" s="275" t="s">
        <v>203</v>
      </c>
      <c r="C12" s="269">
        <v>4</v>
      </c>
      <c r="D12" s="269">
        <v>15</v>
      </c>
      <c r="E12" s="269">
        <v>4</v>
      </c>
      <c r="F12" s="269">
        <v>6.4</v>
      </c>
      <c r="G12" s="269">
        <v>6</v>
      </c>
      <c r="H12" s="270">
        <v>27.6</v>
      </c>
      <c r="I12" s="268">
        <v>16.399999999999999</v>
      </c>
      <c r="J12" s="268">
        <v>21.6</v>
      </c>
      <c r="K12" s="355">
        <v>155.4</v>
      </c>
      <c r="L12" s="277">
        <v>21.6</v>
      </c>
      <c r="M12" s="270">
        <v>20.2</v>
      </c>
      <c r="N12" s="700">
        <v>30</v>
      </c>
      <c r="O12" s="272">
        <v>12.6</v>
      </c>
      <c r="P12" s="272">
        <v>4</v>
      </c>
      <c r="Q12" s="278">
        <v>4</v>
      </c>
      <c r="R12" s="744">
        <f t="shared" si="1"/>
        <v>23.253333333333334</v>
      </c>
      <c r="S12" s="748">
        <f t="shared" si="0"/>
        <v>21.6</v>
      </c>
    </row>
    <row r="13" spans="1:19" x14ac:dyDescent="0.25">
      <c r="A13" s="844" t="s">
        <v>243</v>
      </c>
      <c r="B13" s="181" t="s">
        <v>200</v>
      </c>
      <c r="C13" s="83">
        <v>7</v>
      </c>
      <c r="D13" s="83">
        <v>2.75</v>
      </c>
      <c r="E13" s="83">
        <v>12.3</v>
      </c>
      <c r="F13" s="83">
        <v>10.6</v>
      </c>
      <c r="G13" s="83">
        <v>8.1</v>
      </c>
      <c r="H13" s="203">
        <v>8.6</v>
      </c>
      <c r="I13" s="182">
        <v>5.2</v>
      </c>
      <c r="J13" s="182">
        <v>5.8</v>
      </c>
      <c r="K13" s="207">
        <v>5.8</v>
      </c>
      <c r="L13" s="208">
        <v>16.399999999999999</v>
      </c>
      <c r="M13" s="203">
        <v>14.3</v>
      </c>
      <c r="N13" s="540">
        <v>17.399999999999999</v>
      </c>
      <c r="O13" s="205">
        <v>15.3</v>
      </c>
      <c r="P13" s="205">
        <v>4.8</v>
      </c>
      <c r="Q13" s="211">
        <v>4.5999999999999996</v>
      </c>
      <c r="R13" s="744">
        <f t="shared" si="1"/>
        <v>9.2633333333333336</v>
      </c>
      <c r="S13" s="748">
        <f t="shared" si="0"/>
        <v>14.3</v>
      </c>
    </row>
    <row r="14" spans="1:19" x14ac:dyDescent="0.25">
      <c r="A14" s="848"/>
      <c r="B14" s="82" t="s">
        <v>204</v>
      </c>
      <c r="C14" s="182">
        <v>454</v>
      </c>
      <c r="D14" s="14">
        <v>213</v>
      </c>
      <c r="E14" s="83">
        <v>362</v>
      </c>
      <c r="F14" s="83">
        <v>151</v>
      </c>
      <c r="G14" s="83">
        <v>124</v>
      </c>
      <c r="H14" s="203">
        <v>78</v>
      </c>
      <c r="I14" s="182">
        <v>133</v>
      </c>
      <c r="J14" s="182">
        <v>163</v>
      </c>
      <c r="K14" s="204">
        <v>115</v>
      </c>
      <c r="L14" s="208">
        <v>36</v>
      </c>
      <c r="M14" s="203">
        <v>81</v>
      </c>
      <c r="N14" s="540">
        <v>127</v>
      </c>
      <c r="O14" s="205">
        <v>4</v>
      </c>
      <c r="P14" s="205">
        <v>77</v>
      </c>
      <c r="Q14" s="210">
        <v>258</v>
      </c>
      <c r="R14" s="744">
        <f t="shared" si="1"/>
        <v>158.4</v>
      </c>
      <c r="S14" s="748">
        <f t="shared" si="0"/>
        <v>115</v>
      </c>
    </row>
    <row r="15" spans="1:19" x14ac:dyDescent="0.25">
      <c r="A15" s="848"/>
      <c r="B15" s="179" t="s">
        <v>222</v>
      </c>
      <c r="C15" s="182"/>
      <c r="D15" s="14"/>
      <c r="E15" s="83">
        <v>794</v>
      </c>
      <c r="F15" s="83"/>
      <c r="G15" s="83">
        <v>617</v>
      </c>
      <c r="H15" s="203">
        <v>524</v>
      </c>
      <c r="I15" s="182">
        <v>661</v>
      </c>
      <c r="J15" s="182">
        <v>766</v>
      </c>
      <c r="K15" s="204">
        <v>799</v>
      </c>
      <c r="L15" s="208">
        <v>630</v>
      </c>
      <c r="M15" s="203">
        <v>583</v>
      </c>
      <c r="N15" s="540">
        <v>750</v>
      </c>
      <c r="O15" s="205">
        <v>486</v>
      </c>
      <c r="P15" s="205">
        <v>537</v>
      </c>
      <c r="Q15" s="211">
        <v>523</v>
      </c>
      <c r="R15" s="744">
        <f t="shared" si="1"/>
        <v>639.16666666666663</v>
      </c>
      <c r="S15" s="748">
        <f>MEDIAN(I15:O15)</f>
        <v>661</v>
      </c>
    </row>
    <row r="16" spans="1:19" x14ac:dyDescent="0.25">
      <c r="A16" s="848"/>
      <c r="B16" s="179" t="s">
        <v>198</v>
      </c>
      <c r="C16" s="182">
        <v>23</v>
      </c>
      <c r="D16" s="83">
        <v>16</v>
      </c>
      <c r="E16" s="83">
        <v>19</v>
      </c>
      <c r="F16" s="83">
        <v>26</v>
      </c>
      <c r="G16" s="83">
        <v>5</v>
      </c>
      <c r="H16" s="203">
        <v>25</v>
      </c>
      <c r="I16" s="182">
        <v>41</v>
      </c>
      <c r="J16" s="182">
        <v>45</v>
      </c>
      <c r="K16" s="204">
        <v>42</v>
      </c>
      <c r="L16" s="208">
        <v>48</v>
      </c>
      <c r="M16" s="203">
        <v>80</v>
      </c>
      <c r="N16" s="540">
        <v>67</v>
      </c>
      <c r="O16" s="205">
        <v>35</v>
      </c>
      <c r="P16" s="205">
        <v>22</v>
      </c>
      <c r="Q16" s="210">
        <v>11</v>
      </c>
      <c r="R16" s="744">
        <f t="shared" si="1"/>
        <v>33.666666666666664</v>
      </c>
      <c r="S16" s="748">
        <f t="shared" si="0"/>
        <v>45</v>
      </c>
    </row>
    <row r="17" spans="1:19" x14ac:dyDescent="0.25">
      <c r="A17" s="848"/>
      <c r="B17" s="180" t="s">
        <v>199</v>
      </c>
      <c r="C17" s="183">
        <v>8</v>
      </c>
      <c r="D17" s="83">
        <v>7</v>
      </c>
      <c r="E17" s="83">
        <v>4</v>
      </c>
      <c r="F17" s="83">
        <v>12</v>
      </c>
      <c r="G17" s="83">
        <v>7</v>
      </c>
      <c r="H17" s="203">
        <v>6</v>
      </c>
      <c r="I17" s="182">
        <v>25</v>
      </c>
      <c r="J17" s="182">
        <v>27</v>
      </c>
      <c r="K17" s="204">
        <v>29</v>
      </c>
      <c r="L17" s="206">
        <v>25</v>
      </c>
      <c r="M17" s="203">
        <v>45</v>
      </c>
      <c r="N17" s="540">
        <v>33</v>
      </c>
      <c r="O17" s="205">
        <v>9</v>
      </c>
      <c r="P17" s="205">
        <v>9</v>
      </c>
      <c r="Q17" s="210">
        <v>5</v>
      </c>
      <c r="R17" s="744">
        <f t="shared" si="1"/>
        <v>16.733333333333334</v>
      </c>
      <c r="S17" s="748">
        <f t="shared" si="0"/>
        <v>27</v>
      </c>
    </row>
    <row r="18" spans="1:19" x14ac:dyDescent="0.25">
      <c r="A18" s="849"/>
      <c r="B18" s="180" t="s">
        <v>203</v>
      </c>
      <c r="C18" s="381">
        <v>0</v>
      </c>
      <c r="D18" s="85">
        <v>0</v>
      </c>
      <c r="E18" s="85">
        <v>6.2</v>
      </c>
      <c r="F18" s="85">
        <v>7.6</v>
      </c>
      <c r="G18" s="85">
        <v>6</v>
      </c>
      <c r="H18" s="13">
        <v>11.6</v>
      </c>
      <c r="I18" s="207">
        <v>4</v>
      </c>
      <c r="J18" s="207">
        <v>4</v>
      </c>
      <c r="K18" s="207">
        <v>4.4000000000000004</v>
      </c>
      <c r="L18" s="382">
        <v>4.4000000000000004</v>
      </c>
      <c r="M18" s="207">
        <v>11.2</v>
      </c>
      <c r="N18" s="540">
        <v>6.4</v>
      </c>
      <c r="O18" s="211">
        <v>13</v>
      </c>
      <c r="P18" s="211">
        <v>9.8000000000000007</v>
      </c>
      <c r="Q18" s="211">
        <v>4</v>
      </c>
      <c r="R18" s="744">
        <f t="shared" si="1"/>
        <v>6.1733333333333329</v>
      </c>
      <c r="S18" s="748">
        <f t="shared" si="0"/>
        <v>4.4000000000000004</v>
      </c>
    </row>
    <row r="19" spans="1:19" x14ac:dyDescent="0.25">
      <c r="A19" s="850" t="s">
        <v>244</v>
      </c>
      <c r="B19" s="267" t="s">
        <v>204</v>
      </c>
      <c r="C19" s="268">
        <v>303</v>
      </c>
      <c r="D19" s="269">
        <v>431</v>
      </c>
      <c r="E19" s="269">
        <v>362</v>
      </c>
      <c r="F19" s="269">
        <v>157</v>
      </c>
      <c r="G19" s="269">
        <v>121</v>
      </c>
      <c r="H19" s="279">
        <v>81</v>
      </c>
      <c r="I19" s="268">
        <v>121</v>
      </c>
      <c r="J19" s="268">
        <v>151</v>
      </c>
      <c r="K19" s="271">
        <v>114</v>
      </c>
      <c r="L19" s="270">
        <v>39</v>
      </c>
      <c r="M19" s="270">
        <v>122</v>
      </c>
      <c r="N19" s="700">
        <v>127</v>
      </c>
      <c r="O19" s="272">
        <v>26</v>
      </c>
      <c r="P19" s="272">
        <v>77</v>
      </c>
      <c r="Q19" s="278">
        <v>564</v>
      </c>
      <c r="R19" s="744">
        <f t="shared" si="1"/>
        <v>186.4</v>
      </c>
      <c r="S19" s="748">
        <f t="shared" si="0"/>
        <v>121</v>
      </c>
    </row>
    <row r="20" spans="1:19" x14ac:dyDescent="0.25">
      <c r="A20" s="851"/>
      <c r="B20" s="274" t="s">
        <v>222</v>
      </c>
      <c r="C20" s="268"/>
      <c r="D20" s="269"/>
      <c r="E20" s="269">
        <v>849</v>
      </c>
      <c r="F20" s="269"/>
      <c r="G20" s="269">
        <v>769</v>
      </c>
      <c r="H20" s="279">
        <v>610</v>
      </c>
      <c r="I20" s="268">
        <v>734</v>
      </c>
      <c r="J20" s="268">
        <v>650</v>
      </c>
      <c r="K20" s="271">
        <v>596</v>
      </c>
      <c r="L20" s="270">
        <v>496</v>
      </c>
      <c r="M20" s="270">
        <v>596</v>
      </c>
      <c r="N20" s="700">
        <v>557</v>
      </c>
      <c r="O20" s="272">
        <v>1005</v>
      </c>
      <c r="P20" s="272">
        <v>439</v>
      </c>
      <c r="Q20" s="278">
        <v>160</v>
      </c>
      <c r="R20" s="744">
        <f>AVERAGE(C20:Q20)</f>
        <v>621.75</v>
      </c>
      <c r="S20" s="748">
        <f t="shared" si="0"/>
        <v>596</v>
      </c>
    </row>
    <row r="21" spans="1:19" x14ac:dyDescent="0.25">
      <c r="A21" s="851"/>
      <c r="B21" s="274" t="s">
        <v>198</v>
      </c>
      <c r="C21" s="268">
        <v>21</v>
      </c>
      <c r="D21" s="269">
        <v>102</v>
      </c>
      <c r="E21" s="269">
        <v>21</v>
      </c>
      <c r="F21" s="269">
        <v>25</v>
      </c>
      <c r="G21" s="269">
        <v>36</v>
      </c>
      <c r="H21" s="279">
        <v>43</v>
      </c>
      <c r="I21" s="268">
        <v>63</v>
      </c>
      <c r="J21" s="268">
        <v>69</v>
      </c>
      <c r="K21" s="271">
        <v>23</v>
      </c>
      <c r="L21" s="270">
        <v>67</v>
      </c>
      <c r="M21" s="270">
        <v>61</v>
      </c>
      <c r="N21" s="700">
        <v>56</v>
      </c>
      <c r="O21" s="272">
        <v>89</v>
      </c>
      <c r="P21" s="272">
        <v>23</v>
      </c>
      <c r="Q21" s="278">
        <v>19</v>
      </c>
      <c r="R21" s="744">
        <f t="shared" si="1"/>
        <v>47.866666666666667</v>
      </c>
      <c r="S21" s="748">
        <f t="shared" si="0"/>
        <v>63</v>
      </c>
    </row>
    <row r="22" spans="1:19" x14ac:dyDescent="0.25">
      <c r="A22" s="851"/>
      <c r="B22" s="275" t="s">
        <v>199</v>
      </c>
      <c r="C22" s="277">
        <v>5</v>
      </c>
      <c r="D22" s="308">
        <v>8</v>
      </c>
      <c r="E22" s="269">
        <v>2</v>
      </c>
      <c r="F22" s="269">
        <v>7</v>
      </c>
      <c r="G22" s="269">
        <v>18</v>
      </c>
      <c r="H22" s="279">
        <v>13</v>
      </c>
      <c r="I22" s="268">
        <v>42</v>
      </c>
      <c r="J22" s="268">
        <v>47</v>
      </c>
      <c r="K22" s="271">
        <v>27</v>
      </c>
      <c r="L22" s="276">
        <v>31</v>
      </c>
      <c r="M22" s="270">
        <v>42</v>
      </c>
      <c r="N22" s="700">
        <v>32</v>
      </c>
      <c r="O22" s="272">
        <v>9</v>
      </c>
      <c r="P22" s="272">
        <v>10</v>
      </c>
      <c r="Q22" s="278">
        <v>5</v>
      </c>
      <c r="R22" s="744">
        <f t="shared" si="1"/>
        <v>19.866666666666667</v>
      </c>
      <c r="S22" s="748">
        <f t="shared" si="0"/>
        <v>32</v>
      </c>
    </row>
    <row r="23" spans="1:19" x14ac:dyDescent="0.25">
      <c r="A23" s="852"/>
      <c r="B23" s="275" t="s">
        <v>203</v>
      </c>
      <c r="C23" s="277">
        <v>0</v>
      </c>
      <c r="D23" s="269">
        <v>33.799999999999997</v>
      </c>
      <c r="E23" s="269">
        <v>6.8</v>
      </c>
      <c r="F23" s="269">
        <v>8.6</v>
      </c>
      <c r="G23" s="269">
        <v>6.4</v>
      </c>
      <c r="H23" s="270">
        <v>8.6</v>
      </c>
      <c r="I23" s="268">
        <v>5</v>
      </c>
      <c r="J23" s="268">
        <v>4.8</v>
      </c>
      <c r="K23" s="280">
        <v>4</v>
      </c>
      <c r="L23" s="270">
        <v>6.8</v>
      </c>
      <c r="M23" s="270">
        <v>14.2</v>
      </c>
      <c r="N23" s="700">
        <v>5.4</v>
      </c>
      <c r="O23" s="270">
        <v>39.6</v>
      </c>
      <c r="P23" s="270">
        <v>9.1999999999999993</v>
      </c>
      <c r="Q23" s="278">
        <v>4</v>
      </c>
      <c r="R23" s="744">
        <f t="shared" si="1"/>
        <v>10.479999999999999</v>
      </c>
      <c r="S23" s="748">
        <f t="shared" si="0"/>
        <v>5.4</v>
      </c>
    </row>
    <row r="24" spans="1:19" x14ac:dyDescent="0.25">
      <c r="A24" s="844" t="s">
        <v>245</v>
      </c>
      <c r="B24" s="179" t="s">
        <v>222</v>
      </c>
      <c r="C24" s="182">
        <v>1012</v>
      </c>
      <c r="D24" s="83">
        <v>776</v>
      </c>
      <c r="E24" s="83">
        <v>713</v>
      </c>
      <c r="F24" s="83">
        <v>661</v>
      </c>
      <c r="G24" s="83">
        <v>515</v>
      </c>
      <c r="H24" s="203">
        <v>529</v>
      </c>
      <c r="I24" s="182">
        <v>595</v>
      </c>
      <c r="J24" s="182">
        <v>557</v>
      </c>
      <c r="K24" s="204">
        <v>529</v>
      </c>
      <c r="L24" s="208">
        <v>699</v>
      </c>
      <c r="M24" s="203">
        <v>503</v>
      </c>
      <c r="N24" s="540">
        <v>601</v>
      </c>
      <c r="O24" s="203">
        <v>400</v>
      </c>
      <c r="P24" s="203">
        <v>542</v>
      </c>
      <c r="Q24" s="210">
        <v>538</v>
      </c>
      <c r="R24" s="744">
        <f t="shared" si="1"/>
        <v>611.33333333333337</v>
      </c>
      <c r="S24" s="748">
        <f t="shared" si="0"/>
        <v>557</v>
      </c>
    </row>
    <row r="25" spans="1:19" x14ac:dyDescent="0.25">
      <c r="A25" s="845"/>
      <c r="B25" s="82" t="s">
        <v>204</v>
      </c>
      <c r="C25" s="182">
        <v>494</v>
      </c>
      <c r="D25" s="343">
        <v>385</v>
      </c>
      <c r="E25" s="343">
        <v>350</v>
      </c>
      <c r="F25" s="343">
        <v>146</v>
      </c>
      <c r="G25" s="343">
        <v>124</v>
      </c>
      <c r="H25" s="342">
        <v>79</v>
      </c>
      <c r="I25" s="182">
        <v>143</v>
      </c>
      <c r="J25" s="182">
        <v>172</v>
      </c>
      <c r="K25" s="204">
        <v>122</v>
      </c>
      <c r="L25" s="208">
        <v>17</v>
      </c>
      <c r="M25" s="342">
        <v>84</v>
      </c>
      <c r="N25" s="540">
        <v>128</v>
      </c>
      <c r="O25" s="342">
        <v>7</v>
      </c>
      <c r="P25" s="342">
        <v>76</v>
      </c>
      <c r="Q25" s="210">
        <v>265</v>
      </c>
      <c r="R25" s="744">
        <f t="shared" si="1"/>
        <v>172.8</v>
      </c>
      <c r="S25" s="748">
        <f t="shared" si="0"/>
        <v>122</v>
      </c>
    </row>
    <row r="26" spans="1:19" x14ac:dyDescent="0.25">
      <c r="A26" s="846"/>
      <c r="B26" s="179" t="s">
        <v>198</v>
      </c>
      <c r="C26" s="182">
        <v>32</v>
      </c>
      <c r="D26" s="83">
        <v>24</v>
      </c>
      <c r="E26" s="83">
        <v>20</v>
      </c>
      <c r="F26" s="83">
        <v>23</v>
      </c>
      <c r="G26" s="83">
        <v>30</v>
      </c>
      <c r="H26" s="203">
        <v>89</v>
      </c>
      <c r="I26" s="182">
        <v>28</v>
      </c>
      <c r="J26" s="182">
        <v>42</v>
      </c>
      <c r="K26" s="204">
        <v>48</v>
      </c>
      <c r="L26" s="208">
        <v>52</v>
      </c>
      <c r="M26" s="203">
        <v>61</v>
      </c>
      <c r="N26" s="540">
        <v>62</v>
      </c>
      <c r="O26" s="203">
        <v>24</v>
      </c>
      <c r="P26" s="203">
        <v>45</v>
      </c>
      <c r="Q26" s="210">
        <v>12</v>
      </c>
      <c r="R26" s="744">
        <f t="shared" si="1"/>
        <v>39.466666666666669</v>
      </c>
      <c r="S26" s="748">
        <f t="shared" si="0"/>
        <v>48</v>
      </c>
    </row>
    <row r="27" spans="1:19" x14ac:dyDescent="0.25">
      <c r="A27" s="846"/>
      <c r="B27" s="180" t="s">
        <v>199</v>
      </c>
      <c r="C27" s="183">
        <v>15</v>
      </c>
      <c r="D27" s="83">
        <v>8</v>
      </c>
      <c r="E27" s="83">
        <v>3</v>
      </c>
      <c r="F27" s="83">
        <v>11</v>
      </c>
      <c r="G27" s="83">
        <v>8</v>
      </c>
      <c r="H27" s="203">
        <v>8</v>
      </c>
      <c r="I27" s="182">
        <v>23</v>
      </c>
      <c r="J27" s="182">
        <v>25</v>
      </c>
      <c r="K27" s="204">
        <v>25</v>
      </c>
      <c r="L27" s="206">
        <v>17</v>
      </c>
      <c r="M27" s="203">
        <v>42</v>
      </c>
      <c r="N27" s="540">
        <v>33</v>
      </c>
      <c r="O27" s="203">
        <v>9</v>
      </c>
      <c r="P27" s="203">
        <v>9</v>
      </c>
      <c r="Q27" s="210">
        <v>7</v>
      </c>
      <c r="R27" s="744">
        <f t="shared" si="1"/>
        <v>16.2</v>
      </c>
      <c r="S27" s="748">
        <f t="shared" si="0"/>
        <v>25</v>
      </c>
    </row>
    <row r="28" spans="1:19" x14ac:dyDescent="0.25">
      <c r="A28" s="847"/>
      <c r="B28" s="180" t="s">
        <v>203</v>
      </c>
      <c r="C28" s="83">
        <v>4.4000000000000004</v>
      </c>
      <c r="D28" s="83">
        <v>9.1999999999999993</v>
      </c>
      <c r="E28" s="83">
        <v>13.8</v>
      </c>
      <c r="F28" s="83">
        <v>7.2</v>
      </c>
      <c r="G28" s="83">
        <v>8.6</v>
      </c>
      <c r="H28" s="83">
        <v>26.2</v>
      </c>
      <c r="I28" s="209">
        <v>5</v>
      </c>
      <c r="J28" s="85">
        <v>10.6</v>
      </c>
      <c r="K28" s="85">
        <v>4.4000000000000004</v>
      </c>
      <c r="L28" s="208">
        <v>11.6</v>
      </c>
      <c r="M28" s="203">
        <v>14.2</v>
      </c>
      <c r="N28" s="540">
        <v>6.6</v>
      </c>
      <c r="O28" s="203">
        <v>16.2</v>
      </c>
      <c r="P28" s="203">
        <v>22.2</v>
      </c>
      <c r="Q28" s="211">
        <v>4</v>
      </c>
      <c r="R28" s="744">
        <f t="shared" si="1"/>
        <v>10.946666666666665</v>
      </c>
      <c r="S28" s="748">
        <f>MEDIAN(I28:O28)</f>
        <v>10.6</v>
      </c>
    </row>
    <row r="29" spans="1:19" x14ac:dyDescent="0.25">
      <c r="A29" s="195"/>
      <c r="B29" s="196"/>
      <c r="C29" s="196"/>
      <c r="D29" s="195"/>
      <c r="E29" s="195"/>
      <c r="F29" s="195"/>
      <c r="G29" s="198"/>
      <c r="H29" s="184"/>
    </row>
    <row r="30" spans="1:19" x14ac:dyDescent="0.25">
      <c r="A30" s="195"/>
      <c r="B30" s="196"/>
      <c r="C30" s="196"/>
      <c r="D30" s="199"/>
      <c r="E30" s="195"/>
      <c r="F30" s="168"/>
      <c r="G30" s="197"/>
      <c r="H30" s="169"/>
    </row>
    <row r="31" spans="1:19" x14ac:dyDescent="0.25">
      <c r="A31" s="195"/>
      <c r="B31" s="196"/>
      <c r="C31" s="196"/>
      <c r="D31" s="190"/>
      <c r="E31" s="195"/>
      <c r="F31" s="200"/>
      <c r="G31" s="191"/>
      <c r="H31" s="191"/>
    </row>
    <row r="32" spans="1:19" x14ac:dyDescent="0.25">
      <c r="A32" s="195"/>
      <c r="B32" s="196"/>
      <c r="C32" s="20"/>
      <c r="D32" s="202"/>
      <c r="E32" s="161"/>
      <c r="F32" s="161"/>
      <c r="G32" s="20"/>
      <c r="H32" s="20"/>
      <c r="I32" s="20"/>
      <c r="J32" s="20"/>
      <c r="K32" s="164"/>
    </row>
    <row r="33" spans="1:11" x14ac:dyDescent="0.25">
      <c r="A33" s="195"/>
      <c r="B33" s="196"/>
      <c r="C33" s="20"/>
      <c r="D33" s="202"/>
      <c r="E33" s="161"/>
      <c r="F33" s="161"/>
      <c r="G33" s="20"/>
      <c r="H33" s="20"/>
      <c r="I33" s="20"/>
      <c r="J33" s="20"/>
      <c r="K33" s="164"/>
    </row>
    <row r="34" spans="1:11" x14ac:dyDescent="0.25">
      <c r="A34" s="195"/>
      <c r="B34" s="196"/>
      <c r="C34" s="20"/>
      <c r="D34" s="202"/>
      <c r="E34" s="161"/>
      <c r="F34" s="161"/>
      <c r="G34" s="20"/>
      <c r="H34" s="20"/>
      <c r="I34" s="20"/>
      <c r="J34" s="20"/>
      <c r="K34" s="184"/>
    </row>
    <row r="35" spans="1:11" x14ac:dyDescent="0.25">
      <c r="A35" s="195"/>
      <c r="B35" s="196"/>
      <c r="C35" s="20"/>
      <c r="D35" s="202"/>
      <c r="E35" s="161"/>
      <c r="F35" s="161"/>
      <c r="G35" s="171"/>
      <c r="H35" s="20"/>
      <c r="I35" s="168"/>
      <c r="J35" s="168"/>
      <c r="K35" s="169"/>
    </row>
    <row r="36" spans="1:11" x14ac:dyDescent="0.25">
      <c r="A36" s="20"/>
      <c r="B36" s="196"/>
      <c r="C36" s="20"/>
      <c r="D36" s="202"/>
      <c r="E36" s="161"/>
      <c r="F36" s="161"/>
      <c r="G36" s="20"/>
      <c r="H36" s="20"/>
      <c r="I36" s="20"/>
      <c r="J36" s="20"/>
      <c r="K36" s="164"/>
    </row>
    <row r="37" spans="1:11" x14ac:dyDescent="0.25">
      <c r="A37" s="20"/>
      <c r="B37" s="196"/>
      <c r="C37" s="20"/>
      <c r="D37" s="202"/>
      <c r="E37" s="161"/>
      <c r="F37" s="161"/>
      <c r="G37" s="20"/>
      <c r="H37" s="20"/>
      <c r="I37" s="20"/>
      <c r="J37" s="20"/>
      <c r="K37" s="164"/>
    </row>
    <row r="38" spans="1:11" x14ac:dyDescent="0.25">
      <c r="A38" s="20"/>
      <c r="B38" s="196"/>
      <c r="C38" s="20"/>
      <c r="D38" s="202"/>
      <c r="E38" s="161"/>
      <c r="F38" s="161"/>
      <c r="G38" s="20"/>
      <c r="H38" s="20"/>
      <c r="I38" s="20"/>
      <c r="J38" s="20"/>
      <c r="K38" s="184"/>
    </row>
    <row r="39" spans="1:11" x14ac:dyDescent="0.25">
      <c r="A39" s="20"/>
      <c r="B39" s="196"/>
      <c r="C39" s="20"/>
      <c r="D39" s="202"/>
      <c r="E39" s="161"/>
      <c r="F39" s="161"/>
      <c r="G39" s="171"/>
      <c r="H39" s="20"/>
      <c r="I39" s="168"/>
      <c r="J39" s="168"/>
      <c r="K39" s="169"/>
    </row>
    <row r="40" spans="1:11" x14ac:dyDescent="0.25">
      <c r="A40" s="195"/>
      <c r="B40" s="196"/>
      <c r="C40" s="20"/>
      <c r="D40" s="202"/>
      <c r="E40" s="161"/>
      <c r="F40" s="161"/>
      <c r="G40" s="190"/>
      <c r="H40" s="20"/>
      <c r="I40" s="176"/>
      <c r="J40" s="176"/>
      <c r="K40" s="191"/>
    </row>
    <row r="41" spans="1:11" x14ac:dyDescent="0.25">
      <c r="A41" s="195"/>
      <c r="B41" s="196"/>
      <c r="C41" s="20"/>
      <c r="D41" s="202"/>
      <c r="E41" s="161"/>
      <c r="F41" s="161"/>
      <c r="G41" s="20"/>
      <c r="H41" s="20"/>
      <c r="I41" s="20"/>
      <c r="J41" s="20"/>
      <c r="K41" s="164"/>
    </row>
    <row r="42" spans="1:11" x14ac:dyDescent="0.25">
      <c r="A42" s="195"/>
      <c r="B42" s="196"/>
      <c r="C42" s="20"/>
      <c r="D42" s="202"/>
      <c r="E42" s="161"/>
      <c r="F42" s="161"/>
      <c r="G42" s="20"/>
      <c r="H42" s="20"/>
      <c r="I42" s="20"/>
      <c r="J42" s="20"/>
      <c r="K42" s="164"/>
    </row>
    <row r="43" spans="1:11" x14ac:dyDescent="0.25">
      <c r="A43" s="195"/>
      <c r="B43" s="196"/>
      <c r="C43" s="20"/>
      <c r="D43" s="202"/>
      <c r="E43" s="161"/>
      <c r="F43" s="161"/>
      <c r="G43" s="20"/>
      <c r="H43" s="20"/>
      <c r="I43" s="20"/>
      <c r="J43" s="20"/>
      <c r="K43" s="184"/>
    </row>
    <row r="44" spans="1:11" x14ac:dyDescent="0.25">
      <c r="A44" s="195"/>
      <c r="B44" s="196"/>
      <c r="C44" s="20"/>
      <c r="D44" s="202"/>
      <c r="E44" s="161"/>
      <c r="F44" s="161"/>
      <c r="G44" s="171"/>
      <c r="H44" s="20"/>
      <c r="I44" s="168"/>
      <c r="J44" s="168"/>
      <c r="K44" s="169"/>
    </row>
    <row r="45" spans="1:11" x14ac:dyDescent="0.25">
      <c r="C45" s="20"/>
      <c r="D45" s="202"/>
      <c r="E45" s="161"/>
      <c r="F45" s="161"/>
      <c r="G45" s="20"/>
      <c r="H45" s="20"/>
      <c r="I45" s="20"/>
      <c r="J45" s="20"/>
      <c r="K45" s="164"/>
    </row>
    <row r="46" spans="1:11" x14ac:dyDescent="0.25">
      <c r="C46" s="20"/>
      <c r="D46" s="202"/>
      <c r="E46" s="161"/>
      <c r="F46" s="161"/>
      <c r="G46" s="20"/>
      <c r="H46" s="20"/>
      <c r="I46" s="20"/>
      <c r="J46" s="20"/>
      <c r="K46" s="164"/>
    </row>
    <row r="47" spans="1:11" x14ac:dyDescent="0.25">
      <c r="C47" s="20"/>
      <c r="D47" s="202"/>
      <c r="E47" s="161"/>
      <c r="F47" s="161"/>
      <c r="G47" s="20"/>
      <c r="H47" s="20"/>
      <c r="I47" s="20"/>
      <c r="J47" s="20"/>
      <c r="K47" s="184"/>
    </row>
    <row r="48" spans="1:11" x14ac:dyDescent="0.25">
      <c r="C48" s="20"/>
      <c r="D48" s="202"/>
      <c r="E48" s="161"/>
      <c r="F48" s="161"/>
      <c r="G48" s="171"/>
      <c r="H48" s="20"/>
      <c r="I48" s="168"/>
      <c r="J48" s="168"/>
      <c r="K48" s="169"/>
    </row>
    <row r="49" spans="3:11" x14ac:dyDescent="0.25">
      <c r="C49" s="20"/>
      <c r="D49" s="202"/>
      <c r="E49" s="161"/>
      <c r="F49" s="161"/>
      <c r="G49" s="20"/>
      <c r="H49" s="20"/>
      <c r="I49" s="20"/>
      <c r="J49" s="20"/>
      <c r="K49" s="164"/>
    </row>
    <row r="50" spans="3:11" x14ac:dyDescent="0.25">
      <c r="C50" s="20"/>
      <c r="D50" s="202"/>
      <c r="E50" s="161"/>
      <c r="F50" s="161"/>
      <c r="G50" s="20"/>
      <c r="H50" s="20"/>
      <c r="I50" s="20"/>
      <c r="J50" s="20"/>
      <c r="K50" s="164"/>
    </row>
    <row r="51" spans="3:11" x14ac:dyDescent="0.25">
      <c r="C51" s="20"/>
      <c r="D51" s="202"/>
      <c r="E51" s="161"/>
      <c r="F51" s="161"/>
      <c r="G51" s="20"/>
      <c r="H51" s="20"/>
      <c r="I51" s="20"/>
      <c r="J51" s="20"/>
      <c r="K51" s="184"/>
    </row>
    <row r="52" spans="3:11" x14ac:dyDescent="0.25">
      <c r="C52" s="20"/>
      <c r="D52" s="202"/>
      <c r="E52" s="161"/>
      <c r="F52" s="161"/>
      <c r="G52" s="171"/>
      <c r="H52" s="20"/>
      <c r="I52" s="168"/>
      <c r="J52" s="168"/>
      <c r="K52" s="169"/>
    </row>
  </sheetData>
  <mergeCells count="6">
    <mergeCell ref="A24:A28"/>
    <mergeCell ref="A1:R1"/>
    <mergeCell ref="A3:A7"/>
    <mergeCell ref="A8:A12"/>
    <mergeCell ref="A13:A18"/>
    <mergeCell ref="A19:A23"/>
  </mergeCells>
  <pageMargins left="0.7" right="0.7" top="0.75" bottom="0.75" header="0.3" footer="0.3"/>
  <pageSetup scale="9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59"/>
  <sheetViews>
    <sheetView workbookViewId="0">
      <selection sqref="A1:B59"/>
    </sheetView>
  </sheetViews>
  <sheetFormatPr defaultRowHeight="12.5" x14ac:dyDescent="0.25"/>
  <cols>
    <col min="1" max="1" width="56.453125" bestFit="1" customWidth="1"/>
    <col min="2" max="2" width="26.54296875" bestFit="1" customWidth="1"/>
  </cols>
  <sheetData>
    <row r="1" spans="1:2" ht="15" x14ac:dyDescent="0.3">
      <c r="A1" s="812" t="s">
        <v>551</v>
      </c>
      <c r="B1" s="812"/>
    </row>
    <row r="2" spans="1:2" ht="13" x14ac:dyDescent="0.3">
      <c r="A2" s="815" t="s">
        <v>1087</v>
      </c>
      <c r="B2" s="815"/>
    </row>
    <row r="3" spans="1:2" ht="15" x14ac:dyDescent="0.3">
      <c r="A3" s="786" t="s">
        <v>1077</v>
      </c>
      <c r="B3" s="787" t="s">
        <v>15</v>
      </c>
    </row>
    <row r="4" spans="1:2" ht="14" x14ac:dyDescent="0.3">
      <c r="A4" s="810" t="s">
        <v>133</v>
      </c>
      <c r="B4" s="810"/>
    </row>
    <row r="5" spans="1:2" ht="14.25" customHeight="1" x14ac:dyDescent="0.3">
      <c r="A5" s="788" t="s">
        <v>1078</v>
      </c>
      <c r="B5" s="789">
        <v>9</v>
      </c>
    </row>
    <row r="6" spans="1:2" ht="14" x14ac:dyDescent="0.3">
      <c r="A6" s="788" t="s">
        <v>1079</v>
      </c>
      <c r="B6" s="789">
        <v>10.8</v>
      </c>
    </row>
    <row r="7" spans="1:2" ht="14" x14ac:dyDescent="0.3">
      <c r="A7" s="476" t="s">
        <v>16</v>
      </c>
      <c r="B7" s="789">
        <v>17.399999999999999</v>
      </c>
    </row>
    <row r="8" spans="1:2" ht="14" x14ac:dyDescent="0.3">
      <c r="A8" s="810" t="s">
        <v>141</v>
      </c>
      <c r="B8" s="810"/>
    </row>
    <row r="9" spans="1:2" ht="14" x14ac:dyDescent="0.3">
      <c r="A9" s="476" t="s">
        <v>1070</v>
      </c>
      <c r="B9" s="790">
        <v>40.799999999999997</v>
      </c>
    </row>
    <row r="10" spans="1:2" ht="14" x14ac:dyDescent="0.3">
      <c r="A10" s="476" t="s">
        <v>1067</v>
      </c>
      <c r="B10" s="790">
        <v>33.700000000000003</v>
      </c>
    </row>
    <row r="11" spans="1:2" ht="14" x14ac:dyDescent="0.3">
      <c r="A11" s="476" t="s">
        <v>1068</v>
      </c>
      <c r="B11" s="790">
        <v>47.9</v>
      </c>
    </row>
    <row r="12" spans="1:2" ht="14" x14ac:dyDescent="0.3">
      <c r="A12" s="476" t="s">
        <v>1069</v>
      </c>
      <c r="B12" s="790">
        <v>55.2</v>
      </c>
    </row>
    <row r="13" spans="1:2" ht="14" x14ac:dyDescent="0.3">
      <c r="A13" s="476" t="s">
        <v>1065</v>
      </c>
      <c r="B13" s="790">
        <v>53.8</v>
      </c>
    </row>
    <row r="14" spans="1:2" ht="14" x14ac:dyDescent="0.3">
      <c r="A14" s="476" t="s">
        <v>1066</v>
      </c>
      <c r="B14" s="790">
        <v>56.5</v>
      </c>
    </row>
    <row r="15" spans="1:2" ht="14" x14ac:dyDescent="0.3">
      <c r="A15" s="476" t="s">
        <v>1058</v>
      </c>
      <c r="B15" s="790">
        <v>102</v>
      </c>
    </row>
    <row r="16" spans="1:2" ht="14" x14ac:dyDescent="0.3">
      <c r="A16" s="476" t="s">
        <v>1060</v>
      </c>
      <c r="B16" s="790">
        <v>13</v>
      </c>
    </row>
    <row r="17" spans="1:2" ht="14" x14ac:dyDescent="0.3">
      <c r="A17" s="476" t="s">
        <v>1093</v>
      </c>
      <c r="B17" s="790">
        <v>22.3</v>
      </c>
    </row>
    <row r="18" spans="1:2" ht="14" x14ac:dyDescent="0.3">
      <c r="A18" s="476" t="s">
        <v>1061</v>
      </c>
      <c r="B18" s="790">
        <v>36.799999999999997</v>
      </c>
    </row>
    <row r="19" spans="1:2" ht="14" x14ac:dyDescent="0.3">
      <c r="A19" s="810" t="s">
        <v>142</v>
      </c>
      <c r="B19" s="811"/>
    </row>
    <row r="20" spans="1:2" ht="14" x14ac:dyDescent="0.3">
      <c r="A20" s="476" t="s">
        <v>1062</v>
      </c>
      <c r="B20" s="790">
        <v>172</v>
      </c>
    </row>
    <row r="21" spans="1:2" ht="14" x14ac:dyDescent="0.3">
      <c r="A21" s="476" t="s">
        <v>1088</v>
      </c>
      <c r="B21" s="790">
        <v>111</v>
      </c>
    </row>
    <row r="22" spans="1:2" ht="14" x14ac:dyDescent="0.3">
      <c r="A22" s="476" t="s">
        <v>1063</v>
      </c>
      <c r="B22" s="790">
        <v>564</v>
      </c>
    </row>
    <row r="23" spans="1:2" ht="14" x14ac:dyDescent="0.3">
      <c r="A23" s="476" t="s">
        <v>1064</v>
      </c>
      <c r="B23" s="790">
        <v>630</v>
      </c>
    </row>
    <row r="24" spans="1:2" ht="14" x14ac:dyDescent="0.3">
      <c r="A24" s="476" t="s">
        <v>1056</v>
      </c>
      <c r="B24" s="790">
        <v>799</v>
      </c>
    </row>
    <row r="25" spans="1:2" ht="14" x14ac:dyDescent="0.3">
      <c r="A25" s="476" t="s">
        <v>1057</v>
      </c>
      <c r="B25" s="790">
        <v>1005</v>
      </c>
    </row>
    <row r="26" spans="1:2" ht="14" x14ac:dyDescent="0.3">
      <c r="A26" s="476" t="s">
        <v>1089</v>
      </c>
      <c r="B26" s="790">
        <v>652</v>
      </c>
    </row>
    <row r="27" spans="1:2" ht="14" x14ac:dyDescent="0.3">
      <c r="A27" s="476" t="s">
        <v>1090</v>
      </c>
      <c r="B27" s="790">
        <v>698</v>
      </c>
    </row>
    <row r="28" spans="1:2" ht="14" x14ac:dyDescent="0.3">
      <c r="A28" s="476" t="s">
        <v>1091</v>
      </c>
      <c r="B28" s="790">
        <v>605</v>
      </c>
    </row>
    <row r="29" spans="1:2" ht="14" x14ac:dyDescent="0.3">
      <c r="A29" s="810" t="s">
        <v>143</v>
      </c>
      <c r="B29" s="811"/>
    </row>
    <row r="30" spans="1:2" ht="14" x14ac:dyDescent="0.3">
      <c r="A30" s="476" t="s">
        <v>169</v>
      </c>
      <c r="B30" s="790">
        <v>2.2000000000000002</v>
      </c>
    </row>
    <row r="31" spans="1:2" ht="14" x14ac:dyDescent="0.3">
      <c r="A31" s="476" t="s">
        <v>1094</v>
      </c>
      <c r="B31" s="789">
        <v>2.2000000000000002</v>
      </c>
    </row>
    <row r="32" spans="1:2" ht="14" x14ac:dyDescent="0.3">
      <c r="A32" s="810" t="s">
        <v>144</v>
      </c>
      <c r="B32" s="811"/>
    </row>
    <row r="33" spans="1:2" ht="14" x14ac:dyDescent="0.3">
      <c r="A33" s="476" t="s">
        <v>139</v>
      </c>
      <c r="B33" s="789">
        <v>8.3000000000000007</v>
      </c>
    </row>
    <row r="34" spans="1:2" ht="14" x14ac:dyDescent="0.3">
      <c r="A34" s="476" t="s">
        <v>1092</v>
      </c>
      <c r="B34" s="789">
        <v>6.2</v>
      </c>
    </row>
    <row r="35" spans="1:2" ht="14" x14ac:dyDescent="0.3">
      <c r="A35" s="476" t="s">
        <v>140</v>
      </c>
      <c r="B35" s="790">
        <v>39.6</v>
      </c>
    </row>
    <row r="36" spans="1:2" ht="14" x14ac:dyDescent="0.3">
      <c r="A36" s="810" t="s">
        <v>1080</v>
      </c>
      <c r="B36" s="810"/>
    </row>
    <row r="37" spans="1:2" ht="14" x14ac:dyDescent="0.3">
      <c r="A37" s="610" t="s">
        <v>1081</v>
      </c>
      <c r="B37" s="790">
        <v>8.5</v>
      </c>
    </row>
    <row r="38" spans="1:2" ht="14" x14ac:dyDescent="0.3">
      <c r="A38" s="610" t="s">
        <v>1082</v>
      </c>
      <c r="B38" s="790">
        <v>6.03</v>
      </c>
    </row>
    <row r="39" spans="1:2" ht="14" x14ac:dyDescent="0.3">
      <c r="A39" s="610" t="s">
        <v>1083</v>
      </c>
      <c r="B39" s="790">
        <v>8.4</v>
      </c>
    </row>
    <row r="40" spans="1:2" ht="14" x14ac:dyDescent="0.3">
      <c r="A40" s="610" t="s">
        <v>1084</v>
      </c>
      <c r="B40" s="790">
        <v>5.51</v>
      </c>
    </row>
    <row r="41" spans="1:2" ht="14" x14ac:dyDescent="0.3">
      <c r="A41" s="810" t="s">
        <v>174</v>
      </c>
      <c r="B41" s="810"/>
    </row>
    <row r="42" spans="1:2" ht="14" x14ac:dyDescent="0.3">
      <c r="A42" s="791" t="s">
        <v>1081</v>
      </c>
      <c r="B42" s="790">
        <v>8.44</v>
      </c>
    </row>
    <row r="43" spans="1:2" ht="14" x14ac:dyDescent="0.3">
      <c r="A43" s="791" t="s">
        <v>1085</v>
      </c>
      <c r="B43" s="790">
        <v>9.5</v>
      </c>
    </row>
    <row r="44" spans="1:2" ht="14" x14ac:dyDescent="0.3">
      <c r="A44" s="791" t="s">
        <v>1083</v>
      </c>
      <c r="B44" s="790">
        <v>8.33</v>
      </c>
    </row>
    <row r="45" spans="1:2" ht="14" x14ac:dyDescent="0.3">
      <c r="A45" s="791" t="s">
        <v>1086</v>
      </c>
      <c r="B45" s="790">
        <v>9.41</v>
      </c>
    </row>
    <row r="46" spans="1:2" ht="14" x14ac:dyDescent="0.3">
      <c r="A46" s="810" t="s">
        <v>145</v>
      </c>
      <c r="B46" s="810"/>
    </row>
    <row r="47" spans="1:2" ht="14" x14ac:dyDescent="0.3">
      <c r="A47" s="813" t="s">
        <v>17</v>
      </c>
      <c r="B47" s="792" t="s">
        <v>223</v>
      </c>
    </row>
    <row r="48" spans="1:2" ht="14" x14ac:dyDescent="0.3">
      <c r="A48" s="814"/>
      <c r="B48" s="792" t="s">
        <v>1044</v>
      </c>
    </row>
    <row r="49" spans="1:6" ht="14" x14ac:dyDescent="0.3">
      <c r="A49" s="814"/>
      <c r="B49" s="793" t="s">
        <v>999</v>
      </c>
    </row>
    <row r="50" spans="1:6" ht="14" x14ac:dyDescent="0.3">
      <c r="A50" s="814"/>
      <c r="B50" s="793" t="s">
        <v>151</v>
      </c>
    </row>
    <row r="51" spans="1:6" ht="14" x14ac:dyDescent="0.3">
      <c r="A51" s="814"/>
      <c r="B51" s="793" t="s">
        <v>13</v>
      </c>
    </row>
    <row r="52" spans="1:6" ht="14" x14ac:dyDescent="0.3">
      <c r="A52" s="814"/>
      <c r="B52" s="793" t="s">
        <v>1009</v>
      </c>
    </row>
    <row r="53" spans="1:6" ht="14" x14ac:dyDescent="0.3">
      <c r="A53" s="814"/>
      <c r="B53" s="793" t="s">
        <v>159</v>
      </c>
    </row>
    <row r="54" spans="1:6" ht="14" x14ac:dyDescent="0.3">
      <c r="A54" s="814"/>
      <c r="B54" s="792" t="s">
        <v>1045</v>
      </c>
      <c r="D54" s="89"/>
      <c r="E54" s="89"/>
      <c r="F54" s="89"/>
    </row>
    <row r="55" spans="1:6" ht="14" x14ac:dyDescent="0.3">
      <c r="A55" s="814"/>
      <c r="B55" s="792" t="s">
        <v>1049</v>
      </c>
      <c r="D55" s="89"/>
      <c r="E55" s="753"/>
      <c r="F55" s="89"/>
    </row>
    <row r="56" spans="1:6" ht="14" x14ac:dyDescent="0.3">
      <c r="A56" s="814"/>
      <c r="B56" s="792" t="s">
        <v>1046</v>
      </c>
      <c r="D56" s="89"/>
      <c r="E56" s="753"/>
      <c r="F56" s="89"/>
    </row>
    <row r="57" spans="1:6" ht="14" x14ac:dyDescent="0.3">
      <c r="A57" s="814"/>
      <c r="B57" s="793" t="s">
        <v>1007</v>
      </c>
      <c r="D57" s="89"/>
      <c r="E57" s="89"/>
      <c r="F57" s="89"/>
    </row>
    <row r="58" spans="1:6" ht="14" x14ac:dyDescent="0.3">
      <c r="A58" s="809" t="s">
        <v>18</v>
      </c>
      <c r="B58" s="809"/>
    </row>
    <row r="59" spans="1:6" ht="14" x14ac:dyDescent="0.3">
      <c r="A59" s="792" t="s">
        <v>223</v>
      </c>
      <c r="B59" s="794">
        <v>8417437.6642335784</v>
      </c>
    </row>
  </sheetData>
  <mergeCells count="12">
    <mergeCell ref="A58:B58"/>
    <mergeCell ref="A29:B29"/>
    <mergeCell ref="A32:B32"/>
    <mergeCell ref="A46:B46"/>
    <mergeCell ref="A1:B1"/>
    <mergeCell ref="A4:B4"/>
    <mergeCell ref="A8:B8"/>
    <mergeCell ref="A19:B19"/>
    <mergeCell ref="A47:A57"/>
    <mergeCell ref="A2:B2"/>
    <mergeCell ref="A36:B36"/>
    <mergeCell ref="A41:B41"/>
  </mergeCells>
  <phoneticPr fontId="8" type="noConversion"/>
  <pageMargins left="0.5" right="0.5" top="1" bottom="1" header="0.5" footer="0.5"/>
  <pageSetup orientation="portrait" horizontalDpi="4294967294"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C114"/>
  <sheetViews>
    <sheetView topLeftCell="H1" workbookViewId="0">
      <selection activeCell="Z34" sqref="Z34"/>
    </sheetView>
  </sheetViews>
  <sheetFormatPr defaultRowHeight="12.5" x14ac:dyDescent="0.25"/>
  <cols>
    <col min="1" max="1" width="6.54296875" bestFit="1" customWidth="1"/>
    <col min="2" max="2" width="34" style="356" customWidth="1"/>
    <col min="3" max="3" width="7.54296875" customWidth="1"/>
    <col min="4" max="4" width="4" bestFit="1" customWidth="1"/>
    <col min="5" max="5" width="8.453125" customWidth="1"/>
    <col min="6" max="6" width="6.453125" customWidth="1"/>
    <col min="7" max="7" width="8.36328125" customWidth="1"/>
    <col min="8" max="8" width="4" bestFit="1" customWidth="1"/>
    <col min="9" max="9" width="8.54296875" customWidth="1"/>
    <col min="10" max="10" width="5.90625" bestFit="1" customWidth="1"/>
    <col min="11" max="11" width="8.36328125" customWidth="1"/>
    <col min="12" max="12" width="4" bestFit="1" customWidth="1"/>
    <col min="13" max="13" width="8.6328125" customWidth="1"/>
    <col min="14" max="14" width="5.90625" bestFit="1" customWidth="1"/>
    <col min="15" max="15" width="7.90625" customWidth="1"/>
    <col min="17" max="17" width="19.54296875" customWidth="1"/>
    <col min="21" max="22" width="11.90625" customWidth="1"/>
    <col min="23" max="23" width="11" bestFit="1" customWidth="1"/>
    <col min="24" max="24" width="11" customWidth="1"/>
    <col min="25" max="25" width="6.90625" bestFit="1" customWidth="1"/>
    <col min="26" max="26" width="48.08984375" bestFit="1" customWidth="1"/>
  </cols>
  <sheetData>
    <row r="1" spans="1:29" ht="12" customHeight="1" x14ac:dyDescent="0.3">
      <c r="A1" s="883" t="s">
        <v>296</v>
      </c>
      <c r="B1" s="881" t="s">
        <v>297</v>
      </c>
      <c r="C1" s="885">
        <v>40742</v>
      </c>
      <c r="D1" s="886"/>
      <c r="E1" s="886"/>
      <c r="F1" s="887"/>
      <c r="G1" s="885">
        <v>40766</v>
      </c>
      <c r="H1" s="886"/>
      <c r="I1" s="886"/>
      <c r="J1" s="887"/>
      <c r="K1" s="885">
        <v>40794</v>
      </c>
      <c r="L1" s="886"/>
      <c r="M1" s="886"/>
      <c r="N1" s="887"/>
      <c r="O1" s="545"/>
      <c r="Y1" s="873" t="s">
        <v>296</v>
      </c>
      <c r="Z1" s="873" t="s">
        <v>297</v>
      </c>
      <c r="AA1" s="874" t="s">
        <v>437</v>
      </c>
      <c r="AB1" s="875"/>
      <c r="AC1" s="876"/>
    </row>
    <row r="2" spans="1:29" ht="24.75" customHeight="1" x14ac:dyDescent="0.25">
      <c r="A2" s="884"/>
      <c r="B2" s="882"/>
      <c r="C2" s="348" t="s">
        <v>323</v>
      </c>
      <c r="D2" s="348" t="s">
        <v>420</v>
      </c>
      <c r="E2" s="348" t="s">
        <v>324</v>
      </c>
      <c r="F2" s="348" t="s">
        <v>325</v>
      </c>
      <c r="G2" s="348" t="s">
        <v>323</v>
      </c>
      <c r="H2" s="348" t="s">
        <v>420</v>
      </c>
      <c r="I2" s="348" t="s">
        <v>324</v>
      </c>
      <c r="J2" s="348" t="s">
        <v>325</v>
      </c>
      <c r="K2" s="348" t="s">
        <v>323</v>
      </c>
      <c r="L2" s="348" t="s">
        <v>420</v>
      </c>
      <c r="M2" s="348" t="s">
        <v>324</v>
      </c>
      <c r="N2" s="348" t="s">
        <v>325</v>
      </c>
      <c r="O2" s="546"/>
      <c r="Y2" s="873"/>
      <c r="Z2" s="873"/>
      <c r="AA2" s="370">
        <v>40742</v>
      </c>
      <c r="AB2" s="372">
        <v>40766</v>
      </c>
      <c r="AC2" s="371">
        <v>40794</v>
      </c>
    </row>
    <row r="3" spans="1:29" ht="15" customHeight="1" x14ac:dyDescent="0.25">
      <c r="A3" s="891" t="s">
        <v>298</v>
      </c>
      <c r="B3" s="892"/>
      <c r="C3" s="892"/>
      <c r="D3" s="892"/>
      <c r="E3" s="892"/>
      <c r="F3" s="892"/>
      <c r="G3" s="892"/>
      <c r="H3" s="892"/>
      <c r="I3" s="892"/>
      <c r="J3" s="892"/>
      <c r="K3" s="892"/>
      <c r="L3" s="892"/>
      <c r="M3" s="892"/>
      <c r="N3" s="893"/>
      <c r="O3" s="547"/>
      <c r="V3" s="20"/>
      <c r="W3" s="164"/>
      <c r="X3" s="164"/>
      <c r="Y3" s="877" t="s">
        <v>298</v>
      </c>
      <c r="Z3" s="878"/>
      <c r="AA3" s="878"/>
      <c r="AB3" s="878"/>
      <c r="AC3" s="879"/>
    </row>
    <row r="4" spans="1:29" x14ac:dyDescent="0.25">
      <c r="A4" s="555" t="s">
        <v>283</v>
      </c>
      <c r="B4" s="556" t="s">
        <v>419</v>
      </c>
      <c r="C4" s="531">
        <v>75</v>
      </c>
      <c r="D4" s="531"/>
      <c r="E4" s="531">
        <v>10</v>
      </c>
      <c r="F4" s="531">
        <v>8</v>
      </c>
      <c r="G4" s="531">
        <v>59</v>
      </c>
      <c r="H4" s="531"/>
      <c r="I4" s="531">
        <v>13</v>
      </c>
      <c r="J4" s="531">
        <v>6</v>
      </c>
      <c r="K4" s="531">
        <v>65</v>
      </c>
      <c r="L4" s="531"/>
      <c r="M4" s="531">
        <v>13</v>
      </c>
      <c r="N4" s="531">
        <v>28</v>
      </c>
      <c r="O4" s="548"/>
      <c r="V4" s="20"/>
      <c r="W4" s="164"/>
      <c r="X4" s="164"/>
      <c r="Y4" s="347" t="s">
        <v>283</v>
      </c>
      <c r="Z4" s="347" t="s">
        <v>299</v>
      </c>
      <c r="AA4" s="540">
        <v>42.7</v>
      </c>
      <c r="AB4" s="540">
        <v>20.8</v>
      </c>
      <c r="AC4" s="540">
        <v>24.8</v>
      </c>
    </row>
    <row r="5" spans="1:29" x14ac:dyDescent="0.25">
      <c r="A5" s="555" t="s">
        <v>300</v>
      </c>
      <c r="B5" s="556" t="s">
        <v>301</v>
      </c>
      <c r="C5" s="531">
        <v>55</v>
      </c>
      <c r="D5" s="531"/>
      <c r="E5" s="531">
        <v>4</v>
      </c>
      <c r="F5" s="531">
        <v>14</v>
      </c>
      <c r="G5" s="531">
        <v>40</v>
      </c>
      <c r="H5" s="531"/>
      <c r="I5" s="531">
        <v>14</v>
      </c>
      <c r="J5" s="531">
        <v>12</v>
      </c>
      <c r="K5" s="531">
        <v>50</v>
      </c>
      <c r="L5" s="531"/>
      <c r="M5" s="531">
        <v>12</v>
      </c>
      <c r="N5" s="531">
        <v>28</v>
      </c>
      <c r="O5" s="548"/>
      <c r="P5" s="89"/>
      <c r="Q5" s="89"/>
      <c r="R5" s="89"/>
      <c r="S5" s="89"/>
      <c r="V5" s="20"/>
      <c r="W5" s="164"/>
      <c r="X5" s="164"/>
      <c r="Y5" s="347" t="s">
        <v>300</v>
      </c>
      <c r="Z5" s="347" t="s">
        <v>301</v>
      </c>
      <c r="AA5" s="540">
        <v>43</v>
      </c>
      <c r="AB5" s="540">
        <v>26</v>
      </c>
      <c r="AC5" s="540">
        <v>35</v>
      </c>
    </row>
    <row r="6" spans="1:29" ht="15" customHeight="1" x14ac:dyDescent="0.25">
      <c r="A6" s="888" t="s">
        <v>302</v>
      </c>
      <c r="B6" s="889"/>
      <c r="C6" s="889"/>
      <c r="D6" s="889"/>
      <c r="E6" s="889"/>
      <c r="F6" s="889"/>
      <c r="G6" s="889"/>
      <c r="H6" s="889"/>
      <c r="I6" s="889"/>
      <c r="J6" s="889"/>
      <c r="K6" s="889"/>
      <c r="L6" s="889"/>
      <c r="M6" s="889"/>
      <c r="N6" s="890"/>
      <c r="O6" s="547"/>
      <c r="P6" s="345"/>
      <c r="Q6" s="89"/>
      <c r="R6" s="89"/>
      <c r="S6" s="89"/>
      <c r="V6" s="168"/>
      <c r="W6" s="346"/>
      <c r="X6" s="346"/>
      <c r="Y6" s="877" t="s">
        <v>303</v>
      </c>
      <c r="Z6" s="878"/>
      <c r="AA6" s="878"/>
      <c r="AB6" s="878"/>
      <c r="AC6" s="879"/>
    </row>
    <row r="7" spans="1:29" x14ac:dyDescent="0.25">
      <c r="A7" s="555" t="s">
        <v>284</v>
      </c>
      <c r="B7" s="556" t="s">
        <v>424</v>
      </c>
      <c r="C7" s="531"/>
      <c r="D7" s="531"/>
      <c r="E7" s="531"/>
      <c r="F7" s="531"/>
      <c r="G7" s="531">
        <v>12</v>
      </c>
      <c r="H7" s="531">
        <v>247</v>
      </c>
      <c r="I7" s="531">
        <v>17</v>
      </c>
      <c r="J7" s="531">
        <v>19</v>
      </c>
      <c r="K7" s="531">
        <v>6</v>
      </c>
      <c r="L7" s="531">
        <v>238</v>
      </c>
      <c r="M7" s="531">
        <v>16</v>
      </c>
      <c r="N7" s="531">
        <v>18</v>
      </c>
      <c r="O7" s="548"/>
      <c r="P7" s="89"/>
      <c r="Q7" s="89"/>
      <c r="R7" s="89"/>
      <c r="S7" s="89"/>
      <c r="V7" s="20"/>
      <c r="W7" s="164"/>
      <c r="X7" s="164"/>
      <c r="Y7" s="347" t="s">
        <v>205</v>
      </c>
      <c r="Z7" s="347" t="s">
        <v>304</v>
      </c>
      <c r="AA7" s="540">
        <v>67</v>
      </c>
      <c r="AB7" s="540">
        <v>26.5</v>
      </c>
      <c r="AC7" s="540">
        <v>40.1</v>
      </c>
    </row>
    <row r="8" spans="1:29" x14ac:dyDescent="0.25">
      <c r="A8" s="555" t="s">
        <v>285</v>
      </c>
      <c r="B8" s="556" t="s">
        <v>423</v>
      </c>
      <c r="C8" s="531"/>
      <c r="D8" s="531"/>
      <c r="E8" s="531"/>
      <c r="F8" s="531"/>
      <c r="G8" s="531">
        <v>6</v>
      </c>
      <c r="H8" s="531">
        <v>360</v>
      </c>
      <c r="I8" s="531">
        <v>16</v>
      </c>
      <c r="J8" s="531">
        <v>24</v>
      </c>
      <c r="K8" s="531">
        <v>18</v>
      </c>
      <c r="L8" s="531">
        <v>351</v>
      </c>
      <c r="M8" s="531">
        <v>240</v>
      </c>
      <c r="N8" s="531">
        <v>24</v>
      </c>
      <c r="O8" s="548"/>
      <c r="P8" s="190"/>
      <c r="Q8" s="89"/>
      <c r="R8" s="89"/>
      <c r="S8" s="89"/>
      <c r="V8" s="20"/>
      <c r="W8" s="164"/>
      <c r="X8" s="164"/>
      <c r="Y8" s="347" t="s">
        <v>286</v>
      </c>
      <c r="Z8" s="347" t="s">
        <v>305</v>
      </c>
      <c r="AA8" s="540">
        <v>47</v>
      </c>
      <c r="AB8" s="540">
        <v>30.3</v>
      </c>
      <c r="AC8" s="540">
        <v>45.7</v>
      </c>
    </row>
    <row r="9" spans="1:29" x14ac:dyDescent="0.25">
      <c r="A9" s="888" t="s">
        <v>303</v>
      </c>
      <c r="B9" s="889"/>
      <c r="C9" s="889"/>
      <c r="D9" s="889"/>
      <c r="E9" s="889"/>
      <c r="F9" s="889"/>
      <c r="G9" s="889"/>
      <c r="H9" s="889"/>
      <c r="I9" s="889"/>
      <c r="J9" s="889"/>
      <c r="K9" s="889"/>
      <c r="L9" s="889"/>
      <c r="M9" s="889"/>
      <c r="N9" s="890"/>
      <c r="O9" s="547"/>
      <c r="P9" s="345"/>
      <c r="Q9" s="89"/>
      <c r="R9" s="89"/>
      <c r="S9" s="89"/>
      <c r="V9" s="20"/>
      <c r="W9" s="164"/>
      <c r="X9" s="164"/>
      <c r="Y9" s="347" t="s">
        <v>287</v>
      </c>
      <c r="Z9" s="347" t="s">
        <v>306</v>
      </c>
      <c r="AA9" s="540">
        <v>42.2</v>
      </c>
      <c r="AB9" s="540">
        <v>29.7</v>
      </c>
      <c r="AC9" s="540">
        <v>36.9</v>
      </c>
    </row>
    <row r="10" spans="1:29" x14ac:dyDescent="0.25">
      <c r="A10" s="555" t="s">
        <v>205</v>
      </c>
      <c r="B10" s="556" t="s">
        <v>421</v>
      </c>
      <c r="C10" s="531">
        <v>70</v>
      </c>
      <c r="D10" s="531"/>
      <c r="E10" s="531">
        <v>15</v>
      </c>
      <c r="F10" s="531">
        <v>19</v>
      </c>
      <c r="G10" s="531">
        <v>26</v>
      </c>
      <c r="H10" s="531"/>
      <c r="I10" s="531">
        <v>26</v>
      </c>
      <c r="J10" s="531">
        <v>7</v>
      </c>
      <c r="K10" s="531">
        <v>15</v>
      </c>
      <c r="L10" s="531"/>
      <c r="M10" s="531">
        <v>40</v>
      </c>
      <c r="N10" s="531">
        <v>20</v>
      </c>
      <c r="O10" s="548"/>
      <c r="P10" s="171"/>
      <c r="Q10" s="89"/>
      <c r="R10" s="89"/>
      <c r="S10" s="89"/>
      <c r="V10" s="168"/>
      <c r="W10" s="346"/>
      <c r="X10" s="346"/>
      <c r="Y10" s="347" t="s">
        <v>288</v>
      </c>
      <c r="Z10" s="347" t="s">
        <v>307</v>
      </c>
      <c r="AA10" s="540">
        <v>54.5</v>
      </c>
      <c r="AB10" s="540">
        <v>23.6</v>
      </c>
      <c r="AC10" s="540">
        <v>41.2</v>
      </c>
    </row>
    <row r="11" spans="1:29" x14ac:dyDescent="0.25">
      <c r="A11" s="555" t="s">
        <v>286</v>
      </c>
      <c r="B11" s="556" t="s">
        <v>305</v>
      </c>
      <c r="C11" s="531">
        <v>143</v>
      </c>
      <c r="D11" s="531"/>
      <c r="E11" s="531">
        <v>13</v>
      </c>
      <c r="F11" s="531">
        <v>19</v>
      </c>
      <c r="G11" s="531">
        <v>325</v>
      </c>
      <c r="H11" s="531"/>
      <c r="I11" s="531">
        <v>23</v>
      </c>
      <c r="J11" s="531">
        <v>11</v>
      </c>
      <c r="K11" s="531">
        <v>173</v>
      </c>
      <c r="L11" s="531"/>
      <c r="M11" s="531">
        <v>38</v>
      </c>
      <c r="N11" s="531">
        <v>26</v>
      </c>
      <c r="O11" s="548"/>
      <c r="P11" s="171"/>
      <c r="Q11" s="89"/>
      <c r="R11" s="89"/>
      <c r="S11" s="89"/>
      <c r="V11" s="20"/>
      <c r="W11" s="164"/>
      <c r="X11" s="164"/>
      <c r="Y11" s="347" t="s">
        <v>289</v>
      </c>
      <c r="Z11" s="347" t="s">
        <v>308</v>
      </c>
      <c r="AA11" s="540">
        <v>63.6</v>
      </c>
      <c r="AB11" s="540">
        <v>34</v>
      </c>
      <c r="AC11" s="540">
        <v>49.1</v>
      </c>
    </row>
    <row r="12" spans="1:29" x14ac:dyDescent="0.25">
      <c r="A12" s="555" t="s">
        <v>287</v>
      </c>
      <c r="B12" s="556" t="s">
        <v>306</v>
      </c>
      <c r="C12" s="531">
        <v>149</v>
      </c>
      <c r="D12" s="531"/>
      <c r="E12" s="531">
        <v>9</v>
      </c>
      <c r="F12" s="531">
        <v>23</v>
      </c>
      <c r="G12" s="531">
        <v>150</v>
      </c>
      <c r="H12" s="531"/>
      <c r="I12" s="531">
        <v>20</v>
      </c>
      <c r="J12" s="531">
        <v>12</v>
      </c>
      <c r="K12" s="531">
        <v>182</v>
      </c>
      <c r="L12" s="531"/>
      <c r="M12" s="531">
        <v>37</v>
      </c>
      <c r="N12" s="531">
        <v>33</v>
      </c>
      <c r="O12" s="548"/>
      <c r="P12" s="345"/>
      <c r="Q12" s="89"/>
      <c r="R12" s="89"/>
      <c r="S12" s="89"/>
      <c r="V12" s="20"/>
      <c r="W12" s="164"/>
      <c r="X12" s="164"/>
      <c r="Y12" s="347" t="s">
        <v>290</v>
      </c>
      <c r="Z12" s="347" t="s">
        <v>309</v>
      </c>
      <c r="AA12" s="540">
        <v>59.3</v>
      </c>
      <c r="AB12" s="540">
        <v>20.9</v>
      </c>
      <c r="AC12" s="540">
        <v>43.3</v>
      </c>
    </row>
    <row r="13" spans="1:29" ht="15" customHeight="1" x14ac:dyDescent="0.25">
      <c r="A13" s="555" t="s">
        <v>288</v>
      </c>
      <c r="B13" s="556" t="s">
        <v>307</v>
      </c>
      <c r="C13" s="531">
        <v>161</v>
      </c>
      <c r="D13" s="531"/>
      <c r="E13" s="531">
        <v>9</v>
      </c>
      <c r="F13" s="531">
        <v>30</v>
      </c>
      <c r="G13" s="531">
        <v>189</v>
      </c>
      <c r="H13" s="531"/>
      <c r="I13" s="531">
        <v>23</v>
      </c>
      <c r="J13" s="531">
        <v>18</v>
      </c>
      <c r="K13" s="531">
        <v>167</v>
      </c>
      <c r="L13" s="531"/>
      <c r="M13" s="531">
        <v>18</v>
      </c>
      <c r="N13" s="531">
        <v>79</v>
      </c>
      <c r="O13" s="548"/>
      <c r="P13" s="89"/>
      <c r="Q13" s="89"/>
      <c r="R13" s="89"/>
      <c r="S13" s="89"/>
      <c r="V13" s="20"/>
      <c r="W13" s="164"/>
      <c r="X13" s="164"/>
      <c r="Y13" s="877" t="s">
        <v>310</v>
      </c>
      <c r="Z13" s="878"/>
      <c r="AA13" s="878"/>
      <c r="AB13" s="878"/>
      <c r="AC13" s="879"/>
    </row>
    <row r="14" spans="1:29" x14ac:dyDescent="0.25">
      <c r="A14" s="555" t="s">
        <v>289</v>
      </c>
      <c r="B14" s="556" t="s">
        <v>308</v>
      </c>
      <c r="C14" s="531">
        <v>134</v>
      </c>
      <c r="D14" s="531"/>
      <c r="E14" s="531">
        <v>11</v>
      </c>
      <c r="F14" s="531">
        <v>31</v>
      </c>
      <c r="G14" s="531">
        <v>146</v>
      </c>
      <c r="H14" s="531"/>
      <c r="I14" s="531">
        <v>22</v>
      </c>
      <c r="J14" s="531">
        <v>22</v>
      </c>
      <c r="K14" s="531">
        <v>167</v>
      </c>
      <c r="L14" s="531"/>
      <c r="M14" s="531">
        <v>16</v>
      </c>
      <c r="N14" s="531">
        <v>61</v>
      </c>
      <c r="O14" s="548"/>
      <c r="P14" s="190"/>
      <c r="Q14" s="89"/>
      <c r="R14" s="89"/>
      <c r="S14" s="89"/>
      <c r="V14" s="20"/>
      <c r="W14" s="164"/>
      <c r="X14" s="164"/>
      <c r="Y14" s="347" t="s">
        <v>293</v>
      </c>
      <c r="Z14" s="347" t="s">
        <v>311</v>
      </c>
      <c r="AA14" s="540">
        <v>0.32</v>
      </c>
      <c r="AB14" s="540">
        <v>2.48</v>
      </c>
      <c r="AC14" s="540">
        <v>4.8</v>
      </c>
    </row>
    <row r="15" spans="1:29" ht="15" customHeight="1" x14ac:dyDescent="0.25">
      <c r="A15" s="555" t="s">
        <v>290</v>
      </c>
      <c r="B15" s="556" t="s">
        <v>422</v>
      </c>
      <c r="C15" s="531">
        <v>143</v>
      </c>
      <c r="D15" s="531"/>
      <c r="E15" s="531">
        <v>9</v>
      </c>
      <c r="F15" s="531">
        <v>43</v>
      </c>
      <c r="G15" s="531">
        <v>158</v>
      </c>
      <c r="H15" s="531"/>
      <c r="I15" s="531">
        <v>33</v>
      </c>
      <c r="J15" s="531">
        <v>13</v>
      </c>
      <c r="K15" s="531">
        <v>133</v>
      </c>
      <c r="L15" s="531"/>
      <c r="M15" s="531">
        <v>18</v>
      </c>
      <c r="N15" s="531">
        <v>111</v>
      </c>
      <c r="O15" s="548"/>
      <c r="P15" s="202"/>
      <c r="Q15" s="541"/>
      <c r="R15" s="541"/>
      <c r="S15" s="190"/>
      <c r="T15" s="20"/>
      <c r="U15" s="168"/>
      <c r="V15" s="164"/>
      <c r="W15" s="164"/>
      <c r="X15" s="164"/>
      <c r="Y15" s="877" t="s">
        <v>312</v>
      </c>
      <c r="Z15" s="878"/>
      <c r="AA15" s="878"/>
      <c r="AB15" s="878"/>
      <c r="AC15" s="879"/>
    </row>
    <row r="16" spans="1:29" x14ac:dyDescent="0.25">
      <c r="A16" s="888" t="s">
        <v>310</v>
      </c>
      <c r="B16" s="889"/>
      <c r="C16" s="889"/>
      <c r="D16" s="889"/>
      <c r="E16" s="889"/>
      <c r="F16" s="889"/>
      <c r="G16" s="889"/>
      <c r="H16" s="889"/>
      <c r="I16" s="889"/>
      <c r="J16" s="889"/>
      <c r="K16" s="889"/>
      <c r="L16" s="889"/>
      <c r="M16" s="889"/>
      <c r="N16" s="890"/>
      <c r="O16" s="547"/>
      <c r="P16" s="202"/>
      <c r="Q16" s="541"/>
      <c r="R16" s="541"/>
      <c r="S16" s="20"/>
      <c r="T16" s="20"/>
      <c r="U16" s="20"/>
      <c r="V16" s="164"/>
      <c r="W16" s="164"/>
      <c r="X16" s="164"/>
      <c r="Y16" s="347" t="s">
        <v>294</v>
      </c>
      <c r="Z16" s="347" t="s">
        <v>314</v>
      </c>
      <c r="AA16" s="540">
        <v>2.64</v>
      </c>
      <c r="AB16" s="540">
        <v>0.54</v>
      </c>
      <c r="AC16" s="540">
        <v>0.4</v>
      </c>
    </row>
    <row r="17" spans="1:29" ht="15" customHeight="1" x14ac:dyDescent="0.25">
      <c r="A17" s="555" t="s">
        <v>293</v>
      </c>
      <c r="B17" s="556" t="s">
        <v>311</v>
      </c>
      <c r="C17" s="531">
        <v>3</v>
      </c>
      <c r="D17" s="531"/>
      <c r="E17" s="531">
        <v>0</v>
      </c>
      <c r="F17" s="531">
        <v>20</v>
      </c>
      <c r="G17" s="531">
        <v>9</v>
      </c>
      <c r="H17" s="531"/>
      <c r="I17" s="531">
        <v>9</v>
      </c>
      <c r="J17" s="531">
        <v>3</v>
      </c>
      <c r="K17" s="531">
        <v>29</v>
      </c>
      <c r="L17" s="531"/>
      <c r="M17" s="531">
        <v>13</v>
      </c>
      <c r="N17" s="531">
        <v>15</v>
      </c>
      <c r="O17" s="548"/>
      <c r="P17" s="202"/>
      <c r="Q17" s="541"/>
      <c r="R17" s="541"/>
      <c r="S17" s="20"/>
      <c r="T17" s="20"/>
      <c r="U17" s="168"/>
      <c r="V17" s="164"/>
      <c r="W17" s="164"/>
      <c r="X17" s="164"/>
      <c r="Y17" s="347" t="s">
        <v>295</v>
      </c>
      <c r="Z17" s="347" t="s">
        <v>313</v>
      </c>
      <c r="AA17" s="540">
        <v>3.49</v>
      </c>
      <c r="AB17" s="540">
        <v>1.6</v>
      </c>
      <c r="AC17" s="540">
        <v>0.62</v>
      </c>
    </row>
    <row r="18" spans="1:29" x14ac:dyDescent="0.25">
      <c r="A18" s="888" t="s">
        <v>312</v>
      </c>
      <c r="B18" s="889"/>
      <c r="C18" s="889"/>
      <c r="D18" s="889"/>
      <c r="E18" s="889"/>
      <c r="F18" s="889"/>
      <c r="G18" s="889"/>
      <c r="H18" s="889"/>
      <c r="I18" s="889"/>
      <c r="J18" s="889"/>
      <c r="K18" s="889"/>
      <c r="L18" s="889"/>
      <c r="M18" s="889"/>
      <c r="N18" s="890"/>
      <c r="O18" s="547"/>
      <c r="P18" s="202"/>
      <c r="Q18" s="541"/>
      <c r="R18" s="541"/>
      <c r="S18" s="20"/>
      <c r="T18" s="20"/>
      <c r="U18" s="20"/>
      <c r="V18" s="164"/>
      <c r="W18" s="164"/>
      <c r="X18" s="164"/>
      <c r="Y18" s="732" t="s">
        <v>932</v>
      </c>
      <c r="Z18" s="732" t="s">
        <v>933</v>
      </c>
      <c r="AA18" s="540">
        <v>4.12</v>
      </c>
      <c r="AB18" s="540">
        <v>2.4</v>
      </c>
      <c r="AC18" s="540">
        <v>0.87</v>
      </c>
    </row>
    <row r="19" spans="1:29" ht="15" customHeight="1" x14ac:dyDescent="0.25">
      <c r="A19" s="555" t="s">
        <v>294</v>
      </c>
      <c r="B19" s="556" t="s">
        <v>314</v>
      </c>
      <c r="C19" s="531">
        <v>463</v>
      </c>
      <c r="D19" s="531"/>
      <c r="E19" s="531">
        <v>7</v>
      </c>
      <c r="F19" s="531">
        <v>17</v>
      </c>
      <c r="G19" s="558">
        <v>328</v>
      </c>
      <c r="H19" s="555"/>
      <c r="I19" s="558">
        <v>23</v>
      </c>
      <c r="J19" s="558">
        <v>11</v>
      </c>
      <c r="K19" s="531">
        <v>292</v>
      </c>
      <c r="L19" s="531"/>
      <c r="M19" s="531">
        <v>18</v>
      </c>
      <c r="N19" s="531">
        <v>21</v>
      </c>
      <c r="O19" s="548"/>
      <c r="P19" s="202"/>
      <c r="Q19" s="541"/>
      <c r="R19" s="541"/>
      <c r="S19" s="190"/>
      <c r="T19" s="20"/>
      <c r="U19" s="168"/>
      <c r="V19" s="164"/>
      <c r="W19" s="164"/>
      <c r="X19" s="164"/>
      <c r="Y19" s="877" t="s">
        <v>315</v>
      </c>
      <c r="Z19" s="878"/>
      <c r="AA19" s="878"/>
      <c r="AB19" s="878"/>
      <c r="AC19" s="879"/>
    </row>
    <row r="20" spans="1:29" x14ac:dyDescent="0.25">
      <c r="A20" s="555" t="s">
        <v>295</v>
      </c>
      <c r="B20" s="556" t="s">
        <v>313</v>
      </c>
      <c r="C20" s="531">
        <v>439</v>
      </c>
      <c r="D20" s="531"/>
      <c r="E20" s="531">
        <v>4</v>
      </c>
      <c r="F20" s="531">
        <v>29</v>
      </c>
      <c r="G20" s="531">
        <v>373</v>
      </c>
      <c r="H20" s="531"/>
      <c r="I20" s="531">
        <v>22</v>
      </c>
      <c r="J20" s="531">
        <v>23</v>
      </c>
      <c r="K20" s="531">
        <v>237</v>
      </c>
      <c r="L20" s="531"/>
      <c r="M20" s="531">
        <v>14</v>
      </c>
      <c r="N20" s="531">
        <v>74</v>
      </c>
      <c r="O20" s="548"/>
      <c r="P20" s="202"/>
      <c r="Q20" s="541"/>
      <c r="R20" s="541"/>
      <c r="S20" s="20"/>
      <c r="T20" s="20"/>
      <c r="U20" s="20"/>
      <c r="V20" s="164"/>
      <c r="W20" s="164"/>
      <c r="X20" s="164"/>
      <c r="Y20" s="347" t="s">
        <v>291</v>
      </c>
      <c r="Z20" s="347" t="s">
        <v>316</v>
      </c>
      <c r="AA20" s="540">
        <v>0.21</v>
      </c>
      <c r="AB20" s="540">
        <v>0.1</v>
      </c>
      <c r="AC20" s="540">
        <v>0.03</v>
      </c>
    </row>
    <row r="21" spans="1:29" ht="15" customHeight="1" x14ac:dyDescent="0.25">
      <c r="A21" s="888" t="s">
        <v>315</v>
      </c>
      <c r="B21" s="889"/>
      <c r="C21" s="889"/>
      <c r="D21" s="889"/>
      <c r="E21" s="889"/>
      <c r="F21" s="889"/>
      <c r="G21" s="889"/>
      <c r="H21" s="889"/>
      <c r="I21" s="889"/>
      <c r="J21" s="889"/>
      <c r="K21" s="889"/>
      <c r="L21" s="889"/>
      <c r="M21" s="889"/>
      <c r="N21" s="890"/>
      <c r="O21" s="547"/>
      <c r="P21" s="202"/>
      <c r="Q21" s="541"/>
      <c r="R21" s="541"/>
      <c r="S21" s="20"/>
      <c r="T21" s="20"/>
      <c r="U21" s="168"/>
      <c r="V21" s="164"/>
      <c r="W21" s="164"/>
      <c r="X21" s="164"/>
      <c r="Y21" s="877" t="s">
        <v>317</v>
      </c>
      <c r="Z21" s="878"/>
      <c r="AA21" s="878"/>
      <c r="AB21" s="878"/>
      <c r="AC21" s="879"/>
    </row>
    <row r="22" spans="1:29" ht="21.65" customHeight="1" x14ac:dyDescent="0.25">
      <c r="A22" s="555" t="s">
        <v>291</v>
      </c>
      <c r="B22" s="556" t="s">
        <v>316</v>
      </c>
      <c r="C22" s="531">
        <v>9</v>
      </c>
      <c r="D22" s="531"/>
      <c r="E22" s="531">
        <v>11</v>
      </c>
      <c r="F22" s="531">
        <v>29</v>
      </c>
      <c r="G22" s="531">
        <v>49</v>
      </c>
      <c r="H22" s="531"/>
      <c r="I22" s="531">
        <v>27</v>
      </c>
      <c r="J22" s="531">
        <v>42</v>
      </c>
      <c r="K22" s="531">
        <v>78</v>
      </c>
      <c r="L22" s="531"/>
      <c r="M22" s="531">
        <v>17</v>
      </c>
      <c r="N22" s="531">
        <v>27</v>
      </c>
      <c r="O22" s="548"/>
      <c r="P22" s="202"/>
      <c r="Q22" s="541"/>
      <c r="R22" s="541"/>
      <c r="S22" s="20"/>
      <c r="T22" s="20"/>
      <c r="U22" s="20"/>
      <c r="V22" s="164"/>
      <c r="W22" s="164"/>
      <c r="X22" s="164"/>
      <c r="Y22" s="347" t="s">
        <v>292</v>
      </c>
      <c r="Z22" s="347" t="s">
        <v>318</v>
      </c>
      <c r="AA22" s="540">
        <v>1.5</v>
      </c>
      <c r="AB22" s="540">
        <v>0.6</v>
      </c>
      <c r="AC22" s="540">
        <v>0.72</v>
      </c>
    </row>
    <row r="23" spans="1:29" ht="15" customHeight="1" x14ac:dyDescent="0.25">
      <c r="A23" s="888" t="s">
        <v>317</v>
      </c>
      <c r="B23" s="889"/>
      <c r="C23" s="889"/>
      <c r="D23" s="889"/>
      <c r="E23" s="889"/>
      <c r="F23" s="889"/>
      <c r="G23" s="889"/>
      <c r="H23" s="889"/>
      <c r="I23" s="889"/>
      <c r="J23" s="889"/>
      <c r="K23" s="889"/>
      <c r="L23" s="889"/>
      <c r="M23" s="889"/>
      <c r="N23" s="890"/>
      <c r="O23" s="547"/>
      <c r="P23" s="202"/>
      <c r="Q23" s="541"/>
      <c r="R23" s="541"/>
      <c r="S23" s="20"/>
      <c r="T23" s="20"/>
      <c r="U23" s="20"/>
      <c r="V23" s="164"/>
      <c r="W23" s="164"/>
      <c r="X23" s="164"/>
      <c r="Y23" s="877" t="s">
        <v>319</v>
      </c>
      <c r="Z23" s="878"/>
      <c r="AA23" s="878"/>
      <c r="AB23" s="878"/>
      <c r="AC23" s="879"/>
    </row>
    <row r="24" spans="1:29" x14ac:dyDescent="0.25">
      <c r="A24" s="555" t="s">
        <v>292</v>
      </c>
      <c r="B24" s="556" t="s">
        <v>318</v>
      </c>
      <c r="C24" s="531">
        <v>200</v>
      </c>
      <c r="D24" s="531"/>
      <c r="E24" s="531">
        <v>8</v>
      </c>
      <c r="F24" s="531">
        <v>16</v>
      </c>
      <c r="G24" s="531">
        <v>76</v>
      </c>
      <c r="H24" s="531"/>
      <c r="I24" s="531">
        <v>26</v>
      </c>
      <c r="J24" s="531">
        <v>4</v>
      </c>
      <c r="K24" s="531">
        <v>235</v>
      </c>
      <c r="L24" s="531"/>
      <c r="M24" s="531">
        <v>13</v>
      </c>
      <c r="N24" s="531">
        <v>10</v>
      </c>
      <c r="O24" s="548"/>
      <c r="P24" s="202"/>
      <c r="Q24" s="541"/>
      <c r="R24" s="541"/>
      <c r="S24" s="20"/>
      <c r="T24" s="20"/>
      <c r="U24" s="168"/>
      <c r="V24" s="164"/>
      <c r="W24" s="164"/>
      <c r="X24" s="164"/>
      <c r="Y24" s="347" t="s">
        <v>282</v>
      </c>
      <c r="Z24" s="347" t="s">
        <v>326</v>
      </c>
      <c r="AA24" s="540">
        <v>2.9</v>
      </c>
      <c r="AB24" s="540">
        <v>3.2</v>
      </c>
      <c r="AC24" s="540">
        <v>4.5</v>
      </c>
    </row>
    <row r="25" spans="1:29" x14ac:dyDescent="0.25">
      <c r="A25" s="888" t="s">
        <v>319</v>
      </c>
      <c r="B25" s="889"/>
      <c r="C25" s="889"/>
      <c r="D25" s="889"/>
      <c r="E25" s="889"/>
      <c r="F25" s="889"/>
      <c r="G25" s="889"/>
      <c r="H25" s="889"/>
      <c r="I25" s="889"/>
      <c r="J25" s="889"/>
      <c r="K25" s="889"/>
      <c r="L25" s="889"/>
      <c r="M25" s="889"/>
      <c r="N25" s="890"/>
      <c r="O25" s="547"/>
      <c r="P25" s="380"/>
      <c r="Q25" s="541"/>
      <c r="R25" s="541"/>
      <c r="S25" s="190"/>
      <c r="T25" s="20"/>
      <c r="U25" s="168"/>
      <c r="V25" s="169"/>
      <c r="W25" s="164"/>
      <c r="X25" s="164"/>
      <c r="Y25" s="347" t="s">
        <v>280</v>
      </c>
      <c r="Z25" s="347" t="s">
        <v>320</v>
      </c>
      <c r="AA25" s="540">
        <v>2.5</v>
      </c>
      <c r="AB25" s="540">
        <v>2.9</v>
      </c>
      <c r="AC25" s="540">
        <v>1.5</v>
      </c>
    </row>
    <row r="26" spans="1:29" ht="15.75" customHeight="1" x14ac:dyDescent="0.25">
      <c r="A26" s="555" t="s">
        <v>282</v>
      </c>
      <c r="B26" s="556" t="s">
        <v>326</v>
      </c>
      <c r="C26" s="531">
        <v>16</v>
      </c>
      <c r="D26" s="531">
        <v>239</v>
      </c>
      <c r="E26" s="531">
        <v>9</v>
      </c>
      <c r="F26" s="531">
        <v>13</v>
      </c>
      <c r="G26" s="531">
        <v>37</v>
      </c>
      <c r="H26" s="531">
        <v>254</v>
      </c>
      <c r="I26" s="531">
        <v>14</v>
      </c>
      <c r="J26" s="531">
        <v>5</v>
      </c>
      <c r="K26" s="559">
        <v>103</v>
      </c>
      <c r="L26" s="559">
        <v>161</v>
      </c>
      <c r="M26" s="558">
        <v>22</v>
      </c>
      <c r="N26" s="558">
        <v>11</v>
      </c>
      <c r="O26" s="544"/>
      <c r="P26" s="202"/>
      <c r="Q26" s="541"/>
      <c r="R26" s="541"/>
      <c r="S26" s="20"/>
      <c r="T26" s="20"/>
      <c r="U26" s="20"/>
      <c r="V26" s="164"/>
      <c r="W26" s="164"/>
      <c r="X26" s="164"/>
      <c r="Y26" s="347" t="s">
        <v>321</v>
      </c>
      <c r="Z26" s="347" t="s">
        <v>322</v>
      </c>
      <c r="AA26" s="540">
        <v>29.8</v>
      </c>
      <c r="AB26" s="540">
        <v>20.2</v>
      </c>
      <c r="AC26" s="540">
        <v>16.8</v>
      </c>
    </row>
    <row r="27" spans="1:29" ht="20" x14ac:dyDescent="0.25">
      <c r="A27" s="555" t="s">
        <v>280</v>
      </c>
      <c r="B27" s="556" t="s">
        <v>320</v>
      </c>
      <c r="C27" s="531">
        <v>2</v>
      </c>
      <c r="D27" s="531">
        <v>192</v>
      </c>
      <c r="E27" s="531">
        <v>9</v>
      </c>
      <c r="F27" s="531">
        <v>5</v>
      </c>
      <c r="G27" s="531">
        <v>9</v>
      </c>
      <c r="H27" s="531">
        <v>214</v>
      </c>
      <c r="I27" s="531">
        <v>11</v>
      </c>
      <c r="J27" s="531">
        <v>3</v>
      </c>
      <c r="K27" s="531">
        <v>37</v>
      </c>
      <c r="L27" s="531">
        <v>97</v>
      </c>
      <c r="M27" s="531">
        <v>35</v>
      </c>
      <c r="N27" s="531">
        <v>7</v>
      </c>
      <c r="O27" s="544"/>
      <c r="Q27" s="20"/>
      <c r="R27" s="161"/>
      <c r="S27" s="161"/>
      <c r="T27" s="20"/>
      <c r="U27" s="20"/>
      <c r="V27" s="20"/>
      <c r="W27" s="164"/>
      <c r="X27" s="164"/>
    </row>
    <row r="28" spans="1:29" x14ac:dyDescent="0.25">
      <c r="A28" s="555" t="s">
        <v>321</v>
      </c>
      <c r="B28" s="556" t="s">
        <v>322</v>
      </c>
      <c r="C28" s="560">
        <v>92</v>
      </c>
      <c r="D28" s="531">
        <v>198</v>
      </c>
      <c r="E28" s="531">
        <v>11</v>
      </c>
      <c r="F28" s="531">
        <v>5</v>
      </c>
      <c r="G28" s="531">
        <v>98</v>
      </c>
      <c r="H28" s="531">
        <v>199</v>
      </c>
      <c r="I28" s="531">
        <v>12</v>
      </c>
      <c r="J28" s="531">
        <v>5</v>
      </c>
      <c r="K28" s="531">
        <v>103</v>
      </c>
      <c r="L28" s="531">
        <v>197</v>
      </c>
      <c r="M28" s="531">
        <v>14</v>
      </c>
      <c r="N28" s="531">
        <v>6</v>
      </c>
      <c r="O28" s="544"/>
      <c r="Q28" s="20"/>
      <c r="R28" s="161"/>
      <c r="S28" s="161"/>
      <c r="T28" s="20"/>
      <c r="U28" s="20"/>
      <c r="V28" s="20"/>
      <c r="W28" s="164"/>
      <c r="X28" s="164"/>
    </row>
    <row r="29" spans="1:29" x14ac:dyDescent="0.25">
      <c r="A29" s="880" t="s">
        <v>675</v>
      </c>
      <c r="B29" s="880"/>
      <c r="C29" s="880"/>
      <c r="D29" s="880"/>
      <c r="E29" s="880"/>
      <c r="F29" s="880"/>
      <c r="G29" s="880"/>
      <c r="H29" s="880"/>
      <c r="I29" s="880"/>
      <c r="J29" s="880"/>
      <c r="K29" s="880"/>
      <c r="L29" s="880"/>
      <c r="M29" s="880"/>
      <c r="N29" s="880"/>
      <c r="Q29" s="20"/>
      <c r="R29" s="161"/>
      <c r="S29" s="161"/>
      <c r="T29" s="20"/>
      <c r="U29" s="20"/>
      <c r="V29" s="20"/>
      <c r="W29" s="164"/>
      <c r="X29" s="164"/>
    </row>
    <row r="30" spans="1:29" ht="14.5" x14ac:dyDescent="0.35">
      <c r="A30" s="552" t="s">
        <v>676</v>
      </c>
      <c r="B30" s="557" t="s">
        <v>678</v>
      </c>
      <c r="C30" s="561">
        <v>157</v>
      </c>
      <c r="D30" s="562"/>
      <c r="E30" s="554">
        <v>2</v>
      </c>
      <c r="F30" s="563">
        <v>11</v>
      </c>
      <c r="G30" s="553">
        <v>97</v>
      </c>
      <c r="H30" s="554"/>
      <c r="I30" s="554">
        <v>34</v>
      </c>
      <c r="J30" s="554">
        <v>1</v>
      </c>
      <c r="K30" s="554">
        <v>176</v>
      </c>
      <c r="L30" s="554"/>
      <c r="M30" s="554">
        <v>31</v>
      </c>
      <c r="N30" s="554">
        <v>7</v>
      </c>
      <c r="P30" s="274" t="s">
        <v>20</v>
      </c>
      <c r="Q30" s="274" t="s">
        <v>436</v>
      </c>
      <c r="R30" s="267" t="s">
        <v>168</v>
      </c>
      <c r="S30" s="267" t="s">
        <v>432</v>
      </c>
      <c r="T30" s="267" t="s">
        <v>174</v>
      </c>
      <c r="U30" s="369" t="s">
        <v>433</v>
      </c>
      <c r="V30" s="267" t="s">
        <v>434</v>
      </c>
      <c r="W30" s="727" t="s">
        <v>427</v>
      </c>
      <c r="X30" s="274" t="s">
        <v>618</v>
      </c>
    </row>
    <row r="31" spans="1:29" ht="15" customHeight="1" x14ac:dyDescent="0.3">
      <c r="A31" s="552" t="s">
        <v>677</v>
      </c>
      <c r="B31" s="557" t="s">
        <v>679</v>
      </c>
      <c r="C31" s="561">
        <v>163</v>
      </c>
      <c r="D31" s="554"/>
      <c r="E31" s="554">
        <v>42</v>
      </c>
      <c r="F31" s="554">
        <v>12</v>
      </c>
      <c r="G31" s="553">
        <v>107</v>
      </c>
      <c r="H31" s="554"/>
      <c r="I31" s="554">
        <v>31</v>
      </c>
      <c r="J31" s="554">
        <v>5</v>
      </c>
      <c r="K31" s="554">
        <v>171</v>
      </c>
      <c r="L31" s="554"/>
      <c r="M31" s="554">
        <v>31</v>
      </c>
      <c r="N31" s="554">
        <v>9</v>
      </c>
      <c r="P31" s="869"/>
      <c r="Q31" s="870"/>
      <c r="R31" s="862" t="s">
        <v>298</v>
      </c>
      <c r="S31" s="862"/>
      <c r="T31" s="862"/>
      <c r="U31" s="862"/>
      <c r="V31" s="862"/>
      <c r="W31" s="863"/>
      <c r="X31" s="717"/>
    </row>
    <row r="32" spans="1:29" x14ac:dyDescent="0.25">
      <c r="A32" s="549"/>
      <c r="B32" s="541"/>
      <c r="C32" s="541"/>
      <c r="D32" s="20"/>
      <c r="E32" s="20"/>
      <c r="F32" s="168"/>
      <c r="G32" s="169"/>
      <c r="P32" s="856" t="s">
        <v>283</v>
      </c>
      <c r="Q32" s="853" t="s">
        <v>435</v>
      </c>
      <c r="R32" s="344">
        <v>40742</v>
      </c>
      <c r="S32" s="367">
        <v>0.3888888888888889</v>
      </c>
      <c r="T32" s="354">
        <v>7.4</v>
      </c>
      <c r="U32" s="354">
        <v>11.5</v>
      </c>
      <c r="V32" s="354">
        <v>8.26</v>
      </c>
      <c r="W32" s="715">
        <v>5.7000000000000002E-2</v>
      </c>
      <c r="X32" s="540">
        <v>42.7</v>
      </c>
    </row>
    <row r="33" spans="1:24" x14ac:dyDescent="0.25">
      <c r="A33" s="202"/>
      <c r="B33" s="541"/>
      <c r="C33" s="541"/>
      <c r="D33" s="20"/>
      <c r="E33" s="20"/>
      <c r="F33" s="20"/>
      <c r="G33" s="164"/>
      <c r="H33" s="168"/>
      <c r="I33" s="551"/>
      <c r="P33" s="857"/>
      <c r="Q33" s="854"/>
      <c r="R33" s="344">
        <v>40766</v>
      </c>
      <c r="S33" s="367">
        <v>0.36458333333333331</v>
      </c>
      <c r="T33" s="354">
        <v>7.56</v>
      </c>
      <c r="U33" s="354">
        <v>9.8000000000000007</v>
      </c>
      <c r="V33" s="354">
        <v>8</v>
      </c>
      <c r="W33" s="715">
        <v>4.8000000000000001E-2</v>
      </c>
      <c r="X33" s="540">
        <v>20.8</v>
      </c>
    </row>
    <row r="34" spans="1:24" x14ac:dyDescent="0.25">
      <c r="A34" s="202"/>
      <c r="B34" s="541"/>
      <c r="C34" s="541"/>
      <c r="D34" s="20"/>
      <c r="E34" s="20"/>
      <c r="F34" s="168"/>
      <c r="G34" s="164"/>
      <c r="H34" s="20"/>
      <c r="I34" s="551"/>
      <c r="P34" s="858"/>
      <c r="Q34" s="855"/>
      <c r="R34" s="344">
        <v>40794</v>
      </c>
      <c r="S34" s="367">
        <v>0.4069444444444445</v>
      </c>
      <c r="T34" s="354">
        <v>7.23</v>
      </c>
      <c r="U34" s="354">
        <v>8.1999999999999993</v>
      </c>
      <c r="V34" s="354">
        <v>8.7200000000000006</v>
      </c>
      <c r="W34" s="715">
        <v>4.4999999999999998E-2</v>
      </c>
      <c r="X34" s="540">
        <v>24.8</v>
      </c>
    </row>
    <row r="35" spans="1:24" x14ac:dyDescent="0.25">
      <c r="A35" s="202"/>
      <c r="B35" s="541"/>
      <c r="C35" s="541"/>
      <c r="D35" s="20"/>
      <c r="E35" s="20"/>
      <c r="F35" s="20"/>
      <c r="G35" s="164"/>
      <c r="H35" s="168"/>
      <c r="I35" s="551"/>
      <c r="P35" s="856" t="s">
        <v>300</v>
      </c>
      <c r="Q35" s="853" t="s">
        <v>301</v>
      </c>
      <c r="R35" s="344">
        <v>40742</v>
      </c>
      <c r="S35" s="367">
        <v>0.42499999999999999</v>
      </c>
      <c r="T35" s="354">
        <v>7.84</v>
      </c>
      <c r="U35" s="354">
        <v>14.6</v>
      </c>
      <c r="V35" s="354">
        <v>7.81</v>
      </c>
      <c r="W35" s="715">
        <v>6.0999999999999999E-2</v>
      </c>
      <c r="X35" s="540">
        <v>43</v>
      </c>
    </row>
    <row r="36" spans="1:24" x14ac:dyDescent="0.25">
      <c r="A36" s="202"/>
      <c r="B36" s="541"/>
      <c r="C36" s="541"/>
      <c r="D36" s="20"/>
      <c r="E36" s="20"/>
      <c r="F36" s="20"/>
      <c r="G36" s="164"/>
      <c r="I36" s="551"/>
      <c r="P36" s="857"/>
      <c r="Q36" s="854"/>
      <c r="R36" s="344">
        <v>40766</v>
      </c>
      <c r="S36" s="367">
        <v>0.39305555555555555</v>
      </c>
      <c r="T36" s="354">
        <v>7.93</v>
      </c>
      <c r="U36" s="354">
        <v>11.9</v>
      </c>
      <c r="V36" s="354">
        <v>7.91</v>
      </c>
      <c r="W36" s="715">
        <v>4.5999999999999999E-2</v>
      </c>
      <c r="X36" s="540">
        <v>26</v>
      </c>
    </row>
    <row r="37" spans="1:24" x14ac:dyDescent="0.25">
      <c r="A37" s="202"/>
      <c r="B37" s="541"/>
      <c r="C37" s="541"/>
      <c r="D37" s="20"/>
      <c r="E37" s="20"/>
      <c r="F37" s="168"/>
      <c r="G37" s="164"/>
      <c r="H37" s="168"/>
      <c r="I37" s="164"/>
      <c r="P37" s="858"/>
      <c r="Q37" s="855"/>
      <c r="R37" s="344">
        <v>40794</v>
      </c>
      <c r="S37" s="367">
        <v>0.43611111111111112</v>
      </c>
      <c r="T37" s="354">
        <v>7.49</v>
      </c>
      <c r="U37" s="354">
        <v>10.43</v>
      </c>
      <c r="V37" s="354">
        <v>8.69</v>
      </c>
      <c r="W37" s="715">
        <v>5.8999999999999997E-2</v>
      </c>
      <c r="X37" s="540">
        <v>35</v>
      </c>
    </row>
    <row r="38" spans="1:24" ht="14" x14ac:dyDescent="0.3">
      <c r="A38" s="202"/>
      <c r="B38" s="541"/>
      <c r="C38" s="541"/>
      <c r="D38" s="20"/>
      <c r="E38" s="20"/>
      <c r="F38" s="20"/>
      <c r="G38" s="164"/>
      <c r="H38" s="168"/>
      <c r="I38" s="164"/>
      <c r="P38" s="869"/>
      <c r="Q38" s="870"/>
      <c r="R38" s="871" t="s">
        <v>303</v>
      </c>
      <c r="S38" s="871"/>
      <c r="T38" s="871"/>
      <c r="U38" s="871"/>
      <c r="V38" s="871"/>
      <c r="W38" s="872"/>
      <c r="X38" s="716"/>
    </row>
    <row r="39" spans="1:24" x14ac:dyDescent="0.25">
      <c r="A39" s="202"/>
      <c r="B39" s="541"/>
      <c r="C39" s="541"/>
      <c r="D39" s="20"/>
      <c r="E39" s="20"/>
      <c r="F39" s="168"/>
      <c r="G39" s="164"/>
      <c r="H39" s="20"/>
      <c r="I39" s="164"/>
      <c r="P39" s="856" t="s">
        <v>205</v>
      </c>
      <c r="Q39" s="853" t="s">
        <v>421</v>
      </c>
      <c r="R39" s="344">
        <v>40742</v>
      </c>
      <c r="S39" s="367">
        <v>0.43472222222222223</v>
      </c>
      <c r="T39" s="354">
        <v>7.88</v>
      </c>
      <c r="U39" s="354">
        <v>18.3</v>
      </c>
      <c r="V39" s="354">
        <v>6.97</v>
      </c>
      <c r="W39" s="715">
        <v>9.2999999999999999E-2</v>
      </c>
      <c r="X39" s="540">
        <v>67</v>
      </c>
    </row>
    <row r="40" spans="1:24" x14ac:dyDescent="0.25">
      <c r="A40" s="202"/>
      <c r="B40" s="541"/>
      <c r="C40" s="541"/>
      <c r="D40" s="20"/>
      <c r="E40" s="20"/>
      <c r="F40" s="20"/>
      <c r="G40" s="164"/>
      <c r="H40" s="168"/>
      <c r="I40" s="164"/>
      <c r="P40" s="857"/>
      <c r="Q40" s="854"/>
      <c r="R40" s="344">
        <v>40766</v>
      </c>
      <c r="S40" s="367">
        <v>0.40069444444444446</v>
      </c>
      <c r="T40" s="354">
        <v>7.85</v>
      </c>
      <c r="U40" s="354">
        <v>17.5</v>
      </c>
      <c r="V40" s="354">
        <v>6.63</v>
      </c>
      <c r="W40" s="715">
        <v>6.6000000000000003E-2</v>
      </c>
      <c r="X40" s="540">
        <v>26.5</v>
      </c>
    </row>
    <row r="41" spans="1:24" x14ac:dyDescent="0.25">
      <c r="A41" s="202"/>
      <c r="B41" s="541"/>
      <c r="C41" s="541"/>
      <c r="D41" s="20"/>
      <c r="E41" s="20"/>
      <c r="F41" s="20"/>
      <c r="G41" s="164"/>
      <c r="I41" s="164"/>
      <c r="P41" s="858"/>
      <c r="Q41" s="855"/>
      <c r="R41" s="344">
        <v>40794</v>
      </c>
      <c r="S41" s="367">
        <v>0.44513888888888892</v>
      </c>
      <c r="T41" s="354">
        <v>7.22</v>
      </c>
      <c r="U41" s="354">
        <v>14.73</v>
      </c>
      <c r="V41" s="354">
        <v>7.51</v>
      </c>
      <c r="W41" s="715">
        <v>7.8E-2</v>
      </c>
      <c r="X41" s="540">
        <v>40.1</v>
      </c>
    </row>
    <row r="42" spans="1:24" x14ac:dyDescent="0.25">
      <c r="A42" s="202"/>
      <c r="B42" s="541"/>
      <c r="C42" s="541"/>
      <c r="D42" s="20"/>
      <c r="E42" s="20"/>
      <c r="F42" s="168"/>
      <c r="G42" s="164"/>
      <c r="I42" s="164"/>
      <c r="P42" s="856" t="s">
        <v>286</v>
      </c>
      <c r="Q42" s="853" t="s">
        <v>305</v>
      </c>
      <c r="R42" s="344">
        <v>40742</v>
      </c>
      <c r="S42" s="367">
        <v>0.4513888888888889</v>
      </c>
      <c r="T42" s="354">
        <v>7.98</v>
      </c>
      <c r="U42" s="354">
        <v>19</v>
      </c>
      <c r="V42" s="354">
        <v>7.14</v>
      </c>
      <c r="W42" s="715">
        <v>0.108</v>
      </c>
      <c r="X42" s="540">
        <v>47</v>
      </c>
    </row>
    <row r="43" spans="1:24" x14ac:dyDescent="0.25">
      <c r="A43" s="202"/>
      <c r="B43" s="541"/>
      <c r="C43" s="541"/>
      <c r="D43" s="20"/>
      <c r="E43" s="20"/>
      <c r="F43" s="20"/>
      <c r="G43" s="164"/>
      <c r="H43" s="168"/>
      <c r="I43" s="164"/>
      <c r="P43" s="857"/>
      <c r="Q43" s="854"/>
      <c r="R43" s="344">
        <v>40766</v>
      </c>
      <c r="S43" s="367">
        <v>0.40833333333333338</v>
      </c>
      <c r="T43" s="540">
        <v>8.02</v>
      </c>
      <c r="U43" s="540">
        <v>17.3</v>
      </c>
      <c r="V43" s="540">
        <v>6.98</v>
      </c>
      <c r="W43" s="540">
        <v>0.05</v>
      </c>
      <c r="X43" s="540">
        <v>30.3</v>
      </c>
    </row>
    <row r="44" spans="1:24" x14ac:dyDescent="0.25">
      <c r="A44" s="202"/>
      <c r="B44" s="541"/>
      <c r="C44" s="541"/>
      <c r="D44" s="20"/>
      <c r="E44" s="20"/>
      <c r="F44" s="20"/>
      <c r="G44" s="164"/>
      <c r="H44" s="20"/>
      <c r="I44" s="164"/>
      <c r="P44" s="858"/>
      <c r="Q44" s="855"/>
      <c r="R44" s="344">
        <v>40794</v>
      </c>
      <c r="S44" s="367">
        <v>0.45763888888888887</v>
      </c>
      <c r="T44" s="354">
        <v>7.56</v>
      </c>
      <c r="U44" s="354">
        <v>15.12</v>
      </c>
      <c r="V44" s="354">
        <v>7.35</v>
      </c>
      <c r="W44" s="715">
        <v>8.8999999999999996E-2</v>
      </c>
      <c r="X44" s="540">
        <v>45.7</v>
      </c>
    </row>
    <row r="45" spans="1:24" x14ac:dyDescent="0.25">
      <c r="A45" s="202"/>
      <c r="B45" s="541"/>
      <c r="C45" s="541"/>
      <c r="D45" s="20"/>
      <c r="E45" s="20"/>
      <c r="F45" s="168"/>
      <c r="G45" s="164"/>
      <c r="H45" s="168"/>
      <c r="I45" s="164"/>
      <c r="P45" s="856" t="s">
        <v>287</v>
      </c>
      <c r="Q45" s="853" t="s">
        <v>306</v>
      </c>
      <c r="R45" s="344">
        <v>40742</v>
      </c>
      <c r="S45" s="368">
        <v>0.46666666666666662</v>
      </c>
      <c r="T45" s="354">
        <v>8.07</v>
      </c>
      <c r="U45" s="354">
        <v>19.2</v>
      </c>
      <c r="V45" s="354">
        <v>7.02</v>
      </c>
      <c r="W45" s="715">
        <v>0.13</v>
      </c>
      <c r="X45" s="540">
        <v>42.2</v>
      </c>
    </row>
    <row r="46" spans="1:24" x14ac:dyDescent="0.25">
      <c r="A46" s="202"/>
      <c r="B46" s="541"/>
      <c r="C46" s="541"/>
      <c r="D46" s="20"/>
      <c r="E46" s="20"/>
      <c r="F46" s="20"/>
      <c r="G46" s="164"/>
      <c r="P46" s="857"/>
      <c r="Q46" s="854"/>
      <c r="R46" s="344">
        <v>40766</v>
      </c>
      <c r="S46" s="367">
        <v>0.42083333333333334</v>
      </c>
      <c r="T46" s="354">
        <v>8.1999999999999993</v>
      </c>
      <c r="U46" s="354">
        <v>16.7</v>
      </c>
      <c r="V46" s="354">
        <v>6.98</v>
      </c>
      <c r="W46" s="715">
        <v>0.88400000000000001</v>
      </c>
      <c r="X46" s="540">
        <v>29.7</v>
      </c>
    </row>
    <row r="47" spans="1:24" x14ac:dyDescent="0.25">
      <c r="A47" s="202"/>
      <c r="B47" s="541"/>
      <c r="C47" s="541"/>
      <c r="D47" s="20"/>
      <c r="E47" s="20"/>
      <c r="F47" s="20"/>
      <c r="G47" s="164"/>
      <c r="P47" s="858"/>
      <c r="Q47" s="855"/>
      <c r="R47" s="344">
        <v>40794</v>
      </c>
      <c r="S47" s="367">
        <v>0.47361111111111115</v>
      </c>
      <c r="T47" s="354">
        <v>7.69</v>
      </c>
      <c r="U47" s="354">
        <v>14.59</v>
      </c>
      <c r="V47" s="354">
        <v>7.48</v>
      </c>
      <c r="W47" s="715">
        <v>0.108</v>
      </c>
      <c r="X47" s="540">
        <v>36.9</v>
      </c>
    </row>
    <row r="48" spans="1:24" x14ac:dyDescent="0.25">
      <c r="A48" s="202"/>
      <c r="B48" s="541"/>
      <c r="C48" s="541"/>
      <c r="D48" s="20"/>
      <c r="E48" s="20"/>
      <c r="F48" s="168"/>
      <c r="G48" s="164"/>
      <c r="P48" s="856" t="s">
        <v>288</v>
      </c>
      <c r="Q48" s="853" t="s">
        <v>307</v>
      </c>
      <c r="R48" s="344">
        <v>40742</v>
      </c>
      <c r="S48" s="367">
        <v>0.51111111111111118</v>
      </c>
      <c r="T48" s="354">
        <v>8.16</v>
      </c>
      <c r="U48" s="354">
        <v>20</v>
      </c>
      <c r="V48" s="354">
        <v>6.91</v>
      </c>
      <c r="W48" s="715">
        <v>0.11700000000000001</v>
      </c>
      <c r="X48" s="540">
        <v>54.5</v>
      </c>
    </row>
    <row r="49" spans="1:24" x14ac:dyDescent="0.25">
      <c r="A49" s="202"/>
      <c r="B49" s="541"/>
      <c r="C49" s="541"/>
      <c r="D49" s="20"/>
      <c r="E49" s="20"/>
      <c r="F49" s="20"/>
      <c r="G49" s="164"/>
      <c r="P49" s="857"/>
      <c r="Q49" s="854"/>
      <c r="R49" s="344">
        <v>40766</v>
      </c>
      <c r="S49" s="367">
        <v>0.46388888888888885</v>
      </c>
      <c r="T49" s="354">
        <v>8.2899999999999991</v>
      </c>
      <c r="U49" s="354">
        <v>16.600000000000001</v>
      </c>
      <c r="V49" s="354">
        <v>7.23</v>
      </c>
      <c r="W49" s="715">
        <v>8.4000000000000005E-2</v>
      </c>
      <c r="X49" s="540">
        <v>23.6</v>
      </c>
    </row>
    <row r="50" spans="1:24" x14ac:dyDescent="0.25">
      <c r="A50" s="202"/>
      <c r="B50" s="541"/>
      <c r="C50" s="541"/>
      <c r="D50" s="20"/>
      <c r="E50" s="20"/>
      <c r="F50" s="20"/>
      <c r="G50" s="164"/>
      <c r="P50" s="858"/>
      <c r="Q50" s="855"/>
      <c r="R50" s="344">
        <v>40794</v>
      </c>
      <c r="S50" s="367">
        <v>0.51666666666666672</v>
      </c>
      <c r="T50" s="354">
        <v>7.9</v>
      </c>
      <c r="U50" s="354">
        <v>14.65</v>
      </c>
      <c r="V50" s="354">
        <v>7.64</v>
      </c>
      <c r="W50" s="715">
        <v>0.11</v>
      </c>
      <c r="X50" s="540">
        <v>41.2</v>
      </c>
    </row>
    <row r="51" spans="1:24" x14ac:dyDescent="0.25">
      <c r="A51" s="202"/>
      <c r="B51" s="541"/>
      <c r="C51" s="541"/>
      <c r="D51" s="20"/>
      <c r="E51" s="20"/>
      <c r="F51" s="168"/>
      <c r="G51" s="164"/>
      <c r="P51" s="856" t="s">
        <v>289</v>
      </c>
      <c r="Q51" s="853" t="s">
        <v>308</v>
      </c>
      <c r="R51" s="344">
        <v>40742</v>
      </c>
      <c r="S51" s="367">
        <v>0.53055555555555556</v>
      </c>
      <c r="T51" s="354">
        <v>8.0399999999999991</v>
      </c>
      <c r="U51" s="354">
        <v>20.7</v>
      </c>
      <c r="V51" s="354">
        <v>6.93</v>
      </c>
      <c r="W51" s="715">
        <v>0.19500000000000001</v>
      </c>
      <c r="X51" s="540">
        <v>63.6</v>
      </c>
    </row>
    <row r="52" spans="1:24" x14ac:dyDescent="0.25">
      <c r="A52" s="202"/>
      <c r="B52" s="541"/>
      <c r="C52" s="541"/>
      <c r="D52" s="20"/>
      <c r="E52" s="20"/>
      <c r="F52" s="20"/>
      <c r="G52" s="164"/>
      <c r="P52" s="857"/>
      <c r="Q52" s="854"/>
      <c r="R52" s="344">
        <v>40766</v>
      </c>
      <c r="S52" s="367">
        <v>0.4777777777777778</v>
      </c>
      <c r="T52" s="354">
        <v>8.25</v>
      </c>
      <c r="U52" s="354">
        <v>16.899999999999999</v>
      </c>
      <c r="V52" s="354">
        <v>7.67</v>
      </c>
      <c r="W52" s="715">
        <v>0.108</v>
      </c>
      <c r="X52" s="540">
        <v>34</v>
      </c>
    </row>
    <row r="53" spans="1:24" x14ac:dyDescent="0.25">
      <c r="A53" s="202"/>
      <c r="B53" s="541"/>
      <c r="C53" s="541"/>
      <c r="D53" s="20"/>
      <c r="E53" s="20"/>
      <c r="F53" s="20"/>
      <c r="G53" s="164"/>
      <c r="P53" s="858"/>
      <c r="Q53" s="855"/>
      <c r="R53" s="344">
        <v>40794</v>
      </c>
      <c r="S53" s="367">
        <v>0.52847222222222223</v>
      </c>
      <c r="T53" s="354">
        <v>7.76</v>
      </c>
      <c r="U53" s="354">
        <v>14.83</v>
      </c>
      <c r="V53" s="354">
        <v>7.59</v>
      </c>
      <c r="W53" s="715">
        <v>0.111</v>
      </c>
      <c r="X53" s="540">
        <v>49.1</v>
      </c>
    </row>
    <row r="54" spans="1:24" x14ac:dyDescent="0.25">
      <c r="A54" s="202"/>
      <c r="B54" s="541"/>
      <c r="C54" s="541"/>
      <c r="D54" s="20"/>
      <c r="E54" s="20"/>
      <c r="F54" s="168"/>
      <c r="G54" s="164"/>
      <c r="P54" s="856" t="s">
        <v>290</v>
      </c>
      <c r="Q54" s="853" t="s">
        <v>422</v>
      </c>
      <c r="R54" s="344">
        <v>40742</v>
      </c>
      <c r="S54" s="367">
        <v>5.0694444444444452E-2</v>
      </c>
      <c r="T54" s="354">
        <v>8.1</v>
      </c>
      <c r="U54" s="354">
        <v>20.7</v>
      </c>
      <c r="V54" s="354">
        <v>6.75</v>
      </c>
      <c r="W54" s="715">
        <v>0.153</v>
      </c>
      <c r="X54" s="540">
        <v>59.3</v>
      </c>
    </row>
    <row r="55" spans="1:24" x14ac:dyDescent="0.25">
      <c r="A55" s="202"/>
      <c r="B55" s="541"/>
      <c r="C55" s="541"/>
      <c r="D55" s="20"/>
      <c r="E55" s="20"/>
      <c r="F55" s="20"/>
      <c r="G55" s="164"/>
      <c r="P55" s="857"/>
      <c r="Q55" s="854"/>
      <c r="R55" s="344">
        <v>40766</v>
      </c>
      <c r="S55" s="367">
        <v>0.49236111111111108</v>
      </c>
      <c r="T55" s="354">
        <v>8.3699999999999992</v>
      </c>
      <c r="U55" s="354">
        <v>16.8</v>
      </c>
      <c r="V55" s="354">
        <v>7.37</v>
      </c>
      <c r="W55" s="715">
        <v>0.108</v>
      </c>
      <c r="X55" s="540">
        <v>20.9</v>
      </c>
    </row>
    <row r="56" spans="1:24" x14ac:dyDescent="0.25">
      <c r="A56" s="202"/>
      <c r="B56" s="541"/>
      <c r="C56" s="541"/>
      <c r="D56" s="20"/>
      <c r="E56" s="20"/>
      <c r="F56" s="20"/>
      <c r="G56" s="164"/>
      <c r="P56" s="858"/>
      <c r="Q56" s="855"/>
      <c r="R56" s="344">
        <v>40794</v>
      </c>
      <c r="S56" s="367">
        <v>4.6527777777777779E-2</v>
      </c>
      <c r="T56" s="354">
        <v>7.53</v>
      </c>
      <c r="U56" s="354">
        <v>14.59</v>
      </c>
      <c r="V56" s="354">
        <v>7.87</v>
      </c>
      <c r="W56" s="715">
        <v>0.113</v>
      </c>
      <c r="X56" s="540">
        <v>43.3</v>
      </c>
    </row>
    <row r="57" spans="1:24" ht="14" x14ac:dyDescent="0.3">
      <c r="A57" s="202"/>
      <c r="B57" s="541"/>
      <c r="C57" s="541"/>
      <c r="D57" s="20"/>
      <c r="E57" s="20"/>
      <c r="F57" s="168"/>
      <c r="G57" s="164"/>
      <c r="P57" s="869"/>
      <c r="Q57" s="870"/>
      <c r="R57" s="862" t="s">
        <v>310</v>
      </c>
      <c r="S57" s="862"/>
      <c r="T57" s="862"/>
      <c r="U57" s="862"/>
      <c r="V57" s="862"/>
      <c r="W57" s="863"/>
      <c r="X57" s="717"/>
    </row>
    <row r="58" spans="1:24" x14ac:dyDescent="0.25">
      <c r="A58" s="202"/>
      <c r="B58" s="541"/>
      <c r="C58" s="541"/>
      <c r="D58" s="20"/>
      <c r="E58" s="20"/>
      <c r="F58" s="20"/>
      <c r="G58" s="164"/>
      <c r="P58" s="856" t="s">
        <v>293</v>
      </c>
      <c r="Q58" s="853" t="s">
        <v>311</v>
      </c>
      <c r="R58" s="344">
        <v>40742</v>
      </c>
      <c r="S58" s="367">
        <v>0.40972222222222227</v>
      </c>
      <c r="T58" s="354">
        <v>7.77</v>
      </c>
      <c r="U58" s="354">
        <v>13</v>
      </c>
      <c r="V58" s="354">
        <v>7.65</v>
      </c>
      <c r="W58" s="715">
        <v>7.1999999999999995E-2</v>
      </c>
      <c r="X58" s="540">
        <v>0.32</v>
      </c>
    </row>
    <row r="59" spans="1:24" x14ac:dyDescent="0.25">
      <c r="A59" s="202"/>
      <c r="B59" s="541"/>
      <c r="C59" s="541"/>
      <c r="D59" s="20"/>
      <c r="E59" s="20"/>
      <c r="F59" s="20"/>
      <c r="G59" s="164"/>
      <c r="P59" s="857"/>
      <c r="Q59" s="854"/>
      <c r="R59" s="344">
        <v>40766</v>
      </c>
      <c r="S59" s="367">
        <v>0.37916666666666665</v>
      </c>
      <c r="T59" s="354">
        <v>7.77</v>
      </c>
      <c r="U59" s="354">
        <v>9.6999999999999993</v>
      </c>
      <c r="V59" s="354">
        <v>7.67</v>
      </c>
      <c r="W59" s="715">
        <v>5.3999999999999999E-2</v>
      </c>
      <c r="X59" s="540">
        <v>2.48</v>
      </c>
    </row>
    <row r="60" spans="1:24" x14ac:dyDescent="0.25">
      <c r="A60" s="202"/>
      <c r="B60" s="541"/>
      <c r="C60" s="541"/>
      <c r="D60" s="20"/>
      <c r="E60" s="20"/>
      <c r="F60" s="168"/>
      <c r="G60" s="164"/>
      <c r="P60" s="858"/>
      <c r="Q60" s="855"/>
      <c r="R60" s="344">
        <v>40794</v>
      </c>
      <c r="S60" s="367">
        <v>0.4236111111111111</v>
      </c>
      <c r="T60" s="354">
        <v>7.6</v>
      </c>
      <c r="U60" s="354">
        <v>9.23</v>
      </c>
      <c r="V60" s="354">
        <v>8.48</v>
      </c>
      <c r="W60" s="715">
        <v>7.1999999999999995E-2</v>
      </c>
      <c r="X60" s="540">
        <v>4.8</v>
      </c>
    </row>
    <row r="61" spans="1:24" ht="14" x14ac:dyDescent="0.3">
      <c r="A61" s="202"/>
      <c r="B61" s="541"/>
      <c r="C61" s="541"/>
      <c r="D61" s="20"/>
      <c r="E61" s="20"/>
      <c r="F61" s="20"/>
      <c r="G61" s="164"/>
      <c r="P61" s="869"/>
      <c r="Q61" s="870"/>
      <c r="R61" s="862" t="s">
        <v>312</v>
      </c>
      <c r="S61" s="862"/>
      <c r="T61" s="862"/>
      <c r="U61" s="862"/>
      <c r="V61" s="862"/>
      <c r="W61" s="863"/>
      <c r="X61" s="717"/>
    </row>
    <row r="62" spans="1:24" x14ac:dyDescent="0.25">
      <c r="A62" s="202"/>
      <c r="B62" s="541"/>
      <c r="C62" s="541"/>
      <c r="D62" s="20"/>
      <c r="E62" s="20"/>
      <c r="F62" s="20"/>
      <c r="G62" s="164"/>
      <c r="P62" s="856" t="s">
        <v>294</v>
      </c>
      <c r="Q62" s="853" t="s">
        <v>314</v>
      </c>
      <c r="R62" s="344">
        <v>40742</v>
      </c>
      <c r="S62" s="367">
        <v>9.0277777777777776E-2</v>
      </c>
      <c r="T62" s="354">
        <v>7.66</v>
      </c>
      <c r="U62" s="354">
        <v>16.899999999999999</v>
      </c>
      <c r="V62" s="354">
        <v>6.64</v>
      </c>
      <c r="W62" s="715">
        <v>0.13100000000000001</v>
      </c>
      <c r="X62" s="540">
        <v>2.64</v>
      </c>
    </row>
    <row r="63" spans="1:24" x14ac:dyDescent="0.25">
      <c r="A63" s="202"/>
      <c r="B63" s="541"/>
      <c r="C63" s="541"/>
      <c r="D63" s="20"/>
      <c r="E63" s="20"/>
      <c r="F63" s="168"/>
      <c r="G63" s="164"/>
      <c r="P63" s="857"/>
      <c r="Q63" s="854"/>
      <c r="R63" s="344">
        <v>40766</v>
      </c>
      <c r="S63" s="367">
        <v>0.53888888888888886</v>
      </c>
      <c r="T63" s="354">
        <v>7.81</v>
      </c>
      <c r="U63" s="354">
        <v>14.2</v>
      </c>
      <c r="V63" s="354">
        <v>6.89</v>
      </c>
      <c r="W63" s="715">
        <v>0.107</v>
      </c>
      <c r="X63" s="540">
        <v>0.54</v>
      </c>
    </row>
    <row r="64" spans="1:24" x14ac:dyDescent="0.25">
      <c r="A64" s="202"/>
      <c r="B64" s="541"/>
      <c r="C64" s="541"/>
      <c r="D64" s="20"/>
      <c r="E64" s="20"/>
      <c r="F64" s="20"/>
      <c r="G64" s="164"/>
      <c r="P64" s="858"/>
      <c r="Q64" s="855"/>
      <c r="R64" s="344">
        <v>40794</v>
      </c>
      <c r="S64" s="367">
        <v>9.3055555555555558E-2</v>
      </c>
      <c r="T64" s="354">
        <v>7.64</v>
      </c>
      <c r="U64" s="354">
        <v>11.34</v>
      </c>
      <c r="V64" s="354">
        <v>7.83</v>
      </c>
      <c r="W64" s="715">
        <v>0.4</v>
      </c>
      <c r="X64" s="540">
        <v>0.4</v>
      </c>
    </row>
    <row r="65" spans="1:24" ht="12.75" customHeight="1" x14ac:dyDescent="0.25">
      <c r="A65" s="202"/>
      <c r="B65" s="541"/>
      <c r="C65" s="541"/>
      <c r="D65" s="20"/>
      <c r="E65" s="20"/>
      <c r="F65" s="20"/>
      <c r="G65" s="164"/>
      <c r="P65" s="866" t="s">
        <v>295</v>
      </c>
      <c r="Q65" s="865" t="s">
        <v>313</v>
      </c>
      <c r="R65" s="344">
        <v>40742</v>
      </c>
      <c r="S65" s="367">
        <v>0.10555555555555556</v>
      </c>
      <c r="T65" s="354">
        <v>8.64</v>
      </c>
      <c r="U65" s="354">
        <v>19.7</v>
      </c>
      <c r="V65" s="354">
        <v>7.03</v>
      </c>
      <c r="W65" s="715">
        <v>0.23400000000000001</v>
      </c>
      <c r="X65" s="540">
        <v>3.49</v>
      </c>
    </row>
    <row r="66" spans="1:24" x14ac:dyDescent="0.25">
      <c r="A66" s="202"/>
      <c r="B66" s="541"/>
      <c r="C66" s="541"/>
      <c r="D66" s="20"/>
      <c r="E66" s="20"/>
      <c r="F66" s="168"/>
      <c r="G66" s="164"/>
      <c r="P66" s="866"/>
      <c r="Q66" s="865"/>
      <c r="R66" s="344">
        <v>40766</v>
      </c>
      <c r="S66" s="367">
        <v>5.2083333333333336E-2</v>
      </c>
      <c r="T66" s="354">
        <v>8.3000000000000007</v>
      </c>
      <c r="U66" s="354">
        <v>16.5</v>
      </c>
      <c r="V66" s="354">
        <v>6.47</v>
      </c>
      <c r="W66" s="715">
        <v>0.16700000000000001</v>
      </c>
      <c r="X66" s="540">
        <v>1.6</v>
      </c>
    </row>
    <row r="67" spans="1:24" x14ac:dyDescent="0.25">
      <c r="A67" s="202"/>
      <c r="B67" s="541"/>
      <c r="C67" s="541"/>
      <c r="D67" s="20"/>
      <c r="E67" s="20"/>
      <c r="F67" s="168"/>
      <c r="G67" s="164"/>
      <c r="P67" s="866"/>
      <c r="Q67" s="865"/>
      <c r="R67" s="344">
        <v>40794</v>
      </c>
      <c r="S67" s="367">
        <v>0.10277777777777779</v>
      </c>
      <c r="T67" s="540">
        <v>8.0299999999999994</v>
      </c>
      <c r="U67" s="540">
        <v>12.84</v>
      </c>
      <c r="V67" s="540">
        <v>7.98</v>
      </c>
      <c r="W67" s="715">
        <v>0.219</v>
      </c>
      <c r="X67" s="540">
        <v>0.62</v>
      </c>
    </row>
    <row r="68" spans="1:24" x14ac:dyDescent="0.25">
      <c r="A68" s="202"/>
      <c r="B68" s="541"/>
      <c r="C68" s="541"/>
      <c r="D68" s="20"/>
      <c r="E68" s="20"/>
      <c r="F68" s="168"/>
      <c r="G68" s="164"/>
      <c r="P68" s="856" t="s">
        <v>932</v>
      </c>
      <c r="Q68" s="859" t="s">
        <v>933</v>
      </c>
      <c r="R68" s="344">
        <v>40742</v>
      </c>
      <c r="S68" s="367"/>
      <c r="T68" s="540"/>
      <c r="U68" s="540"/>
      <c r="V68" s="540"/>
      <c r="W68" s="715"/>
      <c r="X68" s="540">
        <v>4.12</v>
      </c>
    </row>
    <row r="69" spans="1:24" x14ac:dyDescent="0.25">
      <c r="A69" s="202"/>
      <c r="B69" s="541"/>
      <c r="C69" s="541"/>
      <c r="D69" s="20"/>
      <c r="E69" s="20"/>
      <c r="F69" s="168"/>
      <c r="G69" s="164"/>
      <c r="P69" s="857"/>
      <c r="Q69" s="860"/>
      <c r="R69" s="344">
        <v>40766</v>
      </c>
      <c r="S69" s="367">
        <v>0.53472222222222221</v>
      </c>
      <c r="T69" s="540">
        <v>8.2799999999999994</v>
      </c>
      <c r="U69" s="540">
        <v>16.8</v>
      </c>
      <c r="V69" s="540">
        <v>6.74</v>
      </c>
      <c r="W69" s="715">
        <v>0.16800000000000001</v>
      </c>
      <c r="X69" s="540">
        <v>2.4</v>
      </c>
    </row>
    <row r="70" spans="1:24" x14ac:dyDescent="0.25">
      <c r="A70" s="202"/>
      <c r="B70" s="541"/>
      <c r="C70" s="541"/>
      <c r="D70" s="20"/>
      <c r="E70" s="20"/>
      <c r="F70" s="20"/>
      <c r="G70" s="164"/>
      <c r="P70" s="858"/>
      <c r="Q70" s="861"/>
      <c r="R70" s="148">
        <v>40794</v>
      </c>
      <c r="S70" s="367">
        <v>0.11180555555555556</v>
      </c>
      <c r="T70" s="354">
        <v>7.9</v>
      </c>
      <c r="U70" s="354">
        <v>12.57</v>
      </c>
      <c r="V70" s="354">
        <v>7.81</v>
      </c>
      <c r="W70" s="715">
        <v>0.251</v>
      </c>
      <c r="X70" s="540">
        <v>0.87</v>
      </c>
    </row>
    <row r="71" spans="1:24" ht="14" x14ac:dyDescent="0.3">
      <c r="A71" s="202"/>
      <c r="B71" s="541"/>
      <c r="C71" s="541"/>
      <c r="D71" s="20"/>
      <c r="E71" s="20"/>
      <c r="F71" s="20"/>
      <c r="G71" s="164"/>
      <c r="P71" s="869"/>
      <c r="Q71" s="870"/>
      <c r="R71" s="862" t="s">
        <v>315</v>
      </c>
      <c r="S71" s="862"/>
      <c r="T71" s="862"/>
      <c r="U71" s="862"/>
      <c r="V71" s="862"/>
      <c r="W71" s="863"/>
      <c r="X71" s="717"/>
    </row>
    <row r="72" spans="1:24" ht="14.25" customHeight="1" x14ac:dyDescent="0.25">
      <c r="A72" s="202"/>
      <c r="B72" s="541"/>
      <c r="C72" s="541"/>
      <c r="D72" s="20"/>
      <c r="E72" s="20"/>
      <c r="F72" s="168"/>
      <c r="G72" s="164"/>
      <c r="P72" s="856" t="s">
        <v>291</v>
      </c>
      <c r="Q72" s="853" t="s">
        <v>316</v>
      </c>
      <c r="R72" s="344">
        <v>40742</v>
      </c>
      <c r="S72" s="367">
        <v>6.25E-2</v>
      </c>
      <c r="T72" s="354">
        <v>7.76</v>
      </c>
      <c r="U72" s="354">
        <v>21.2</v>
      </c>
      <c r="V72" s="354">
        <v>4.84</v>
      </c>
      <c r="W72" s="715">
        <v>0.97</v>
      </c>
      <c r="X72" s="540">
        <v>0.21</v>
      </c>
    </row>
    <row r="73" spans="1:24" x14ac:dyDescent="0.25">
      <c r="A73" s="202"/>
      <c r="B73" s="541"/>
      <c r="C73" s="541"/>
      <c r="D73" s="20"/>
      <c r="E73" s="20"/>
      <c r="F73" s="20"/>
      <c r="G73" s="164"/>
      <c r="P73" s="857"/>
      <c r="Q73" s="854"/>
      <c r="R73" s="344">
        <v>40766</v>
      </c>
      <c r="S73" s="367">
        <v>0.51250000000000007</v>
      </c>
      <c r="T73" s="354">
        <v>7.68</v>
      </c>
      <c r="U73" s="354">
        <v>15.1</v>
      </c>
      <c r="V73" s="354">
        <v>4.9800000000000004</v>
      </c>
      <c r="W73" s="715">
        <v>0.87</v>
      </c>
      <c r="X73" s="540">
        <v>0.1</v>
      </c>
    </row>
    <row r="74" spans="1:24" x14ac:dyDescent="0.25">
      <c r="A74" s="550"/>
      <c r="B74" s="541"/>
      <c r="C74" s="541"/>
      <c r="D74" s="20"/>
      <c r="E74" s="20"/>
      <c r="F74" s="20"/>
      <c r="G74" s="164"/>
      <c r="P74" s="858"/>
      <c r="Q74" s="855"/>
      <c r="R74" s="344">
        <v>40794</v>
      </c>
      <c r="S74" s="367">
        <v>5.9027777777777783E-2</v>
      </c>
      <c r="T74" s="354">
        <v>7.71</v>
      </c>
      <c r="U74" s="354">
        <v>12.25</v>
      </c>
      <c r="V74" s="354">
        <v>6.99</v>
      </c>
      <c r="W74" s="715">
        <v>0.96499999999999997</v>
      </c>
      <c r="X74" s="540">
        <v>0.03</v>
      </c>
    </row>
    <row r="75" spans="1:24" ht="14" x14ac:dyDescent="0.3">
      <c r="A75" s="550"/>
      <c r="B75" s="541"/>
      <c r="C75" s="541"/>
      <c r="D75" s="20"/>
      <c r="E75" s="20"/>
      <c r="F75" s="168"/>
      <c r="G75" s="164"/>
      <c r="P75" s="869"/>
      <c r="Q75" s="870"/>
      <c r="R75" s="862" t="s">
        <v>317</v>
      </c>
      <c r="S75" s="862"/>
      <c r="T75" s="862"/>
      <c r="U75" s="862"/>
      <c r="V75" s="862"/>
      <c r="W75" s="863"/>
      <c r="X75" s="717"/>
    </row>
    <row r="76" spans="1:24" x14ac:dyDescent="0.25">
      <c r="A76" s="550"/>
      <c r="B76" s="541"/>
      <c r="C76" s="541"/>
      <c r="D76" s="171"/>
      <c r="E76" s="20"/>
      <c r="F76" s="20"/>
      <c r="G76" s="31"/>
      <c r="P76" s="856" t="s">
        <v>292</v>
      </c>
      <c r="Q76" s="853" t="s">
        <v>318</v>
      </c>
      <c r="R76" s="344">
        <v>40742</v>
      </c>
      <c r="S76" s="367">
        <v>8.0555555555555561E-2</v>
      </c>
      <c r="T76" s="354">
        <v>8.01</v>
      </c>
      <c r="U76" s="354">
        <v>21.3</v>
      </c>
      <c r="V76" s="354">
        <v>6.21</v>
      </c>
      <c r="W76" s="715">
        <v>0.13400000000000001</v>
      </c>
      <c r="X76" s="540">
        <v>1.5</v>
      </c>
    </row>
    <row r="77" spans="1:24" x14ac:dyDescent="0.25">
      <c r="A77" s="550"/>
      <c r="B77" s="541"/>
      <c r="C77" s="541"/>
      <c r="D77" s="190"/>
      <c r="E77" s="20"/>
      <c r="F77" s="168"/>
      <c r="G77" s="164"/>
      <c r="P77" s="857"/>
      <c r="Q77" s="854"/>
      <c r="R77" s="344">
        <v>40766</v>
      </c>
      <c r="S77" s="367">
        <v>0.52222222222222225</v>
      </c>
      <c r="T77" s="354">
        <v>8.1300000000000008</v>
      </c>
      <c r="U77" s="354">
        <v>16.2</v>
      </c>
      <c r="V77" s="354">
        <v>6.41</v>
      </c>
      <c r="W77" s="715">
        <v>0.44</v>
      </c>
      <c r="X77" s="540">
        <v>0.6</v>
      </c>
    </row>
    <row r="78" spans="1:24" x14ac:dyDescent="0.25">
      <c r="A78" s="550"/>
      <c r="B78" s="541"/>
      <c r="C78" s="541"/>
      <c r="D78" s="20"/>
      <c r="E78" s="20"/>
      <c r="F78" s="20"/>
      <c r="G78" s="164"/>
      <c r="P78" s="858"/>
      <c r="Q78" s="855"/>
      <c r="R78" s="344">
        <v>40794</v>
      </c>
      <c r="S78" s="367">
        <v>7.6388888888888895E-2</v>
      </c>
      <c r="T78" s="354">
        <v>7.87</v>
      </c>
      <c r="U78" s="354">
        <v>13.88</v>
      </c>
      <c r="V78" s="354">
        <v>7.68</v>
      </c>
      <c r="W78" s="715">
        <v>0.58499999999999996</v>
      </c>
      <c r="X78" s="540">
        <v>0.72</v>
      </c>
    </row>
    <row r="79" spans="1:24" ht="14" x14ac:dyDescent="0.3">
      <c r="A79" s="550"/>
      <c r="B79" s="541"/>
      <c r="C79" s="541"/>
      <c r="D79" s="20"/>
      <c r="E79" s="20"/>
      <c r="F79" s="168"/>
      <c r="G79" s="164"/>
      <c r="P79" s="867"/>
      <c r="Q79" s="868"/>
      <c r="R79" s="862" t="s">
        <v>319</v>
      </c>
      <c r="S79" s="862"/>
      <c r="T79" s="862"/>
      <c r="U79" s="862"/>
      <c r="V79" s="862"/>
      <c r="W79" s="863"/>
      <c r="X79" s="717"/>
    </row>
    <row r="80" spans="1:24" x14ac:dyDescent="0.25">
      <c r="A80" s="550"/>
      <c r="B80" s="541"/>
      <c r="C80" s="541"/>
      <c r="D80" s="171"/>
      <c r="E80" s="20"/>
      <c r="F80" s="20"/>
      <c r="G80" s="31"/>
      <c r="P80" s="866" t="s">
        <v>282</v>
      </c>
      <c r="Q80" s="864" t="s">
        <v>326</v>
      </c>
      <c r="R80" s="344">
        <v>40732</v>
      </c>
      <c r="S80" s="367">
        <v>7.9861111111111105E-2</v>
      </c>
      <c r="T80" s="354">
        <v>6.99</v>
      </c>
      <c r="U80" s="354">
        <v>12.11</v>
      </c>
      <c r="V80" s="354">
        <v>7.41</v>
      </c>
      <c r="W80" s="715">
        <v>0.18</v>
      </c>
      <c r="X80" s="540">
        <v>5.67</v>
      </c>
    </row>
    <row r="81" spans="1:24" x14ac:dyDescent="0.25">
      <c r="A81" s="550"/>
      <c r="B81" s="541"/>
      <c r="C81" s="541"/>
      <c r="D81" s="171"/>
      <c r="E81" s="20"/>
      <c r="F81" s="20"/>
      <c r="G81" s="31"/>
      <c r="P81" s="866"/>
      <c r="Q81" s="864"/>
      <c r="R81" s="344">
        <v>40740</v>
      </c>
      <c r="S81" s="367" t="s">
        <v>903</v>
      </c>
      <c r="T81" s="540">
        <v>7.63</v>
      </c>
      <c r="U81" s="540">
        <v>11.15</v>
      </c>
      <c r="V81" s="540">
        <v>7.02</v>
      </c>
      <c r="W81" s="715">
        <v>1.9E-2</v>
      </c>
      <c r="X81" s="540">
        <v>2.9</v>
      </c>
    </row>
    <row r="82" spans="1:24" x14ac:dyDescent="0.25">
      <c r="A82" s="550"/>
      <c r="B82" s="541"/>
      <c r="C82" s="541"/>
      <c r="D82" s="190"/>
      <c r="E82" s="20"/>
      <c r="F82" s="168"/>
      <c r="G82" s="164"/>
      <c r="P82" s="866"/>
      <c r="Q82" s="864"/>
      <c r="R82" s="344">
        <v>40766</v>
      </c>
      <c r="S82" s="367">
        <v>0.41736111111111113</v>
      </c>
      <c r="T82" s="354">
        <v>7.45</v>
      </c>
      <c r="U82" s="354">
        <v>9.6999999999999993</v>
      </c>
      <c r="V82" s="354">
        <v>8.0500000000000007</v>
      </c>
      <c r="W82" s="715">
        <v>2.4E-2</v>
      </c>
      <c r="X82" s="540">
        <v>3.2</v>
      </c>
    </row>
    <row r="83" spans="1:24" x14ac:dyDescent="0.25">
      <c r="A83" s="550"/>
      <c r="B83" s="541"/>
      <c r="C83" s="541"/>
      <c r="D83" s="20"/>
      <c r="E83" s="20"/>
      <c r="F83" s="20"/>
      <c r="G83" s="164"/>
      <c r="P83" s="866"/>
      <c r="Q83" s="864"/>
      <c r="R83" s="344">
        <v>40795</v>
      </c>
      <c r="S83" s="367">
        <v>0.41250000000000003</v>
      </c>
      <c r="T83" s="354">
        <v>7.52</v>
      </c>
      <c r="U83" s="354">
        <v>5.62</v>
      </c>
      <c r="V83" s="354">
        <v>7.43</v>
      </c>
      <c r="W83" s="715">
        <v>2.5000000000000001E-2</v>
      </c>
      <c r="X83" s="540">
        <v>4.5</v>
      </c>
    </row>
    <row r="84" spans="1:24" x14ac:dyDescent="0.25">
      <c r="A84" s="550"/>
      <c r="B84" s="541"/>
      <c r="C84" s="541"/>
      <c r="D84" s="20"/>
      <c r="E84" s="20"/>
      <c r="F84" s="168"/>
      <c r="G84" s="164"/>
      <c r="P84" s="866" t="s">
        <v>280</v>
      </c>
      <c r="Q84" s="864" t="s">
        <v>320</v>
      </c>
      <c r="R84" s="344">
        <v>40732</v>
      </c>
      <c r="S84" s="367">
        <v>5.6250000000000001E-2</v>
      </c>
      <c r="T84" s="354">
        <v>6.53</v>
      </c>
      <c r="U84" s="354">
        <v>11.8</v>
      </c>
      <c r="V84" s="354">
        <v>7.17</v>
      </c>
      <c r="W84" s="715">
        <v>0.02</v>
      </c>
      <c r="X84" s="540">
        <v>4.26</v>
      </c>
    </row>
    <row r="85" spans="1:24" x14ac:dyDescent="0.25">
      <c r="A85" s="550"/>
      <c r="B85" s="541"/>
      <c r="C85" s="541"/>
      <c r="D85" s="20"/>
      <c r="E85" s="20"/>
      <c r="F85" s="168"/>
      <c r="G85" s="164"/>
      <c r="P85" s="866"/>
      <c r="Q85" s="864"/>
      <c r="R85" s="344">
        <v>40740</v>
      </c>
      <c r="S85" s="367">
        <v>8.3333333333333329E-2</v>
      </c>
      <c r="T85" s="540">
        <v>5.88</v>
      </c>
      <c r="U85" s="540">
        <v>9.5399999999999991</v>
      </c>
      <c r="V85" s="540">
        <v>8.2200000000000006</v>
      </c>
      <c r="W85" s="715">
        <v>1.9E-2</v>
      </c>
      <c r="X85" s="540">
        <v>2.5099999999999998</v>
      </c>
    </row>
    <row r="86" spans="1:24" x14ac:dyDescent="0.25">
      <c r="A86" s="550"/>
      <c r="B86" s="541"/>
      <c r="C86" s="541"/>
      <c r="D86" s="171"/>
      <c r="E86" s="20"/>
      <c r="F86" s="20"/>
      <c r="G86" s="31"/>
      <c r="P86" s="866"/>
      <c r="Q86" s="864"/>
      <c r="R86" s="344">
        <v>40766</v>
      </c>
      <c r="S86" s="367">
        <v>0.40833333333333338</v>
      </c>
      <c r="T86" s="354">
        <v>8.2899999999999991</v>
      </c>
      <c r="U86" s="354">
        <v>9.9</v>
      </c>
      <c r="V86" s="354">
        <v>8.32</v>
      </c>
      <c r="W86" s="715">
        <v>2.9000000000000001E-2</v>
      </c>
      <c r="X86" s="540">
        <v>2.9</v>
      </c>
    </row>
    <row r="87" spans="1:24" x14ac:dyDescent="0.25">
      <c r="A87" s="550"/>
      <c r="B87" s="541"/>
      <c r="C87" s="541"/>
      <c r="D87" s="190"/>
      <c r="E87" s="20"/>
      <c r="F87" s="168"/>
      <c r="G87" s="164"/>
      <c r="P87" s="866"/>
      <c r="Q87" s="864"/>
      <c r="R87" s="344">
        <v>40795</v>
      </c>
      <c r="S87" s="367">
        <v>0.39374999999999999</v>
      </c>
      <c r="T87" s="354">
        <v>8.89</v>
      </c>
      <c r="U87" s="354">
        <v>6.1</v>
      </c>
      <c r="V87" s="354">
        <v>6.75</v>
      </c>
      <c r="W87" s="715">
        <v>2.8000000000000001E-2</v>
      </c>
      <c r="X87" s="540">
        <v>1.5</v>
      </c>
    </row>
    <row r="88" spans="1:24" ht="12.75" customHeight="1" x14ac:dyDescent="0.25">
      <c r="A88" s="550"/>
      <c r="B88" s="541"/>
      <c r="C88" s="541"/>
      <c r="D88" s="20"/>
      <c r="E88" s="20"/>
      <c r="F88" s="20"/>
      <c r="G88" s="164"/>
      <c r="P88" s="856" t="s">
        <v>321</v>
      </c>
      <c r="Q88" s="859" t="s">
        <v>322</v>
      </c>
      <c r="R88" s="344">
        <v>40740</v>
      </c>
      <c r="S88" s="367">
        <v>0.49652777777777773</v>
      </c>
      <c r="T88" s="354">
        <v>6.18</v>
      </c>
      <c r="U88" s="354">
        <v>9.58</v>
      </c>
      <c r="V88" s="354">
        <v>8.27</v>
      </c>
      <c r="W88" s="715">
        <v>3.4000000000000002E-2</v>
      </c>
      <c r="X88" s="540">
        <v>29.8</v>
      </c>
    </row>
    <row r="89" spans="1:24" x14ac:dyDescent="0.25">
      <c r="A89" s="550"/>
      <c r="B89" s="541"/>
      <c r="C89" s="541"/>
      <c r="D89" s="20"/>
      <c r="E89" s="20"/>
      <c r="F89" s="168"/>
      <c r="G89" s="164"/>
      <c r="P89" s="857"/>
      <c r="Q89" s="860"/>
      <c r="R89" s="344">
        <v>40766</v>
      </c>
      <c r="S89" s="367">
        <v>0.5083333333333333</v>
      </c>
      <c r="T89" s="354">
        <v>7.77</v>
      </c>
      <c r="U89" s="354">
        <v>10.4</v>
      </c>
      <c r="V89" s="354">
        <v>9.1300000000000008</v>
      </c>
      <c r="W89" s="715">
        <v>2.4E-2</v>
      </c>
      <c r="X89" s="540">
        <v>20.2</v>
      </c>
    </row>
    <row r="90" spans="1:24" x14ac:dyDescent="0.25">
      <c r="A90" s="550"/>
      <c r="B90" s="541"/>
      <c r="C90" s="541"/>
      <c r="D90" s="171"/>
      <c r="E90" s="20"/>
      <c r="F90" s="20"/>
      <c r="G90" s="31"/>
      <c r="P90" s="858"/>
      <c r="Q90" s="861"/>
      <c r="R90" s="344">
        <v>40795</v>
      </c>
      <c r="S90" s="367">
        <v>0.50624999999999998</v>
      </c>
      <c r="T90" s="540">
        <v>6.94</v>
      </c>
      <c r="U90" s="540">
        <v>7.18</v>
      </c>
      <c r="V90" s="540">
        <v>8.5</v>
      </c>
      <c r="W90" s="540">
        <v>4.2000000000000003E-2</v>
      </c>
      <c r="X90" s="540">
        <v>16.8</v>
      </c>
    </row>
    <row r="103" spans="1:7" x14ac:dyDescent="0.25">
      <c r="A103" s="550"/>
      <c r="B103" s="148"/>
      <c r="C103" s="148"/>
      <c r="D103" s="190"/>
      <c r="E103" s="20"/>
      <c r="F103" s="168"/>
      <c r="G103" s="164"/>
    </row>
    <row r="104" spans="1:7" x14ac:dyDescent="0.25">
      <c r="A104" s="550"/>
      <c r="B104" s="148"/>
      <c r="C104" s="148"/>
      <c r="D104" s="20"/>
      <c r="E104" s="20"/>
      <c r="F104" s="20"/>
      <c r="G104" s="164"/>
    </row>
    <row r="105" spans="1:7" x14ac:dyDescent="0.25">
      <c r="A105" s="550"/>
      <c r="B105" s="148"/>
      <c r="C105" s="148"/>
      <c r="D105" s="20"/>
      <c r="E105" s="20"/>
      <c r="F105" s="168"/>
      <c r="G105" s="164"/>
    </row>
    <row r="106" spans="1:7" x14ac:dyDescent="0.25">
      <c r="A106" s="550"/>
      <c r="B106" s="148"/>
      <c r="C106" s="148"/>
      <c r="G106" s="164"/>
    </row>
    <row r="107" spans="1:7" x14ac:dyDescent="0.25">
      <c r="A107" s="550"/>
      <c r="B107" s="148"/>
      <c r="C107" s="148"/>
      <c r="D107" s="190"/>
      <c r="E107" s="20"/>
      <c r="F107" s="168"/>
      <c r="G107" s="164"/>
    </row>
    <row r="108" spans="1:7" x14ac:dyDescent="0.25">
      <c r="A108" s="550"/>
      <c r="B108" s="148"/>
      <c r="C108" s="148"/>
      <c r="D108" s="20"/>
      <c r="E108" s="20"/>
      <c r="F108" s="20"/>
      <c r="G108" s="164"/>
    </row>
    <row r="109" spans="1:7" x14ac:dyDescent="0.25">
      <c r="A109" s="550"/>
      <c r="B109" s="148"/>
      <c r="C109" s="148"/>
      <c r="D109" s="20"/>
      <c r="E109" s="20"/>
      <c r="F109" s="168"/>
      <c r="G109" s="164"/>
    </row>
    <row r="110" spans="1:7" x14ac:dyDescent="0.25">
      <c r="A110" s="550"/>
      <c r="B110" s="148"/>
      <c r="C110" s="148"/>
      <c r="G110" s="164"/>
    </row>
    <row r="111" spans="1:7" x14ac:dyDescent="0.25">
      <c r="A111" s="550"/>
      <c r="B111" s="148"/>
      <c r="C111" s="148"/>
      <c r="G111" s="164"/>
    </row>
    <row r="112" spans="1:7" x14ac:dyDescent="0.25">
      <c r="A112" s="550"/>
      <c r="B112" s="148"/>
      <c r="C112" s="148"/>
      <c r="D112" s="190"/>
      <c r="E112" s="20"/>
      <c r="F112" s="168"/>
      <c r="G112" s="164"/>
    </row>
    <row r="113" spans="1:7" x14ac:dyDescent="0.25">
      <c r="A113" s="550"/>
      <c r="B113" s="148"/>
      <c r="C113" s="148"/>
      <c r="D113" s="20"/>
      <c r="E113" s="20"/>
      <c r="F113" s="20"/>
      <c r="G113" s="164"/>
    </row>
    <row r="114" spans="1:7" x14ac:dyDescent="0.25">
      <c r="A114" s="550"/>
      <c r="B114" s="148"/>
      <c r="C114" s="148"/>
      <c r="D114" s="20"/>
      <c r="E114" s="20"/>
      <c r="F114" s="168"/>
      <c r="G114" s="164"/>
    </row>
  </sheetData>
  <mergeCells count="72">
    <mergeCell ref="Y1:Y2"/>
    <mergeCell ref="A29:N29"/>
    <mergeCell ref="B1:B2"/>
    <mergeCell ref="A1:A2"/>
    <mergeCell ref="C1:F1"/>
    <mergeCell ref="G1:J1"/>
    <mergeCell ref="K1:N1"/>
    <mergeCell ref="A21:N21"/>
    <mergeCell ref="A23:N23"/>
    <mergeCell ref="A25:N25"/>
    <mergeCell ref="A3:N3"/>
    <mergeCell ref="A6:N6"/>
    <mergeCell ref="A9:N9"/>
    <mergeCell ref="A16:N16"/>
    <mergeCell ref="A18:N18"/>
    <mergeCell ref="Z1:Z2"/>
    <mergeCell ref="AA1:AC1"/>
    <mergeCell ref="Y3:AC3"/>
    <mergeCell ref="P38:Q38"/>
    <mergeCell ref="Q32:Q34"/>
    <mergeCell ref="Q35:Q37"/>
    <mergeCell ref="P35:P37"/>
    <mergeCell ref="P32:P34"/>
    <mergeCell ref="R31:W31"/>
    <mergeCell ref="P31:Q31"/>
    <mergeCell ref="Y21:AC21"/>
    <mergeCell ref="Y23:AC23"/>
    <mergeCell ref="Y15:AC15"/>
    <mergeCell ref="Y13:AC13"/>
    <mergeCell ref="Y6:AC6"/>
    <mergeCell ref="Y19:AC19"/>
    <mergeCell ref="P57:Q57"/>
    <mergeCell ref="P61:Q61"/>
    <mergeCell ref="P71:Q71"/>
    <mergeCell ref="R38:W38"/>
    <mergeCell ref="R57:W57"/>
    <mergeCell ref="R61:W61"/>
    <mergeCell ref="R71:W71"/>
    <mergeCell ref="P39:P41"/>
    <mergeCell ref="P42:P44"/>
    <mergeCell ref="P45:P47"/>
    <mergeCell ref="Q39:Q41"/>
    <mergeCell ref="Q42:Q44"/>
    <mergeCell ref="Q45:Q47"/>
    <mergeCell ref="Q48:Q50"/>
    <mergeCell ref="Q58:Q60"/>
    <mergeCell ref="P58:P60"/>
    <mergeCell ref="P62:P64"/>
    <mergeCell ref="Q62:Q64"/>
    <mergeCell ref="Q65:Q67"/>
    <mergeCell ref="P65:P67"/>
    <mergeCell ref="P84:P87"/>
    <mergeCell ref="P80:P83"/>
    <mergeCell ref="Q72:Q74"/>
    <mergeCell ref="P72:P74"/>
    <mergeCell ref="P76:P78"/>
    <mergeCell ref="Q76:Q78"/>
    <mergeCell ref="P79:Q79"/>
    <mergeCell ref="P75:Q75"/>
    <mergeCell ref="P88:P90"/>
    <mergeCell ref="Q88:Q90"/>
    <mergeCell ref="Q68:Q70"/>
    <mergeCell ref="P68:P70"/>
    <mergeCell ref="R75:W75"/>
    <mergeCell ref="R79:W79"/>
    <mergeCell ref="Q80:Q83"/>
    <mergeCell ref="Q84:Q87"/>
    <mergeCell ref="Q51:Q53"/>
    <mergeCell ref="P48:P50"/>
    <mergeCell ref="P51:P53"/>
    <mergeCell ref="Q54:Q56"/>
    <mergeCell ref="P54:P56"/>
  </mergeCell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123"/>
  <sheetViews>
    <sheetView topLeftCell="D82" workbookViewId="0">
      <selection activeCell="AB101" sqref="AB101:AB104"/>
    </sheetView>
  </sheetViews>
  <sheetFormatPr defaultRowHeight="12.5" x14ac:dyDescent="0.25"/>
  <cols>
    <col min="2" max="2" width="9.08984375" bestFit="1" customWidth="1"/>
    <col min="3" max="3" width="17.54296875" customWidth="1"/>
    <col min="12" max="12" width="9.08984375" bestFit="1" customWidth="1"/>
  </cols>
  <sheetData>
    <row r="1" spans="1:29" ht="14" x14ac:dyDescent="0.3">
      <c r="A1" s="603" t="s">
        <v>751</v>
      </c>
      <c r="B1" s="603" t="s">
        <v>723</v>
      </c>
      <c r="C1" s="603"/>
      <c r="D1" s="603"/>
      <c r="E1" s="603"/>
      <c r="F1" s="603"/>
      <c r="G1" s="603"/>
      <c r="H1" s="603"/>
      <c r="I1" s="603"/>
      <c r="J1" s="603"/>
      <c r="K1" s="603" t="s">
        <v>722</v>
      </c>
      <c r="L1" s="603" t="s">
        <v>723</v>
      </c>
      <c r="M1" s="603"/>
      <c r="N1" s="603"/>
      <c r="O1" s="603"/>
      <c r="P1" s="603"/>
      <c r="Q1" s="603"/>
      <c r="R1" s="603"/>
      <c r="S1" s="603"/>
      <c r="U1" s="603" t="s">
        <v>722</v>
      </c>
      <c r="V1" s="603" t="s">
        <v>723</v>
      </c>
      <c r="W1" s="603"/>
      <c r="X1" s="603"/>
      <c r="Y1" s="603"/>
      <c r="Z1" s="603"/>
      <c r="AA1" s="603"/>
      <c r="AB1" s="603"/>
      <c r="AC1" s="603"/>
    </row>
    <row r="2" spans="1:29" ht="14" x14ac:dyDescent="0.3">
      <c r="A2" s="603" t="s">
        <v>724</v>
      </c>
      <c r="B2" s="603" t="s">
        <v>913</v>
      </c>
      <c r="C2" s="603"/>
      <c r="D2" s="603"/>
      <c r="E2" s="603"/>
      <c r="F2" s="603"/>
      <c r="G2" s="603"/>
      <c r="H2" s="603"/>
      <c r="I2" s="603"/>
      <c r="J2" s="603"/>
      <c r="K2" s="603" t="s">
        <v>724</v>
      </c>
      <c r="L2" s="603" t="s">
        <v>940</v>
      </c>
      <c r="M2" s="603"/>
      <c r="N2" s="603"/>
      <c r="O2" s="603"/>
      <c r="P2" s="603"/>
      <c r="Q2" s="603"/>
      <c r="R2" s="603"/>
      <c r="S2" s="603"/>
      <c r="U2" s="603" t="s">
        <v>724</v>
      </c>
      <c r="V2" s="603" t="s">
        <v>956</v>
      </c>
      <c r="W2" s="603"/>
      <c r="X2" s="603"/>
      <c r="Y2" s="603"/>
      <c r="Z2" s="603"/>
      <c r="AA2" s="603"/>
      <c r="AB2" s="603"/>
      <c r="AC2" s="603"/>
    </row>
    <row r="3" spans="1:29" ht="14" x14ac:dyDescent="0.3">
      <c r="A3" s="603" t="s">
        <v>11</v>
      </c>
      <c r="B3" s="608">
        <v>40732</v>
      </c>
      <c r="C3" s="603"/>
      <c r="D3" s="608">
        <v>40742</v>
      </c>
      <c r="E3" s="603" t="s">
        <v>918</v>
      </c>
      <c r="F3" s="603"/>
      <c r="G3" s="603"/>
      <c r="H3" s="603"/>
      <c r="I3" s="603"/>
      <c r="J3" s="603"/>
      <c r="K3" s="603" t="s">
        <v>11</v>
      </c>
      <c r="L3" s="603" t="s">
        <v>725</v>
      </c>
      <c r="M3" s="603"/>
      <c r="N3" s="603"/>
      <c r="O3" s="603"/>
      <c r="P3" s="603"/>
      <c r="Q3" s="603"/>
      <c r="R3" s="603"/>
      <c r="S3" s="603"/>
      <c r="U3" s="603" t="s">
        <v>11</v>
      </c>
      <c r="V3" s="603" t="s">
        <v>957</v>
      </c>
      <c r="W3" s="603"/>
      <c r="X3" s="603"/>
      <c r="Y3" s="603"/>
      <c r="Z3" s="603"/>
      <c r="AA3" s="603"/>
      <c r="AB3" s="603"/>
      <c r="AC3" s="603"/>
    </row>
    <row r="4" spans="1:29" ht="14" x14ac:dyDescent="0.3">
      <c r="A4" s="603" t="s">
        <v>168</v>
      </c>
      <c r="B4" s="608">
        <v>40740</v>
      </c>
      <c r="C4" s="603" t="s">
        <v>905</v>
      </c>
      <c r="D4" s="603"/>
      <c r="E4" s="603"/>
      <c r="F4" s="603"/>
      <c r="G4" s="603"/>
      <c r="H4" s="603"/>
      <c r="I4" s="603"/>
      <c r="J4" s="603"/>
      <c r="K4" s="603" t="s">
        <v>168</v>
      </c>
      <c r="L4" s="608">
        <v>40766</v>
      </c>
      <c r="M4" s="603"/>
      <c r="N4" s="603"/>
      <c r="O4" s="603"/>
      <c r="P4" s="603"/>
      <c r="Q4" s="603"/>
      <c r="R4" s="603"/>
      <c r="S4" s="603"/>
      <c r="U4" s="603" t="s">
        <v>168</v>
      </c>
      <c r="V4" s="608">
        <v>40795</v>
      </c>
      <c r="W4" s="603"/>
      <c r="X4" s="603"/>
      <c r="Y4" s="603"/>
      <c r="Z4" s="603"/>
      <c r="AA4" s="603"/>
      <c r="AB4" s="603"/>
      <c r="AC4" s="603"/>
    </row>
    <row r="5" spans="1:29" ht="14" x14ac:dyDescent="0.3">
      <c r="A5" s="602" t="s">
        <v>712</v>
      </c>
      <c r="B5" s="602" t="s">
        <v>713</v>
      </c>
      <c r="C5" s="602"/>
      <c r="D5" s="896" t="s">
        <v>730</v>
      </c>
      <c r="E5" s="897"/>
      <c r="F5" s="898"/>
      <c r="G5" s="899" t="s">
        <v>735</v>
      </c>
      <c r="H5" s="899"/>
      <c r="I5" s="899"/>
      <c r="K5" s="602" t="s">
        <v>712</v>
      </c>
      <c r="L5" s="602" t="s">
        <v>713</v>
      </c>
      <c r="M5" s="602"/>
      <c r="N5" s="896" t="s">
        <v>730</v>
      </c>
      <c r="O5" s="897"/>
      <c r="P5" s="898"/>
      <c r="Q5" s="899" t="s">
        <v>735</v>
      </c>
      <c r="R5" s="899"/>
      <c r="S5" s="899"/>
      <c r="U5" s="602" t="s">
        <v>712</v>
      </c>
      <c r="V5" s="602" t="s">
        <v>713</v>
      </c>
      <c r="W5" s="602"/>
      <c r="X5" s="896" t="s">
        <v>730</v>
      </c>
      <c r="Y5" s="897"/>
      <c r="Z5" s="898"/>
      <c r="AA5" s="899" t="s">
        <v>735</v>
      </c>
      <c r="AB5" s="899"/>
      <c r="AC5" s="899"/>
    </row>
    <row r="6" spans="1:29" ht="14" x14ac:dyDescent="0.3">
      <c r="A6" s="476" t="s">
        <v>170</v>
      </c>
      <c r="B6" s="728">
        <v>8.3333333333333329E-2</v>
      </c>
      <c r="C6" s="476" t="s">
        <v>910</v>
      </c>
      <c r="D6" s="476" t="s">
        <v>170</v>
      </c>
      <c r="E6" s="728">
        <v>9.0277777777777776E-2</v>
      </c>
      <c r="F6" s="607"/>
      <c r="G6" s="476" t="s">
        <v>170</v>
      </c>
      <c r="H6" s="728">
        <v>0.51111111111111118</v>
      </c>
      <c r="I6" s="476"/>
      <c r="K6" s="476" t="s">
        <v>170</v>
      </c>
      <c r="L6" s="728">
        <v>0.40833333333333338</v>
      </c>
      <c r="M6" s="476"/>
      <c r="N6" s="476" t="s">
        <v>170</v>
      </c>
      <c r="O6" s="728">
        <v>0.53888888888888886</v>
      </c>
      <c r="P6" s="607"/>
      <c r="Q6" s="476" t="s">
        <v>170</v>
      </c>
      <c r="R6" s="728">
        <v>0.46388888888888885</v>
      </c>
      <c r="S6" s="476"/>
      <c r="U6" s="476" t="s">
        <v>170</v>
      </c>
      <c r="V6" s="728">
        <v>0.39374999999999999</v>
      </c>
      <c r="W6" s="476"/>
      <c r="X6" s="476" t="s">
        <v>170</v>
      </c>
      <c r="Y6" s="728">
        <v>9.3055555555555558E-2</v>
      </c>
      <c r="Z6" s="607"/>
      <c r="AA6" s="476" t="s">
        <v>170</v>
      </c>
      <c r="AB6" s="728">
        <v>0.51666666666666672</v>
      </c>
      <c r="AC6" s="476"/>
    </row>
    <row r="7" spans="1:29" ht="14" x14ac:dyDescent="0.3">
      <c r="A7" s="476" t="s">
        <v>714</v>
      </c>
      <c r="B7" s="894" t="s">
        <v>752</v>
      </c>
      <c r="C7" s="895"/>
      <c r="D7" s="476" t="s">
        <v>719</v>
      </c>
      <c r="E7" s="476">
        <v>6</v>
      </c>
      <c r="F7" s="476"/>
      <c r="G7" s="476" t="s">
        <v>719</v>
      </c>
      <c r="H7" s="476">
        <v>25</v>
      </c>
      <c r="I7" s="476"/>
      <c r="K7" s="476" t="s">
        <v>714</v>
      </c>
      <c r="L7" s="894" t="s">
        <v>541</v>
      </c>
      <c r="M7" s="895"/>
      <c r="N7" s="476" t="s">
        <v>719</v>
      </c>
      <c r="O7" s="476">
        <v>3</v>
      </c>
      <c r="P7" s="476">
        <v>0.38</v>
      </c>
      <c r="Q7" s="476" t="s">
        <v>719</v>
      </c>
      <c r="R7" s="476">
        <v>24</v>
      </c>
      <c r="S7" s="476"/>
      <c r="U7" s="476" t="s">
        <v>714</v>
      </c>
      <c r="V7" s="894" t="s">
        <v>958</v>
      </c>
      <c r="W7" s="895"/>
      <c r="X7" s="476" t="s">
        <v>719</v>
      </c>
      <c r="Y7" s="476" t="s">
        <v>964</v>
      </c>
      <c r="Z7" s="476"/>
      <c r="AA7" s="476" t="s">
        <v>719</v>
      </c>
      <c r="AB7" s="476">
        <v>25</v>
      </c>
      <c r="AC7" s="476"/>
    </row>
    <row r="8" spans="1:29" ht="14" x14ac:dyDescent="0.3">
      <c r="A8" s="603"/>
      <c r="B8" s="604" t="s">
        <v>188</v>
      </c>
      <c r="C8" s="605" t="s">
        <v>715</v>
      </c>
      <c r="D8" s="476" t="s">
        <v>714</v>
      </c>
      <c r="E8" s="894" t="s">
        <v>541</v>
      </c>
      <c r="F8" s="895"/>
      <c r="G8" s="476" t="s">
        <v>714</v>
      </c>
      <c r="H8" s="894" t="s">
        <v>924</v>
      </c>
      <c r="I8" s="895"/>
      <c r="K8" s="603"/>
      <c r="L8" s="604" t="s">
        <v>188</v>
      </c>
      <c r="M8" s="605" t="s">
        <v>715</v>
      </c>
      <c r="N8" s="476" t="s">
        <v>714</v>
      </c>
      <c r="O8" s="894" t="s">
        <v>540</v>
      </c>
      <c r="P8" s="895"/>
      <c r="Q8" s="476" t="s">
        <v>714</v>
      </c>
      <c r="R8" s="894" t="s">
        <v>329</v>
      </c>
      <c r="S8" s="895"/>
      <c r="U8" s="603"/>
      <c r="V8" s="604" t="s">
        <v>188</v>
      </c>
      <c r="W8" s="605" t="s">
        <v>715</v>
      </c>
      <c r="X8" s="476" t="s">
        <v>714</v>
      </c>
      <c r="Y8" s="894" t="s">
        <v>541</v>
      </c>
      <c r="Z8" s="895"/>
      <c r="AA8" s="476" t="s">
        <v>714</v>
      </c>
      <c r="AB8" s="894" t="s">
        <v>971</v>
      </c>
      <c r="AC8" s="895"/>
    </row>
    <row r="9" spans="1:29" ht="14" x14ac:dyDescent="0.3">
      <c r="A9" s="476" t="s">
        <v>716</v>
      </c>
      <c r="B9" s="476">
        <v>0.9</v>
      </c>
      <c r="C9" s="476">
        <v>0.9</v>
      </c>
      <c r="D9" s="610" t="s">
        <v>729</v>
      </c>
      <c r="E9" s="476">
        <v>4.8000000000000001E-2</v>
      </c>
      <c r="F9" s="476">
        <v>2.64</v>
      </c>
      <c r="G9" s="476"/>
      <c r="H9" s="604" t="s">
        <v>188</v>
      </c>
      <c r="I9" s="605" t="s">
        <v>715</v>
      </c>
      <c r="K9" s="476" t="s">
        <v>716</v>
      </c>
      <c r="L9" s="476">
        <v>0.62</v>
      </c>
      <c r="M9" s="476">
        <v>2.2000000000000002</v>
      </c>
      <c r="N9" s="610" t="s">
        <v>729</v>
      </c>
      <c r="O9" s="476"/>
      <c r="P9" s="476">
        <v>0.38</v>
      </c>
      <c r="Q9" s="476"/>
      <c r="R9" s="604" t="s">
        <v>188</v>
      </c>
      <c r="S9" s="605" t="s">
        <v>715</v>
      </c>
      <c r="U9" s="476" t="s">
        <v>716</v>
      </c>
      <c r="V9" s="476">
        <v>0.57999999999999996</v>
      </c>
      <c r="W9" s="476">
        <v>1.2</v>
      </c>
      <c r="X9" s="610" t="s">
        <v>729</v>
      </c>
      <c r="Y9" s="476">
        <v>0.38</v>
      </c>
      <c r="Z9" s="476"/>
      <c r="AA9" s="476"/>
      <c r="AB9" s="604" t="s">
        <v>188</v>
      </c>
      <c r="AC9" s="605" t="s">
        <v>715</v>
      </c>
    </row>
    <row r="10" spans="1:29" ht="14" x14ac:dyDescent="0.3">
      <c r="A10" s="476" t="s">
        <v>717</v>
      </c>
      <c r="B10" s="476">
        <v>1</v>
      </c>
      <c r="C10" s="476">
        <v>1.2</v>
      </c>
      <c r="D10" s="476"/>
      <c r="E10" s="604" t="s">
        <v>188</v>
      </c>
      <c r="F10" s="605" t="s">
        <v>715</v>
      </c>
      <c r="G10" s="476">
        <v>2</v>
      </c>
      <c r="H10" s="476">
        <v>0.82</v>
      </c>
      <c r="I10" s="476">
        <v>1.2</v>
      </c>
      <c r="K10" s="476" t="s">
        <v>717</v>
      </c>
      <c r="L10" s="476">
        <v>0.43</v>
      </c>
      <c r="M10" s="476">
        <v>2.2999999999999998</v>
      </c>
      <c r="N10" s="476"/>
      <c r="O10" s="604" t="s">
        <v>188</v>
      </c>
      <c r="P10" s="605" t="s">
        <v>715</v>
      </c>
      <c r="Q10" s="476">
        <v>2</v>
      </c>
      <c r="R10" s="476">
        <v>0.51</v>
      </c>
      <c r="S10" s="476">
        <v>0.4</v>
      </c>
      <c r="U10" s="476" t="s">
        <v>717</v>
      </c>
      <c r="V10" s="476">
        <v>0.34</v>
      </c>
      <c r="W10" s="476">
        <v>1.6</v>
      </c>
      <c r="X10" s="476"/>
      <c r="Y10" s="604" t="s">
        <v>188</v>
      </c>
      <c r="Z10" s="605" t="s">
        <v>715</v>
      </c>
      <c r="AA10" s="476">
        <v>2</v>
      </c>
      <c r="AB10" s="476">
        <v>0.55000000000000004</v>
      </c>
      <c r="AC10" s="476">
        <v>0.4</v>
      </c>
    </row>
    <row r="11" spans="1:29" ht="14" x14ac:dyDescent="0.3">
      <c r="A11" s="606" t="s">
        <v>174</v>
      </c>
      <c r="B11" s="606">
        <v>5.88</v>
      </c>
      <c r="C11" s="476" t="s">
        <v>909</v>
      </c>
      <c r="D11" s="476">
        <v>2</v>
      </c>
      <c r="E11" s="476">
        <v>0.2</v>
      </c>
      <c r="F11" s="476">
        <v>0.8</v>
      </c>
      <c r="G11" s="476">
        <v>4</v>
      </c>
      <c r="H11" s="476">
        <v>1.7</v>
      </c>
      <c r="I11" s="476">
        <v>1.9</v>
      </c>
      <c r="K11" s="606" t="s">
        <v>174</v>
      </c>
      <c r="L11" s="606">
        <v>8.2899999999999991</v>
      </c>
      <c r="M11" s="476" t="s">
        <v>908</v>
      </c>
      <c r="N11" s="476">
        <v>2</v>
      </c>
      <c r="O11" s="476">
        <v>0.15</v>
      </c>
      <c r="P11" s="476">
        <v>0.8</v>
      </c>
      <c r="Q11" s="476">
        <v>4</v>
      </c>
      <c r="R11" s="476">
        <v>0.8</v>
      </c>
      <c r="S11" s="476">
        <v>0.8</v>
      </c>
      <c r="U11" s="606" t="s">
        <v>174</v>
      </c>
      <c r="V11" s="606">
        <v>8.89</v>
      </c>
      <c r="W11" s="476" t="s">
        <v>931</v>
      </c>
      <c r="X11" s="476">
        <v>2</v>
      </c>
      <c r="Y11" s="476">
        <v>0.28000000000000003</v>
      </c>
      <c r="Z11" s="476">
        <v>0.7</v>
      </c>
      <c r="AA11" s="476">
        <v>4</v>
      </c>
      <c r="AB11" s="476">
        <v>0.9</v>
      </c>
      <c r="AC11" s="476">
        <v>1</v>
      </c>
    </row>
    <row r="12" spans="1:29" ht="14" x14ac:dyDescent="0.3">
      <c r="A12" s="606" t="s">
        <v>173</v>
      </c>
      <c r="B12" s="606">
        <v>9.5399999999999991</v>
      </c>
      <c r="C12" s="476"/>
      <c r="D12" s="476">
        <v>4</v>
      </c>
      <c r="E12" s="476">
        <v>0.39</v>
      </c>
      <c r="F12" s="476">
        <v>2.4</v>
      </c>
      <c r="G12" s="476">
        <v>6</v>
      </c>
      <c r="H12" s="476">
        <v>1.42</v>
      </c>
      <c r="I12" s="476">
        <v>2</v>
      </c>
      <c r="K12" s="606" t="s">
        <v>173</v>
      </c>
      <c r="L12" s="606">
        <v>9.9</v>
      </c>
      <c r="M12" s="476"/>
      <c r="N12" s="476">
        <v>4</v>
      </c>
      <c r="O12" s="476">
        <v>0.31</v>
      </c>
      <c r="P12" s="476">
        <v>1.1000000000000001</v>
      </c>
      <c r="Q12" s="476">
        <v>6</v>
      </c>
      <c r="R12" s="476">
        <v>1.1100000000000001</v>
      </c>
      <c r="S12" s="476">
        <v>1.2</v>
      </c>
      <c r="U12" s="606" t="s">
        <v>173</v>
      </c>
      <c r="V12" s="606">
        <v>6.1</v>
      </c>
      <c r="W12" s="476"/>
      <c r="X12" s="476">
        <v>4</v>
      </c>
      <c r="Y12" s="476"/>
      <c r="Z12" s="476"/>
      <c r="AA12" s="476">
        <v>6</v>
      </c>
      <c r="AB12" s="476">
        <v>1.07</v>
      </c>
      <c r="AC12" s="476">
        <v>1.6</v>
      </c>
    </row>
    <row r="13" spans="1:29" ht="14" x14ac:dyDescent="0.3">
      <c r="A13" s="606" t="s">
        <v>172</v>
      </c>
      <c r="B13" s="606">
        <v>8.2200000000000006</v>
      </c>
      <c r="C13" s="476"/>
      <c r="D13" s="476">
        <v>6</v>
      </c>
      <c r="E13" s="476">
        <v>0.28000000000000003</v>
      </c>
      <c r="F13" s="476">
        <v>0.8</v>
      </c>
      <c r="G13" s="476">
        <v>8</v>
      </c>
      <c r="H13" s="476">
        <v>1.4</v>
      </c>
      <c r="I13" s="476">
        <v>2.2000000000000002</v>
      </c>
      <c r="K13" s="606" t="s">
        <v>172</v>
      </c>
      <c r="L13" s="606">
        <v>8.32</v>
      </c>
      <c r="M13" s="476"/>
      <c r="N13" s="476">
        <v>6</v>
      </c>
      <c r="O13" s="476">
        <v>0.2</v>
      </c>
      <c r="P13" s="476">
        <v>0.6</v>
      </c>
      <c r="Q13" s="476">
        <v>8</v>
      </c>
      <c r="R13" s="476">
        <v>1.17</v>
      </c>
      <c r="S13" s="476">
        <v>1</v>
      </c>
      <c r="U13" s="606" t="s">
        <v>172</v>
      </c>
      <c r="V13" s="606">
        <v>6.75</v>
      </c>
      <c r="W13" s="476"/>
      <c r="X13" s="476">
        <v>6</v>
      </c>
      <c r="Y13" s="476"/>
      <c r="Z13" s="476"/>
      <c r="AA13" s="476">
        <v>8</v>
      </c>
      <c r="AB13" s="476">
        <v>1.37</v>
      </c>
      <c r="AC13" s="476">
        <v>1.9</v>
      </c>
    </row>
    <row r="14" spans="1:29" ht="14" x14ac:dyDescent="0.3">
      <c r="A14" s="606" t="s">
        <v>171</v>
      </c>
      <c r="B14" s="606">
        <v>1.9E-2</v>
      </c>
      <c r="C14" s="476"/>
      <c r="D14" s="606" t="s">
        <v>174</v>
      </c>
      <c r="E14" s="606">
        <v>7.66</v>
      </c>
      <c r="F14" s="476"/>
      <c r="G14" s="476">
        <v>10</v>
      </c>
      <c r="H14" s="476">
        <v>1.26</v>
      </c>
      <c r="I14" s="476">
        <v>2.4</v>
      </c>
      <c r="K14" s="606" t="s">
        <v>171</v>
      </c>
      <c r="L14" s="606">
        <v>2.9000000000000001E-2</v>
      </c>
      <c r="M14" s="476"/>
      <c r="N14" s="606" t="s">
        <v>174</v>
      </c>
      <c r="O14" s="606">
        <v>7.81</v>
      </c>
      <c r="P14" s="476" t="s">
        <v>942</v>
      </c>
      <c r="Q14" s="476">
        <v>10</v>
      </c>
      <c r="R14" s="476">
        <v>1.18</v>
      </c>
      <c r="S14" s="476">
        <v>1.5</v>
      </c>
      <c r="U14" s="606" t="s">
        <v>171</v>
      </c>
      <c r="V14" s="606">
        <v>2.8000000000000001E-2</v>
      </c>
      <c r="W14" s="476"/>
      <c r="X14" s="606" t="s">
        <v>174</v>
      </c>
      <c r="Y14" s="606">
        <v>7.64</v>
      </c>
      <c r="Z14" s="476" t="s">
        <v>965</v>
      </c>
      <c r="AA14" s="476">
        <v>10</v>
      </c>
      <c r="AB14" s="476">
        <v>1.4</v>
      </c>
      <c r="AC14" s="476">
        <v>2</v>
      </c>
    </row>
    <row r="15" spans="1:29" ht="14" x14ac:dyDescent="0.3">
      <c r="A15" s="896" t="s">
        <v>718</v>
      </c>
      <c r="B15" s="897"/>
      <c r="C15" s="898"/>
      <c r="D15" s="606" t="s">
        <v>173</v>
      </c>
      <c r="E15" s="606">
        <v>16.899999999999999</v>
      </c>
      <c r="F15" s="476"/>
      <c r="G15" s="476">
        <v>12</v>
      </c>
      <c r="H15" s="476">
        <v>1.42</v>
      </c>
      <c r="I15" s="476">
        <v>2.4</v>
      </c>
      <c r="K15" s="896" t="s">
        <v>718</v>
      </c>
      <c r="L15" s="897"/>
      <c r="M15" s="898"/>
      <c r="N15" s="606" t="s">
        <v>173</v>
      </c>
      <c r="O15" s="606">
        <v>14.2</v>
      </c>
      <c r="P15" s="476"/>
      <c r="Q15" s="476">
        <v>12</v>
      </c>
      <c r="R15" s="476">
        <v>1.17</v>
      </c>
      <c r="S15" s="476">
        <v>1.8</v>
      </c>
      <c r="U15" s="896" t="s">
        <v>718</v>
      </c>
      <c r="V15" s="897"/>
      <c r="W15" s="898"/>
      <c r="X15" s="606" t="s">
        <v>173</v>
      </c>
      <c r="Y15" s="606">
        <v>11.34</v>
      </c>
      <c r="Z15" s="476"/>
      <c r="AA15" s="476">
        <v>12</v>
      </c>
      <c r="AB15" s="476">
        <v>1.41</v>
      </c>
      <c r="AC15" s="476">
        <v>2.1</v>
      </c>
    </row>
    <row r="16" spans="1:29" ht="14" x14ac:dyDescent="0.3">
      <c r="A16" s="476" t="s">
        <v>170</v>
      </c>
      <c r="B16" s="728">
        <v>0.10069444444444443</v>
      </c>
      <c r="C16" s="607" t="s">
        <v>906</v>
      </c>
      <c r="D16" s="606" t="s">
        <v>172</v>
      </c>
      <c r="E16" s="606">
        <v>6.64</v>
      </c>
      <c r="F16" s="476"/>
      <c r="G16" s="476">
        <v>14</v>
      </c>
      <c r="H16" s="476">
        <v>1.32</v>
      </c>
      <c r="I16" s="476">
        <v>2.7</v>
      </c>
      <c r="K16" s="476" t="s">
        <v>170</v>
      </c>
      <c r="L16" s="728">
        <v>0.41736111111111113</v>
      </c>
      <c r="M16" s="607"/>
      <c r="N16" s="606" t="s">
        <v>172</v>
      </c>
      <c r="O16" s="606">
        <v>6.89</v>
      </c>
      <c r="P16" s="476"/>
      <c r="Q16" s="476">
        <v>14</v>
      </c>
      <c r="R16" s="476">
        <v>1.1000000000000001</v>
      </c>
      <c r="S16" s="476">
        <v>1.6</v>
      </c>
      <c r="U16" s="476" t="s">
        <v>170</v>
      </c>
      <c r="V16" s="728">
        <v>0.41250000000000003</v>
      </c>
      <c r="W16" s="607"/>
      <c r="X16" s="606" t="s">
        <v>172</v>
      </c>
      <c r="Y16" s="606">
        <v>7.83</v>
      </c>
      <c r="Z16" s="476"/>
      <c r="AA16" s="476">
        <v>14</v>
      </c>
      <c r="AB16" s="476">
        <v>1.37</v>
      </c>
      <c r="AC16" s="476">
        <v>2.2000000000000002</v>
      </c>
    </row>
    <row r="17" spans="1:29" ht="14" x14ac:dyDescent="0.3">
      <c r="A17" s="476" t="s">
        <v>719</v>
      </c>
      <c r="B17" s="476">
        <v>10</v>
      </c>
      <c r="C17" s="476" t="s">
        <v>907</v>
      </c>
      <c r="D17" s="606" t="s">
        <v>171</v>
      </c>
      <c r="E17" s="606">
        <v>0.13100000000000001</v>
      </c>
      <c r="F17" s="476"/>
      <c r="G17" s="476">
        <v>16</v>
      </c>
      <c r="H17" s="476">
        <v>1.21</v>
      </c>
      <c r="I17" s="476">
        <v>0.7</v>
      </c>
      <c r="K17" s="476" t="s">
        <v>719</v>
      </c>
      <c r="L17" s="476">
        <v>8.6</v>
      </c>
      <c r="M17" s="476"/>
      <c r="N17" s="606" t="s">
        <v>171</v>
      </c>
      <c r="O17" s="606">
        <v>0.107</v>
      </c>
      <c r="P17" s="476"/>
      <c r="Q17" s="476">
        <v>16</v>
      </c>
      <c r="R17" s="476">
        <v>1.06</v>
      </c>
      <c r="S17" s="476">
        <v>1.4</v>
      </c>
      <c r="U17" s="476" t="s">
        <v>719</v>
      </c>
      <c r="V17" s="476">
        <v>8</v>
      </c>
      <c r="W17" s="476"/>
      <c r="X17" s="606" t="s">
        <v>171</v>
      </c>
      <c r="Y17" s="606">
        <v>0.4</v>
      </c>
      <c r="Z17" s="476"/>
      <c r="AA17" s="476">
        <v>16</v>
      </c>
      <c r="AB17" s="476">
        <v>1.28</v>
      </c>
      <c r="AC17" s="476">
        <v>2.2999999999999998</v>
      </c>
    </row>
    <row r="18" spans="1:29" ht="14" x14ac:dyDescent="0.3">
      <c r="A18" s="476" t="s">
        <v>714</v>
      </c>
      <c r="B18" s="894" t="s">
        <v>752</v>
      </c>
      <c r="C18" s="895"/>
      <c r="D18" s="899" t="s">
        <v>731</v>
      </c>
      <c r="E18" s="899"/>
      <c r="F18" s="899"/>
      <c r="G18" s="476">
        <v>18</v>
      </c>
      <c r="H18" s="476">
        <v>1.3</v>
      </c>
      <c r="I18" s="476">
        <v>2.2000000000000002</v>
      </c>
      <c r="K18" s="476" t="s">
        <v>714</v>
      </c>
      <c r="L18" s="894" t="s">
        <v>695</v>
      </c>
      <c r="M18" s="895"/>
      <c r="N18" s="899" t="s">
        <v>731</v>
      </c>
      <c r="O18" s="899"/>
      <c r="P18" s="899"/>
      <c r="Q18" s="476">
        <v>18</v>
      </c>
      <c r="R18" s="476">
        <v>0.98</v>
      </c>
      <c r="S18" s="476">
        <v>1.5</v>
      </c>
      <c r="U18" s="476" t="s">
        <v>714</v>
      </c>
      <c r="V18" s="894" t="s">
        <v>329</v>
      </c>
      <c r="W18" s="895"/>
      <c r="X18" s="899" t="s">
        <v>731</v>
      </c>
      <c r="Y18" s="899"/>
      <c r="Z18" s="899"/>
      <c r="AA18" s="476">
        <v>18</v>
      </c>
      <c r="AB18" s="476">
        <v>1.1299999999999999</v>
      </c>
      <c r="AC18" s="476">
        <v>2.1</v>
      </c>
    </row>
    <row r="19" spans="1:29" ht="14" x14ac:dyDescent="0.3">
      <c r="A19" s="476"/>
      <c r="B19" s="604" t="s">
        <v>188</v>
      </c>
      <c r="C19" s="605" t="s">
        <v>715</v>
      </c>
      <c r="D19" s="476" t="s">
        <v>170</v>
      </c>
      <c r="E19" s="728">
        <v>0.10555555555555556</v>
      </c>
      <c r="F19" s="476"/>
      <c r="G19" s="476">
        <v>20</v>
      </c>
      <c r="H19" s="476">
        <v>1.26</v>
      </c>
      <c r="I19" s="476">
        <v>1.6</v>
      </c>
      <c r="K19" s="476"/>
      <c r="L19" s="604" t="s">
        <v>188</v>
      </c>
      <c r="M19" s="605" t="s">
        <v>715</v>
      </c>
      <c r="N19" s="476" t="s">
        <v>170</v>
      </c>
      <c r="O19" s="728">
        <v>5.2083333333333336E-2</v>
      </c>
      <c r="P19" s="476"/>
      <c r="Q19" s="476">
        <v>20</v>
      </c>
      <c r="R19" s="476">
        <v>0.84</v>
      </c>
      <c r="S19" s="476">
        <v>1.3</v>
      </c>
      <c r="U19" s="476"/>
      <c r="V19" s="604" t="s">
        <v>188</v>
      </c>
      <c r="W19" s="605" t="s">
        <v>715</v>
      </c>
      <c r="X19" s="476" t="s">
        <v>170</v>
      </c>
      <c r="Y19" s="728">
        <v>0.10277777777777779</v>
      </c>
      <c r="Z19" s="476"/>
      <c r="AA19" s="476">
        <v>20</v>
      </c>
      <c r="AB19" s="476">
        <v>1.19</v>
      </c>
      <c r="AC19" s="476">
        <v>1.5</v>
      </c>
    </row>
    <row r="20" spans="1:29" ht="14" x14ac:dyDescent="0.3">
      <c r="A20" s="476">
        <v>2</v>
      </c>
      <c r="B20" s="476">
        <v>0.28000000000000003</v>
      </c>
      <c r="C20" s="476">
        <v>0.5</v>
      </c>
      <c r="D20" s="476" t="s">
        <v>719</v>
      </c>
      <c r="E20" s="476">
        <v>8</v>
      </c>
      <c r="F20" s="476"/>
      <c r="G20" s="476">
        <v>22</v>
      </c>
      <c r="H20" s="476">
        <v>0.9</v>
      </c>
      <c r="I20" s="476">
        <v>1.5</v>
      </c>
      <c r="K20" s="476">
        <v>2</v>
      </c>
      <c r="L20" s="476">
        <v>0.47</v>
      </c>
      <c r="M20" s="476">
        <v>1.3</v>
      </c>
      <c r="N20" s="476" t="s">
        <v>719</v>
      </c>
      <c r="O20" s="476">
        <v>9</v>
      </c>
      <c r="P20" s="476"/>
      <c r="Q20" s="476">
        <v>22</v>
      </c>
      <c r="R20" s="476">
        <v>0.53</v>
      </c>
      <c r="S20" s="476">
        <v>0.5</v>
      </c>
      <c r="U20" s="476">
        <v>2</v>
      </c>
      <c r="V20" s="476">
        <v>0.38</v>
      </c>
      <c r="W20" s="476">
        <v>2.6</v>
      </c>
      <c r="X20" s="476" t="s">
        <v>719</v>
      </c>
      <c r="Y20" s="476">
        <v>8</v>
      </c>
      <c r="Z20" s="476"/>
      <c r="AA20" s="476">
        <v>22</v>
      </c>
      <c r="AB20" s="476">
        <v>0.94</v>
      </c>
      <c r="AC20" s="476">
        <v>1.5</v>
      </c>
    </row>
    <row r="21" spans="1:29" ht="14" x14ac:dyDescent="0.3">
      <c r="A21" s="476">
        <v>4</v>
      </c>
      <c r="B21" s="476">
        <v>0.35</v>
      </c>
      <c r="C21" s="476">
        <v>2.1</v>
      </c>
      <c r="D21" s="476" t="s">
        <v>714</v>
      </c>
      <c r="E21" s="894" t="s">
        <v>919</v>
      </c>
      <c r="F21" s="895"/>
      <c r="G21" s="476">
        <v>24</v>
      </c>
      <c r="H21" s="476">
        <v>0.26</v>
      </c>
      <c r="I21" s="476">
        <v>0.1</v>
      </c>
      <c r="K21" s="476">
        <v>4</v>
      </c>
      <c r="L21" s="476">
        <v>0.36</v>
      </c>
      <c r="M21" s="476">
        <v>1.5</v>
      </c>
      <c r="N21" s="476" t="s">
        <v>714</v>
      </c>
      <c r="O21" s="894" t="s">
        <v>591</v>
      </c>
      <c r="P21" s="895"/>
      <c r="Q21" s="476">
        <v>24</v>
      </c>
      <c r="R21" s="476"/>
      <c r="S21" s="476"/>
      <c r="U21" s="476">
        <v>4</v>
      </c>
      <c r="V21" s="476">
        <v>0.32</v>
      </c>
      <c r="W21" s="476">
        <v>1.4</v>
      </c>
      <c r="X21" s="476" t="s">
        <v>714</v>
      </c>
      <c r="Y21" s="894" t="s">
        <v>966</v>
      </c>
      <c r="Z21" s="895"/>
      <c r="AA21" s="476">
        <v>24</v>
      </c>
      <c r="AB21" s="476">
        <v>0.6</v>
      </c>
      <c r="AC21" s="476">
        <v>0.1</v>
      </c>
    </row>
    <row r="22" spans="1:29" ht="14" x14ac:dyDescent="0.3">
      <c r="A22" s="476">
        <v>6</v>
      </c>
      <c r="B22" s="476">
        <v>0.44</v>
      </c>
      <c r="C22" s="476">
        <v>0.4</v>
      </c>
      <c r="D22" s="476"/>
      <c r="E22" s="604" t="s">
        <v>188</v>
      </c>
      <c r="F22" s="605" t="s">
        <v>715</v>
      </c>
      <c r="G22" s="476">
        <v>26</v>
      </c>
      <c r="H22" s="476"/>
      <c r="I22" s="476"/>
      <c r="K22" s="476">
        <v>6</v>
      </c>
      <c r="L22" s="476">
        <v>0.24</v>
      </c>
      <c r="M22" s="476">
        <v>0.8</v>
      </c>
      <c r="N22" s="476"/>
      <c r="O22" s="604" t="s">
        <v>188</v>
      </c>
      <c r="P22" s="605" t="s">
        <v>715</v>
      </c>
      <c r="Q22" s="476">
        <v>26</v>
      </c>
      <c r="R22" s="476"/>
      <c r="S22" s="476"/>
      <c r="U22" s="476">
        <v>6</v>
      </c>
      <c r="V22" s="476">
        <v>0.2</v>
      </c>
      <c r="W22" s="476">
        <v>0.7</v>
      </c>
      <c r="X22" s="476"/>
      <c r="Y22" s="604" t="s">
        <v>188</v>
      </c>
      <c r="Z22" s="605" t="s">
        <v>715</v>
      </c>
      <c r="AA22" s="476">
        <v>26</v>
      </c>
      <c r="AB22" s="476"/>
      <c r="AC22" s="476"/>
    </row>
    <row r="23" spans="1:29" ht="14" x14ac:dyDescent="0.3">
      <c r="A23" s="476">
        <v>8</v>
      </c>
      <c r="B23" s="476">
        <v>0.57999999999999996</v>
      </c>
      <c r="C23" s="476">
        <v>0.32</v>
      </c>
      <c r="D23" s="476">
        <v>2</v>
      </c>
      <c r="E23" s="476">
        <v>0.49</v>
      </c>
      <c r="F23" s="476">
        <v>0.6</v>
      </c>
      <c r="G23" s="476">
        <v>28</v>
      </c>
      <c r="H23" s="476"/>
      <c r="I23" s="476"/>
      <c r="K23" s="476">
        <v>8</v>
      </c>
      <c r="L23" s="476">
        <v>0.2</v>
      </c>
      <c r="M23" s="476">
        <v>1</v>
      </c>
      <c r="N23" s="476">
        <v>2</v>
      </c>
      <c r="O23" s="476">
        <v>0.81</v>
      </c>
      <c r="P23" s="476">
        <v>0.2</v>
      </c>
      <c r="Q23" s="476">
        <v>28</v>
      </c>
      <c r="R23" s="476"/>
      <c r="S23" s="476"/>
      <c r="U23" s="476">
        <v>8</v>
      </c>
      <c r="V23" s="476">
        <v>0.2</v>
      </c>
      <c r="W23" s="476">
        <v>0.8</v>
      </c>
      <c r="X23" s="476">
        <v>2</v>
      </c>
      <c r="Y23" s="476">
        <v>0.47</v>
      </c>
      <c r="Z23" s="476">
        <v>0.1</v>
      </c>
      <c r="AA23" s="476">
        <v>28</v>
      </c>
      <c r="AB23" s="476"/>
      <c r="AC23" s="476"/>
    </row>
    <row r="24" spans="1:29" ht="14" x14ac:dyDescent="0.3">
      <c r="A24" s="476">
        <v>10</v>
      </c>
      <c r="B24" s="476"/>
      <c r="C24" s="476"/>
      <c r="D24" s="476">
        <v>4</v>
      </c>
      <c r="E24" s="476">
        <v>0.77</v>
      </c>
      <c r="F24" s="476">
        <v>0.6</v>
      </c>
      <c r="G24" s="476">
        <v>30</v>
      </c>
      <c r="H24" s="476"/>
      <c r="I24" s="476"/>
      <c r="K24" s="476">
        <v>10</v>
      </c>
      <c r="L24" s="476"/>
      <c r="M24" s="476"/>
      <c r="N24" s="476">
        <v>4</v>
      </c>
      <c r="O24" s="476">
        <v>0.79</v>
      </c>
      <c r="P24" s="476">
        <v>0.5</v>
      </c>
      <c r="Q24" s="476">
        <v>30</v>
      </c>
      <c r="R24" s="476"/>
      <c r="S24" s="476"/>
      <c r="U24" s="476">
        <v>10</v>
      </c>
      <c r="V24" s="476"/>
      <c r="W24" s="476"/>
      <c r="X24" s="476">
        <v>4</v>
      </c>
      <c r="Y24" s="476">
        <v>0.73</v>
      </c>
      <c r="Z24" s="476">
        <v>0.1</v>
      </c>
      <c r="AA24" s="476">
        <v>30</v>
      </c>
      <c r="AB24" s="476"/>
      <c r="AC24" s="476"/>
    </row>
    <row r="25" spans="1:29" ht="14" x14ac:dyDescent="0.3">
      <c r="A25" s="606" t="s">
        <v>174</v>
      </c>
      <c r="B25" s="606">
        <v>7.63</v>
      </c>
      <c r="C25" s="476" t="s">
        <v>908</v>
      </c>
      <c r="D25" s="476">
        <v>6</v>
      </c>
      <c r="E25" s="476">
        <v>0.92</v>
      </c>
      <c r="F25" s="476">
        <v>0.6</v>
      </c>
      <c r="G25" s="476"/>
      <c r="H25" s="476"/>
      <c r="I25" s="476"/>
      <c r="K25" s="606" t="s">
        <v>174</v>
      </c>
      <c r="L25" s="606">
        <v>7.45</v>
      </c>
      <c r="M25" s="476" t="s">
        <v>936</v>
      </c>
      <c r="N25" s="476">
        <v>6</v>
      </c>
      <c r="O25" s="476">
        <v>0.53</v>
      </c>
      <c r="P25" s="476">
        <v>0.2</v>
      </c>
      <c r="Q25" s="476"/>
      <c r="R25" s="476"/>
      <c r="S25" s="476"/>
      <c r="U25" s="606" t="s">
        <v>174</v>
      </c>
      <c r="V25" s="606">
        <v>7.52</v>
      </c>
      <c r="W25" s="476" t="s">
        <v>959</v>
      </c>
      <c r="X25" s="476">
        <v>6</v>
      </c>
      <c r="Y25" s="476">
        <v>0.66</v>
      </c>
      <c r="Z25" s="476">
        <v>0.3</v>
      </c>
      <c r="AA25" s="476"/>
      <c r="AB25" s="476"/>
      <c r="AC25" s="476"/>
    </row>
    <row r="26" spans="1:29" ht="14" x14ac:dyDescent="0.3">
      <c r="A26" s="606" t="s">
        <v>173</v>
      </c>
      <c r="B26" s="606">
        <v>11.15</v>
      </c>
      <c r="C26" s="476"/>
      <c r="D26" s="476">
        <v>8</v>
      </c>
      <c r="E26" s="476">
        <v>0.73</v>
      </c>
      <c r="F26" s="476">
        <v>0.6</v>
      </c>
      <c r="G26" s="606" t="s">
        <v>174</v>
      </c>
      <c r="H26" s="606">
        <v>8.16</v>
      </c>
      <c r="I26" s="476" t="s">
        <v>925</v>
      </c>
      <c r="K26" s="606" t="s">
        <v>173</v>
      </c>
      <c r="L26" s="606">
        <v>9.6999999999999993</v>
      </c>
      <c r="M26" s="476"/>
      <c r="N26" s="476">
        <v>8</v>
      </c>
      <c r="O26" s="476"/>
      <c r="P26" s="476"/>
      <c r="Q26" s="606" t="s">
        <v>174</v>
      </c>
      <c r="R26" s="606">
        <v>8.2899999999999991</v>
      </c>
      <c r="S26" s="476" t="s">
        <v>949</v>
      </c>
      <c r="U26" s="606" t="s">
        <v>173</v>
      </c>
      <c r="V26" s="606">
        <v>5.62</v>
      </c>
      <c r="W26" s="476"/>
      <c r="X26" s="476">
        <v>8</v>
      </c>
      <c r="Y26" s="476">
        <v>0.41</v>
      </c>
      <c r="Z26" s="476">
        <v>0.2</v>
      </c>
      <c r="AA26" s="606" t="s">
        <v>174</v>
      </c>
      <c r="AB26" s="606">
        <v>7.9</v>
      </c>
      <c r="AC26" s="476" t="s">
        <v>975</v>
      </c>
    </row>
    <row r="27" spans="1:29" ht="14" x14ac:dyDescent="0.3">
      <c r="A27" s="606" t="s">
        <v>172</v>
      </c>
      <c r="B27" s="606">
        <v>7.02</v>
      </c>
      <c r="C27" s="476"/>
      <c r="D27" s="606" t="s">
        <v>174</v>
      </c>
      <c r="E27" s="606">
        <v>8.64</v>
      </c>
      <c r="F27" s="476" t="s">
        <v>920</v>
      </c>
      <c r="G27" s="606" t="s">
        <v>173</v>
      </c>
      <c r="H27" s="606">
        <v>20</v>
      </c>
      <c r="I27" s="476"/>
      <c r="K27" s="606" t="s">
        <v>172</v>
      </c>
      <c r="L27" s="606">
        <v>8.0500000000000007</v>
      </c>
      <c r="M27" s="476"/>
      <c r="N27" s="606" t="s">
        <v>174</v>
      </c>
      <c r="O27" s="606">
        <v>8.3000000000000007</v>
      </c>
      <c r="P27" s="476" t="s">
        <v>943</v>
      </c>
      <c r="Q27" s="606" t="s">
        <v>173</v>
      </c>
      <c r="R27" s="606">
        <v>16.600000000000001</v>
      </c>
      <c r="S27" s="476"/>
      <c r="U27" s="606" t="s">
        <v>172</v>
      </c>
      <c r="V27" s="606">
        <v>7.43</v>
      </c>
      <c r="W27" s="476"/>
      <c r="X27" s="606" t="s">
        <v>174</v>
      </c>
      <c r="Y27" s="606">
        <v>8.0299999999999994</v>
      </c>
      <c r="Z27" s="476" t="s">
        <v>967</v>
      </c>
      <c r="AA27" s="606" t="s">
        <v>173</v>
      </c>
      <c r="AB27" s="606">
        <v>14.65</v>
      </c>
      <c r="AC27" s="476"/>
    </row>
    <row r="28" spans="1:29" ht="14" x14ac:dyDescent="0.3">
      <c r="A28" s="606" t="s">
        <v>171</v>
      </c>
      <c r="B28" s="606">
        <v>1.9E-2</v>
      </c>
      <c r="C28" s="476"/>
      <c r="D28" s="606" t="s">
        <v>173</v>
      </c>
      <c r="E28" s="606">
        <v>19.7</v>
      </c>
      <c r="F28" s="476"/>
      <c r="G28" s="606" t="s">
        <v>172</v>
      </c>
      <c r="H28" s="606">
        <v>6.91</v>
      </c>
      <c r="I28" s="476"/>
      <c r="K28" s="606" t="s">
        <v>171</v>
      </c>
      <c r="L28" s="606">
        <v>2.4E-2</v>
      </c>
      <c r="M28" s="476"/>
      <c r="N28" s="606" t="s">
        <v>173</v>
      </c>
      <c r="O28" s="606">
        <v>16.5</v>
      </c>
      <c r="P28" s="476"/>
      <c r="Q28" s="606" t="s">
        <v>172</v>
      </c>
      <c r="R28" s="606">
        <v>7.23</v>
      </c>
      <c r="S28" s="476"/>
      <c r="U28" s="606" t="s">
        <v>171</v>
      </c>
      <c r="V28" s="606">
        <v>2.5000000000000001E-2</v>
      </c>
      <c r="W28" s="476"/>
      <c r="X28" s="606" t="s">
        <v>173</v>
      </c>
      <c r="Y28" s="606">
        <v>12.84</v>
      </c>
      <c r="Z28" s="476"/>
      <c r="AA28" s="606" t="s">
        <v>172</v>
      </c>
      <c r="AB28" s="606">
        <v>7.64</v>
      </c>
      <c r="AC28" s="476"/>
    </row>
    <row r="29" spans="1:29" ht="14" x14ac:dyDescent="0.3">
      <c r="A29" s="896" t="s">
        <v>720</v>
      </c>
      <c r="B29" s="897"/>
      <c r="C29" s="898"/>
      <c r="D29" s="606" t="s">
        <v>172</v>
      </c>
      <c r="E29" s="606">
        <v>7.03</v>
      </c>
      <c r="F29" s="476"/>
      <c r="G29" s="606" t="s">
        <v>171</v>
      </c>
      <c r="H29" s="606">
        <v>0.11700000000000001</v>
      </c>
      <c r="I29" s="476"/>
      <c r="K29" s="896" t="s">
        <v>720</v>
      </c>
      <c r="L29" s="897"/>
      <c r="M29" s="898"/>
      <c r="N29" s="606" t="s">
        <v>172</v>
      </c>
      <c r="O29" s="606">
        <v>6.47</v>
      </c>
      <c r="P29" s="476"/>
      <c r="Q29" s="606" t="s">
        <v>171</v>
      </c>
      <c r="R29" s="606">
        <v>8.4000000000000005E-2</v>
      </c>
      <c r="S29" s="476"/>
      <c r="U29" s="896" t="s">
        <v>720</v>
      </c>
      <c r="V29" s="897"/>
      <c r="W29" s="898"/>
      <c r="X29" s="606" t="s">
        <v>172</v>
      </c>
      <c r="Y29" s="606">
        <v>7.98</v>
      </c>
      <c r="Z29" s="476"/>
      <c r="AA29" s="606" t="s">
        <v>171</v>
      </c>
      <c r="AB29" s="606">
        <v>0.11</v>
      </c>
      <c r="AC29" s="476"/>
    </row>
    <row r="30" spans="1:29" ht="14" x14ac:dyDescent="0.3">
      <c r="A30" s="476" t="s">
        <v>170</v>
      </c>
      <c r="B30" s="607">
        <v>40740</v>
      </c>
      <c r="C30" s="476"/>
      <c r="D30" s="606" t="s">
        <v>171</v>
      </c>
      <c r="E30" s="606">
        <v>0.23400000000000001</v>
      </c>
      <c r="F30" s="476"/>
      <c r="G30" s="899" t="s">
        <v>736</v>
      </c>
      <c r="H30" s="899"/>
      <c r="I30" s="899"/>
      <c r="K30" s="476" t="s">
        <v>170</v>
      </c>
      <c r="L30" s="149">
        <v>0.5083333333333333</v>
      </c>
      <c r="N30" s="606" t="s">
        <v>171</v>
      </c>
      <c r="O30" s="606">
        <v>0.16700000000000001</v>
      </c>
      <c r="P30" s="476"/>
      <c r="Q30" s="899" t="s">
        <v>736</v>
      </c>
      <c r="R30" s="899"/>
      <c r="S30" s="899"/>
      <c r="U30" s="476" t="s">
        <v>170</v>
      </c>
      <c r="V30" s="728">
        <v>0.50624999999999998</v>
      </c>
      <c r="W30" s="476"/>
      <c r="X30" s="606" t="s">
        <v>171</v>
      </c>
      <c r="Y30" s="606">
        <v>0.219</v>
      </c>
      <c r="Z30" s="476"/>
      <c r="AA30" s="899" t="s">
        <v>736</v>
      </c>
      <c r="AB30" s="899"/>
      <c r="AC30" s="899"/>
    </row>
    <row r="31" spans="1:29" ht="14" x14ac:dyDescent="0.3">
      <c r="A31" s="476" t="s">
        <v>719</v>
      </c>
      <c r="B31" s="476">
        <v>20</v>
      </c>
      <c r="C31" s="476"/>
      <c r="D31" s="900" t="s">
        <v>732</v>
      </c>
      <c r="E31" s="901"/>
      <c r="F31" s="902"/>
      <c r="G31" s="476" t="s">
        <v>170</v>
      </c>
      <c r="H31" s="728">
        <v>0.53055555555555556</v>
      </c>
      <c r="I31" s="476"/>
      <c r="K31" s="476" t="s">
        <v>719</v>
      </c>
      <c r="L31" s="730">
        <v>17</v>
      </c>
      <c r="N31" s="900" t="s">
        <v>732</v>
      </c>
      <c r="O31" s="901"/>
      <c r="P31" s="902"/>
      <c r="Q31" s="476" t="s">
        <v>170</v>
      </c>
      <c r="R31" s="728">
        <v>0.4777777777777778</v>
      </c>
      <c r="S31" s="476"/>
      <c r="U31" s="476" t="s">
        <v>719</v>
      </c>
      <c r="V31" s="476">
        <v>18</v>
      </c>
      <c r="W31" s="476"/>
      <c r="X31" s="900" t="s">
        <v>732</v>
      </c>
      <c r="Y31" s="901"/>
      <c r="Z31" s="902"/>
      <c r="AA31" s="476" t="s">
        <v>170</v>
      </c>
      <c r="AB31" s="728">
        <v>0.52847222222222223</v>
      </c>
      <c r="AC31" s="476"/>
    </row>
    <row r="32" spans="1:29" ht="14" x14ac:dyDescent="0.3">
      <c r="A32" s="476" t="s">
        <v>714</v>
      </c>
      <c r="B32" s="894" t="s">
        <v>904</v>
      </c>
      <c r="C32" s="895"/>
      <c r="D32" s="476" t="s">
        <v>170</v>
      </c>
      <c r="E32" s="728">
        <v>0.43472222222222223</v>
      </c>
      <c r="F32" s="476"/>
      <c r="G32" s="476" t="s">
        <v>719</v>
      </c>
      <c r="H32" s="476">
        <v>27</v>
      </c>
      <c r="I32" s="476"/>
      <c r="K32" s="476" t="s">
        <v>714</v>
      </c>
      <c r="L32" t="s">
        <v>640</v>
      </c>
      <c r="N32" s="476" t="s">
        <v>170</v>
      </c>
      <c r="O32" s="728">
        <v>0.40069444444444446</v>
      </c>
      <c r="P32" s="476"/>
      <c r="Q32" s="476" t="s">
        <v>719</v>
      </c>
      <c r="R32" s="476">
        <v>26</v>
      </c>
      <c r="S32" s="476"/>
      <c r="U32" s="476" t="s">
        <v>714</v>
      </c>
      <c r="V32" s="894" t="s">
        <v>695</v>
      </c>
      <c r="W32" s="895"/>
      <c r="X32" s="476" t="s">
        <v>170</v>
      </c>
      <c r="Y32" s="728">
        <v>0.44513888888888892</v>
      </c>
      <c r="Z32" s="476"/>
      <c r="AA32" s="476" t="s">
        <v>719</v>
      </c>
      <c r="AB32" s="476">
        <v>26</v>
      </c>
      <c r="AC32" s="476"/>
    </row>
    <row r="33" spans="1:29" ht="14" x14ac:dyDescent="0.3">
      <c r="A33" s="476"/>
      <c r="B33" s="604" t="s">
        <v>188</v>
      </c>
      <c r="C33" s="605" t="s">
        <v>715</v>
      </c>
      <c r="D33" s="476" t="s">
        <v>719</v>
      </c>
      <c r="E33" s="476">
        <v>28</v>
      </c>
      <c r="F33" s="476"/>
      <c r="G33" s="476" t="s">
        <v>714</v>
      </c>
      <c r="H33" s="476" t="s">
        <v>915</v>
      </c>
      <c r="I33" s="476"/>
      <c r="K33" s="476"/>
      <c r="L33" s="604" t="s">
        <v>188</v>
      </c>
      <c r="M33" s="605" t="s">
        <v>715</v>
      </c>
      <c r="N33" s="476" t="s">
        <v>719</v>
      </c>
      <c r="O33" s="476">
        <v>25</v>
      </c>
      <c r="P33" s="476"/>
      <c r="Q33" s="476" t="s">
        <v>714</v>
      </c>
      <c r="R33" s="476" t="s">
        <v>639</v>
      </c>
      <c r="S33" s="476"/>
      <c r="U33" s="476"/>
      <c r="V33" s="604" t="s">
        <v>188</v>
      </c>
      <c r="W33" s="605" t="s">
        <v>715</v>
      </c>
      <c r="X33" s="476" t="s">
        <v>719</v>
      </c>
      <c r="Y33" s="476">
        <v>30</v>
      </c>
      <c r="Z33" s="476"/>
      <c r="AA33" s="476" t="s">
        <v>714</v>
      </c>
      <c r="AB33" s="476" t="s">
        <v>976</v>
      </c>
      <c r="AC33" s="476"/>
    </row>
    <row r="34" spans="1:29" ht="14" x14ac:dyDescent="0.3">
      <c r="A34" s="476">
        <v>2</v>
      </c>
      <c r="B34" s="82">
        <v>2.14</v>
      </c>
      <c r="C34" s="82">
        <v>1.7</v>
      </c>
      <c r="D34" s="476" t="s">
        <v>714</v>
      </c>
      <c r="E34" s="476" t="s">
        <v>921</v>
      </c>
      <c r="F34" s="729">
        <v>0.5</v>
      </c>
      <c r="G34" s="476"/>
      <c r="H34" s="604" t="s">
        <v>188</v>
      </c>
      <c r="I34" s="605" t="s">
        <v>715</v>
      </c>
      <c r="K34" s="476">
        <v>2</v>
      </c>
      <c r="L34" s="82">
        <v>0.28000000000000003</v>
      </c>
      <c r="M34" s="82">
        <v>1</v>
      </c>
      <c r="N34" s="476" t="s">
        <v>714</v>
      </c>
      <c r="O34" s="476" t="s">
        <v>691</v>
      </c>
      <c r="P34" s="476"/>
      <c r="Q34" s="476"/>
      <c r="R34" s="604" t="s">
        <v>188</v>
      </c>
      <c r="S34" s="605" t="s">
        <v>715</v>
      </c>
      <c r="U34" s="476">
        <v>2</v>
      </c>
      <c r="V34" s="476">
        <v>1.89</v>
      </c>
      <c r="W34" s="476">
        <v>0.4</v>
      </c>
      <c r="X34" s="476" t="s">
        <v>714</v>
      </c>
      <c r="Y34" s="476" t="s">
        <v>924</v>
      </c>
      <c r="Z34" s="476"/>
      <c r="AA34" s="476"/>
      <c r="AB34" s="604" t="s">
        <v>188</v>
      </c>
      <c r="AC34" s="605" t="s">
        <v>715</v>
      </c>
    </row>
    <row r="35" spans="1:29" ht="14" x14ac:dyDescent="0.3">
      <c r="A35" s="476">
        <v>4</v>
      </c>
      <c r="B35" s="82">
        <v>1.6</v>
      </c>
      <c r="C35" s="82">
        <v>1.9</v>
      </c>
      <c r="D35" s="476"/>
      <c r="E35" s="604" t="s">
        <v>188</v>
      </c>
      <c r="F35" s="605" t="s">
        <v>715</v>
      </c>
      <c r="G35" s="476">
        <v>2</v>
      </c>
      <c r="H35" s="476">
        <v>0.97</v>
      </c>
      <c r="I35" s="476">
        <v>2</v>
      </c>
      <c r="K35" s="476">
        <v>4</v>
      </c>
      <c r="L35" s="82">
        <v>0.26</v>
      </c>
      <c r="M35" s="82">
        <v>1.2</v>
      </c>
      <c r="N35" s="476"/>
      <c r="O35" s="604" t="s">
        <v>188</v>
      </c>
      <c r="P35" s="605" t="s">
        <v>715</v>
      </c>
      <c r="Q35" s="476">
        <v>2</v>
      </c>
      <c r="R35" s="476">
        <v>0.7</v>
      </c>
      <c r="S35" s="476">
        <v>0.9</v>
      </c>
      <c r="U35" s="476">
        <v>4</v>
      </c>
      <c r="V35" s="476">
        <v>1.95</v>
      </c>
      <c r="W35" s="476">
        <v>1.2</v>
      </c>
      <c r="X35" s="476"/>
      <c r="Y35" s="604" t="s">
        <v>188</v>
      </c>
      <c r="Z35" s="605" t="s">
        <v>715</v>
      </c>
      <c r="AA35" s="476">
        <v>2</v>
      </c>
      <c r="AB35" s="476">
        <v>0.7</v>
      </c>
      <c r="AC35" s="476">
        <v>1.8</v>
      </c>
    </row>
    <row r="36" spans="1:29" ht="14" x14ac:dyDescent="0.3">
      <c r="A36" s="476">
        <v>6</v>
      </c>
      <c r="B36" s="82">
        <v>1.76</v>
      </c>
      <c r="C36" s="82">
        <v>1.7</v>
      </c>
      <c r="D36" s="476">
        <v>2</v>
      </c>
      <c r="E36" s="476">
        <v>0.49</v>
      </c>
      <c r="F36" s="476">
        <v>2.8</v>
      </c>
      <c r="G36" s="476">
        <v>4</v>
      </c>
      <c r="H36" s="476">
        <v>0.92</v>
      </c>
      <c r="I36" s="476">
        <v>1.3</v>
      </c>
      <c r="K36" s="476">
        <v>6</v>
      </c>
      <c r="L36" s="82">
        <v>0.57999999999999996</v>
      </c>
      <c r="M36" s="82">
        <v>1.1000000000000001</v>
      </c>
      <c r="N36" s="476">
        <v>2</v>
      </c>
      <c r="O36" s="476">
        <v>0.61</v>
      </c>
      <c r="P36" s="476">
        <v>1.5</v>
      </c>
      <c r="Q36" s="476">
        <v>4</v>
      </c>
      <c r="R36" s="476">
        <v>0.79</v>
      </c>
      <c r="S36" s="476">
        <v>1.4</v>
      </c>
      <c r="U36" s="476">
        <v>6</v>
      </c>
      <c r="V36" s="476">
        <v>1.74</v>
      </c>
      <c r="W36" s="476">
        <v>1.3</v>
      </c>
      <c r="X36" s="476">
        <v>2</v>
      </c>
      <c r="Y36" s="476">
        <v>0.2</v>
      </c>
      <c r="Z36" s="476">
        <v>0.1</v>
      </c>
      <c r="AA36" s="476">
        <v>4</v>
      </c>
      <c r="AB36" s="476">
        <v>0.89</v>
      </c>
      <c r="AC36" s="476">
        <v>2.1</v>
      </c>
    </row>
    <row r="37" spans="1:29" ht="14" x14ac:dyDescent="0.3">
      <c r="A37" s="476">
        <v>8</v>
      </c>
      <c r="B37" s="82">
        <v>1.74</v>
      </c>
      <c r="C37" s="82">
        <v>1.2</v>
      </c>
      <c r="D37" s="476">
        <v>4</v>
      </c>
      <c r="E37" s="476">
        <v>0.86</v>
      </c>
      <c r="F37" s="476">
        <v>2.6</v>
      </c>
      <c r="G37" s="476">
        <v>6</v>
      </c>
      <c r="H37" s="476">
        <v>1.08</v>
      </c>
      <c r="I37" s="476">
        <v>2.2999999999999998</v>
      </c>
      <c r="K37" s="476">
        <v>8</v>
      </c>
      <c r="L37" s="82">
        <v>1.1200000000000001</v>
      </c>
      <c r="M37" s="82">
        <v>0.7</v>
      </c>
      <c r="N37" s="476">
        <v>4</v>
      </c>
      <c r="O37" s="476">
        <v>0.86</v>
      </c>
      <c r="P37" s="476">
        <v>1.8</v>
      </c>
      <c r="Q37" s="476">
        <v>6</v>
      </c>
      <c r="R37" s="476">
        <v>0.6</v>
      </c>
      <c r="S37" s="476">
        <v>1.8</v>
      </c>
      <c r="U37" s="476">
        <v>8</v>
      </c>
      <c r="V37" s="476">
        <v>1.62</v>
      </c>
      <c r="W37" s="476">
        <v>1</v>
      </c>
      <c r="X37" s="476">
        <v>4</v>
      </c>
      <c r="Y37" s="476">
        <v>0.41</v>
      </c>
      <c r="Z37" s="476">
        <v>1.5</v>
      </c>
      <c r="AA37" s="476">
        <v>6</v>
      </c>
      <c r="AB37" s="476">
        <v>1</v>
      </c>
      <c r="AC37" s="476">
        <v>2.1</v>
      </c>
    </row>
    <row r="38" spans="1:29" ht="14" x14ac:dyDescent="0.3">
      <c r="A38" s="476">
        <v>10</v>
      </c>
      <c r="B38" s="82">
        <v>1.55</v>
      </c>
      <c r="C38" s="82">
        <v>0.6</v>
      </c>
      <c r="D38" s="476">
        <v>6</v>
      </c>
      <c r="E38" s="476">
        <v>0.99</v>
      </c>
      <c r="F38" s="476">
        <v>2.7</v>
      </c>
      <c r="G38" s="476">
        <v>8</v>
      </c>
      <c r="H38" s="476">
        <v>1.06</v>
      </c>
      <c r="I38" s="476">
        <v>2.8</v>
      </c>
      <c r="K38" s="476">
        <v>10</v>
      </c>
      <c r="L38" s="82">
        <v>1.7</v>
      </c>
      <c r="M38" s="82">
        <v>0.9</v>
      </c>
      <c r="N38" s="476">
        <v>6</v>
      </c>
      <c r="O38" s="476">
        <v>1.2</v>
      </c>
      <c r="P38" s="476">
        <v>1.6</v>
      </c>
      <c r="Q38" s="476">
        <v>8</v>
      </c>
      <c r="R38" s="476">
        <v>0.81</v>
      </c>
      <c r="S38" s="476">
        <v>1.4</v>
      </c>
      <c r="U38" s="476">
        <v>10</v>
      </c>
      <c r="V38" s="476">
        <v>1.27</v>
      </c>
      <c r="W38" s="476">
        <v>0.8</v>
      </c>
      <c r="X38" s="476">
        <v>6</v>
      </c>
      <c r="Y38" s="476">
        <v>0.55000000000000004</v>
      </c>
      <c r="Z38" s="476">
        <v>2.1</v>
      </c>
      <c r="AA38" s="476">
        <v>8</v>
      </c>
      <c r="AB38" s="476">
        <v>0.89</v>
      </c>
      <c r="AC38" s="476">
        <v>2.2999999999999998</v>
      </c>
    </row>
    <row r="39" spans="1:29" ht="14" x14ac:dyDescent="0.3">
      <c r="A39" s="476">
        <v>12</v>
      </c>
      <c r="B39" s="82">
        <v>1.22</v>
      </c>
      <c r="C39" s="82">
        <v>0.6</v>
      </c>
      <c r="D39" s="476">
        <v>8</v>
      </c>
      <c r="E39" s="476">
        <v>1.0900000000000001</v>
      </c>
      <c r="F39" s="476">
        <v>2.6</v>
      </c>
      <c r="G39" s="476">
        <v>10</v>
      </c>
      <c r="H39" s="476">
        <v>0.87</v>
      </c>
      <c r="I39" s="476">
        <v>2.2999999999999998</v>
      </c>
      <c r="K39" s="476">
        <v>12</v>
      </c>
      <c r="L39" s="82">
        <v>1.83</v>
      </c>
      <c r="M39" s="82">
        <v>1.4</v>
      </c>
      <c r="N39" s="476">
        <v>8</v>
      </c>
      <c r="O39" s="476">
        <v>1.52</v>
      </c>
      <c r="P39" s="476">
        <v>1.6</v>
      </c>
      <c r="Q39" s="476">
        <v>10</v>
      </c>
      <c r="R39" s="476">
        <v>0.72</v>
      </c>
      <c r="S39" s="476">
        <v>1.7</v>
      </c>
      <c r="U39" s="476">
        <v>12</v>
      </c>
      <c r="V39" s="476">
        <v>0.67</v>
      </c>
      <c r="W39" s="476">
        <v>0.8</v>
      </c>
      <c r="X39" s="476">
        <v>8</v>
      </c>
      <c r="Y39" s="476">
        <v>0.78</v>
      </c>
      <c r="Z39" s="476">
        <v>2.5</v>
      </c>
      <c r="AA39" s="476">
        <v>10</v>
      </c>
      <c r="AB39" s="476">
        <v>0.75</v>
      </c>
      <c r="AC39" s="476">
        <v>2</v>
      </c>
    </row>
    <row r="40" spans="1:29" ht="14" x14ac:dyDescent="0.3">
      <c r="A40" s="476">
        <v>14</v>
      </c>
      <c r="B40" s="82">
        <v>0.92</v>
      </c>
      <c r="C40" s="82">
        <v>1.3</v>
      </c>
      <c r="D40" s="476">
        <v>10</v>
      </c>
      <c r="E40" s="476">
        <v>1.36</v>
      </c>
      <c r="F40" s="476">
        <v>2.7</v>
      </c>
      <c r="G40" s="476">
        <v>12</v>
      </c>
      <c r="H40" s="476">
        <v>0.94</v>
      </c>
      <c r="I40" s="476">
        <v>2.4</v>
      </c>
      <c r="K40" s="476">
        <v>14</v>
      </c>
      <c r="L40" s="82">
        <v>2.11</v>
      </c>
      <c r="M40" s="82">
        <v>1.2</v>
      </c>
      <c r="N40" s="476">
        <v>10</v>
      </c>
      <c r="O40" s="476">
        <v>1.41</v>
      </c>
      <c r="P40" s="476">
        <v>1.1000000000000001</v>
      </c>
      <c r="Q40" s="476">
        <v>12</v>
      </c>
      <c r="R40" s="476">
        <v>0.7</v>
      </c>
      <c r="S40" s="476">
        <v>1.5</v>
      </c>
      <c r="U40" s="476">
        <v>14</v>
      </c>
      <c r="V40" s="476">
        <v>0.32</v>
      </c>
      <c r="W40" s="476">
        <v>1.3</v>
      </c>
      <c r="X40" s="476">
        <v>10</v>
      </c>
      <c r="Y40" s="476">
        <v>0.93</v>
      </c>
      <c r="Z40" s="476">
        <v>2.1</v>
      </c>
      <c r="AA40" s="476">
        <v>12</v>
      </c>
      <c r="AB40" s="476">
        <v>0.77</v>
      </c>
      <c r="AC40" s="476">
        <v>1.2</v>
      </c>
    </row>
    <row r="41" spans="1:29" ht="14" x14ac:dyDescent="0.3">
      <c r="A41" s="476">
        <v>16</v>
      </c>
      <c r="B41" s="82">
        <v>0.37</v>
      </c>
      <c r="C41" s="82">
        <v>0.3</v>
      </c>
      <c r="D41" s="476">
        <v>12</v>
      </c>
      <c r="E41" s="476">
        <v>1.7</v>
      </c>
      <c r="F41" s="476">
        <v>2.5</v>
      </c>
      <c r="G41" s="476">
        <v>14</v>
      </c>
      <c r="H41" s="476">
        <v>0.98</v>
      </c>
      <c r="I41" s="476">
        <v>3.3</v>
      </c>
      <c r="K41" s="476">
        <v>16</v>
      </c>
      <c r="L41" s="82">
        <v>2.04</v>
      </c>
      <c r="M41" s="82">
        <v>1.1000000000000001</v>
      </c>
      <c r="N41" s="476">
        <v>12</v>
      </c>
      <c r="O41" s="476">
        <v>1.0900000000000001</v>
      </c>
      <c r="P41" s="476">
        <v>1.5</v>
      </c>
      <c r="Q41" s="476">
        <v>14</v>
      </c>
      <c r="R41" s="476">
        <v>0.8</v>
      </c>
      <c r="S41" s="476">
        <v>3.2</v>
      </c>
      <c r="U41" s="476">
        <v>16</v>
      </c>
      <c r="V41" s="476">
        <v>0.18</v>
      </c>
      <c r="W41" s="476">
        <v>1.2</v>
      </c>
      <c r="X41" s="476">
        <v>12</v>
      </c>
      <c r="Y41" s="476">
        <v>1.1599999999999999</v>
      </c>
      <c r="Z41" s="476">
        <v>2.4</v>
      </c>
      <c r="AA41" s="476">
        <v>14</v>
      </c>
      <c r="AB41" s="476">
        <v>0.6</v>
      </c>
      <c r="AC41" s="476">
        <v>2.4</v>
      </c>
    </row>
    <row r="42" spans="1:29" ht="14" x14ac:dyDescent="0.3">
      <c r="A42" s="476">
        <v>18</v>
      </c>
      <c r="B42" s="82">
        <v>0.2</v>
      </c>
      <c r="C42" s="82">
        <v>0.8</v>
      </c>
      <c r="D42" s="476">
        <v>14</v>
      </c>
      <c r="E42" s="476">
        <v>1.91</v>
      </c>
      <c r="F42" s="476">
        <v>2.1</v>
      </c>
      <c r="G42" s="476">
        <v>16</v>
      </c>
      <c r="H42" s="476">
        <v>1.0900000000000001</v>
      </c>
      <c r="I42" s="476">
        <v>2.4</v>
      </c>
      <c r="K42" s="476">
        <v>18</v>
      </c>
      <c r="L42" s="82"/>
      <c r="M42" s="82"/>
      <c r="N42" s="476">
        <v>14</v>
      </c>
      <c r="O42" s="476">
        <v>1.24</v>
      </c>
      <c r="P42" s="476">
        <v>1.3</v>
      </c>
      <c r="Q42" s="476">
        <v>16</v>
      </c>
      <c r="R42" s="476">
        <v>0.98</v>
      </c>
      <c r="S42" s="476">
        <v>1.7</v>
      </c>
      <c r="U42" s="476">
        <v>18</v>
      </c>
      <c r="V42" s="476">
        <v>0.2</v>
      </c>
      <c r="W42" s="476">
        <v>1.2</v>
      </c>
      <c r="X42" s="476">
        <v>14</v>
      </c>
      <c r="Y42" s="476">
        <v>1.66</v>
      </c>
      <c r="Z42" s="476">
        <v>2.4</v>
      </c>
      <c r="AA42" s="476">
        <v>16</v>
      </c>
      <c r="AB42" s="476">
        <v>1.08</v>
      </c>
      <c r="AC42" s="476">
        <v>2.1</v>
      </c>
    </row>
    <row r="43" spans="1:29" ht="14" x14ac:dyDescent="0.3">
      <c r="A43" s="476">
        <v>20</v>
      </c>
      <c r="B43" s="476"/>
      <c r="C43" s="476"/>
      <c r="D43" s="476">
        <v>16</v>
      </c>
      <c r="E43" s="476">
        <v>1.8</v>
      </c>
      <c r="F43" s="476">
        <v>2.2000000000000002</v>
      </c>
      <c r="G43" s="476">
        <v>18</v>
      </c>
      <c r="H43" s="476">
        <v>1.17</v>
      </c>
      <c r="I43" s="476">
        <v>2.6</v>
      </c>
      <c r="K43" s="476">
        <v>20</v>
      </c>
      <c r="L43" s="476"/>
      <c r="M43" s="476"/>
      <c r="N43" s="476">
        <v>16</v>
      </c>
      <c r="O43" s="476">
        <v>0.83</v>
      </c>
      <c r="P43" s="476">
        <v>0.2</v>
      </c>
      <c r="Q43" s="476">
        <v>18</v>
      </c>
      <c r="R43" s="731">
        <v>0.83</v>
      </c>
      <c r="S43" s="476">
        <v>1.3</v>
      </c>
      <c r="U43" s="476">
        <v>20</v>
      </c>
      <c r="V43" s="476"/>
      <c r="W43" s="476"/>
      <c r="X43" s="476">
        <v>16</v>
      </c>
      <c r="Y43" s="476">
        <v>1.7</v>
      </c>
      <c r="Z43" s="476">
        <v>0.9</v>
      </c>
      <c r="AA43" s="476">
        <v>18</v>
      </c>
      <c r="AB43" s="476">
        <v>1.07</v>
      </c>
      <c r="AC43" s="476">
        <v>2.2000000000000002</v>
      </c>
    </row>
    <row r="44" spans="1:29" ht="14" x14ac:dyDescent="0.3">
      <c r="A44" s="476">
        <v>22</v>
      </c>
      <c r="B44" s="476"/>
      <c r="C44" s="476"/>
      <c r="D44" s="476">
        <v>18</v>
      </c>
      <c r="E44" s="476">
        <v>1.57</v>
      </c>
      <c r="F44" s="476">
        <v>1.8</v>
      </c>
      <c r="G44" s="476">
        <v>20</v>
      </c>
      <c r="H44" s="476">
        <v>0.8</v>
      </c>
      <c r="I44" s="476">
        <v>3.2</v>
      </c>
      <c r="K44" s="476">
        <v>22</v>
      </c>
      <c r="L44" s="476"/>
      <c r="M44" s="476"/>
      <c r="N44" s="476">
        <v>18</v>
      </c>
      <c r="O44" s="476">
        <v>0.6</v>
      </c>
      <c r="P44" s="476">
        <v>0.5</v>
      </c>
      <c r="Q44" s="476">
        <v>20</v>
      </c>
      <c r="R44" s="476">
        <v>0.79</v>
      </c>
      <c r="S44" s="476">
        <v>2</v>
      </c>
      <c r="U44" s="476">
        <v>22</v>
      </c>
      <c r="V44" s="476"/>
      <c r="W44" s="476"/>
      <c r="X44" s="476">
        <v>18</v>
      </c>
      <c r="Y44" s="476">
        <v>1.76</v>
      </c>
      <c r="Z44" s="476">
        <v>0.7</v>
      </c>
      <c r="AA44" s="476">
        <v>20</v>
      </c>
      <c r="AB44" s="476">
        <v>1.22</v>
      </c>
      <c r="AC44" s="476">
        <v>2.2999999999999998</v>
      </c>
    </row>
    <row r="45" spans="1:29" ht="14" x14ac:dyDescent="0.3">
      <c r="A45" s="476">
        <v>24</v>
      </c>
      <c r="B45" s="476"/>
      <c r="C45" s="476"/>
      <c r="D45" s="476">
        <v>20</v>
      </c>
      <c r="E45" s="476">
        <v>1.1399999999999999</v>
      </c>
      <c r="F45" s="476">
        <v>1.9</v>
      </c>
      <c r="G45" s="476">
        <v>22</v>
      </c>
      <c r="H45" s="476">
        <v>1.34</v>
      </c>
      <c r="I45" s="476">
        <v>2.6</v>
      </c>
      <c r="K45" s="476">
        <v>24</v>
      </c>
      <c r="L45" s="476"/>
      <c r="M45" s="476"/>
      <c r="N45" s="476">
        <v>20</v>
      </c>
      <c r="O45" s="476">
        <v>0.5</v>
      </c>
      <c r="P45" s="476">
        <v>0.91</v>
      </c>
      <c r="Q45" s="476">
        <v>22</v>
      </c>
      <c r="R45" s="476">
        <v>1</v>
      </c>
      <c r="S45" s="476">
        <v>1.6</v>
      </c>
      <c r="U45" s="476">
        <v>24</v>
      </c>
      <c r="V45" s="476"/>
      <c r="W45" s="476"/>
      <c r="X45" s="476">
        <v>20</v>
      </c>
      <c r="Y45" s="476">
        <v>1.56</v>
      </c>
      <c r="Z45" s="476">
        <v>0.9</v>
      </c>
      <c r="AA45" s="476">
        <v>22</v>
      </c>
      <c r="AB45" s="476">
        <v>1.3</v>
      </c>
      <c r="AC45" s="476">
        <v>2.5</v>
      </c>
    </row>
    <row r="46" spans="1:29" ht="14" x14ac:dyDescent="0.3">
      <c r="A46" s="476">
        <v>26</v>
      </c>
      <c r="B46" s="476"/>
      <c r="C46" s="476"/>
      <c r="D46" s="476">
        <v>22</v>
      </c>
      <c r="E46" s="476">
        <v>1.1100000000000001</v>
      </c>
      <c r="F46" s="476">
        <v>1.2</v>
      </c>
      <c r="G46" s="476">
        <v>24</v>
      </c>
      <c r="H46" s="476">
        <v>1.38</v>
      </c>
      <c r="I46" s="476">
        <v>2.8</v>
      </c>
      <c r="K46" s="476">
        <v>26</v>
      </c>
      <c r="L46" s="476"/>
      <c r="M46" s="476"/>
      <c r="N46" s="476">
        <v>22</v>
      </c>
      <c r="O46" s="476"/>
      <c r="P46" s="476"/>
      <c r="Q46" s="476">
        <v>24</v>
      </c>
      <c r="R46" s="476">
        <v>1.06</v>
      </c>
      <c r="S46" s="476">
        <v>2.5</v>
      </c>
      <c r="U46" s="476">
        <v>26</v>
      </c>
      <c r="V46" s="476"/>
      <c r="W46" s="476"/>
      <c r="X46" s="476">
        <v>22</v>
      </c>
      <c r="Y46" s="476">
        <v>1.51</v>
      </c>
      <c r="Z46" s="476">
        <v>1</v>
      </c>
      <c r="AA46" s="476">
        <v>24</v>
      </c>
      <c r="AB46" s="476">
        <v>1.07</v>
      </c>
      <c r="AC46" s="476">
        <v>2.2000000000000002</v>
      </c>
    </row>
    <row r="47" spans="1:29" ht="14" x14ac:dyDescent="0.3">
      <c r="A47" s="476">
        <v>28</v>
      </c>
      <c r="B47" s="476"/>
      <c r="C47" s="476"/>
      <c r="D47" s="476">
        <v>24</v>
      </c>
      <c r="E47" s="476">
        <v>0.93</v>
      </c>
      <c r="F47" s="476">
        <v>1.2</v>
      </c>
      <c r="G47" s="476">
        <v>26</v>
      </c>
      <c r="H47" s="476">
        <v>0.68</v>
      </c>
      <c r="I47" s="476">
        <v>0.2</v>
      </c>
      <c r="K47" s="476">
        <v>28</v>
      </c>
      <c r="L47" s="476"/>
      <c r="M47" s="476"/>
      <c r="N47" s="476">
        <v>24</v>
      </c>
      <c r="O47" s="476"/>
      <c r="P47" s="476"/>
      <c r="Q47" s="476">
        <v>26</v>
      </c>
      <c r="R47" s="476">
        <v>0.38</v>
      </c>
      <c r="S47" s="476">
        <v>0.1</v>
      </c>
      <c r="U47" s="476">
        <v>28</v>
      </c>
      <c r="V47" s="476"/>
      <c r="W47" s="476"/>
      <c r="X47" s="476">
        <v>24</v>
      </c>
      <c r="Y47" s="476">
        <v>1.18</v>
      </c>
      <c r="Z47" s="476">
        <v>0.7</v>
      </c>
      <c r="AA47" s="476">
        <v>26</v>
      </c>
      <c r="AB47" s="476"/>
      <c r="AC47" s="476"/>
    </row>
    <row r="48" spans="1:29" ht="14" x14ac:dyDescent="0.3">
      <c r="A48" s="606" t="s">
        <v>174</v>
      </c>
      <c r="B48" s="606">
        <v>6.18</v>
      </c>
      <c r="C48" s="476" t="s">
        <v>911</v>
      </c>
      <c r="D48" s="476">
        <v>26</v>
      </c>
      <c r="E48" s="476">
        <v>0.69</v>
      </c>
      <c r="F48" s="476">
        <v>1.5</v>
      </c>
      <c r="G48" s="476">
        <v>28</v>
      </c>
      <c r="H48" s="476"/>
      <c r="I48" s="476"/>
      <c r="K48" s="606" t="s">
        <v>174</v>
      </c>
      <c r="L48" s="82">
        <v>7.77</v>
      </c>
      <c r="M48" s="476" t="s">
        <v>937</v>
      </c>
      <c r="N48" s="476">
        <v>26</v>
      </c>
      <c r="O48" s="476"/>
      <c r="P48" s="476"/>
      <c r="Q48" s="476">
        <v>28</v>
      </c>
      <c r="R48" s="476"/>
      <c r="S48" s="476"/>
      <c r="U48" s="606" t="s">
        <v>174</v>
      </c>
      <c r="V48" s="606">
        <v>6.94</v>
      </c>
      <c r="W48" s="476" t="s">
        <v>960</v>
      </c>
      <c r="X48" s="476">
        <v>26</v>
      </c>
      <c r="Y48" s="476">
        <v>0.81</v>
      </c>
      <c r="Z48" s="476">
        <v>1.2</v>
      </c>
      <c r="AA48" s="476">
        <v>28</v>
      </c>
      <c r="AB48" s="476"/>
      <c r="AC48" s="476"/>
    </row>
    <row r="49" spans="1:29" ht="14" x14ac:dyDescent="0.3">
      <c r="A49" s="606" t="s">
        <v>173</v>
      </c>
      <c r="B49" s="606">
        <v>9.58</v>
      </c>
      <c r="C49" s="476"/>
      <c r="D49" s="476">
        <v>28</v>
      </c>
      <c r="E49" s="476"/>
      <c r="F49" s="476"/>
      <c r="G49" s="476">
        <v>30</v>
      </c>
      <c r="H49" s="476"/>
      <c r="I49" s="476"/>
      <c r="K49" s="606" t="s">
        <v>173</v>
      </c>
      <c r="L49" s="82">
        <v>10.4</v>
      </c>
      <c r="M49" s="476"/>
      <c r="N49" s="476">
        <v>28</v>
      </c>
      <c r="O49" s="476"/>
      <c r="P49" s="476"/>
      <c r="Q49" s="476">
        <v>30</v>
      </c>
      <c r="R49" s="476"/>
      <c r="S49" s="476"/>
      <c r="U49" s="606" t="s">
        <v>173</v>
      </c>
      <c r="V49" s="606">
        <v>7.18</v>
      </c>
      <c r="W49" s="476"/>
      <c r="X49" s="476">
        <v>28</v>
      </c>
      <c r="Y49" s="476">
        <v>0.7</v>
      </c>
      <c r="Z49" s="476">
        <v>1.4</v>
      </c>
      <c r="AA49" s="476">
        <v>30</v>
      </c>
      <c r="AB49" s="476"/>
      <c r="AC49" s="476"/>
    </row>
    <row r="50" spans="1:29" ht="14" x14ac:dyDescent="0.3">
      <c r="A50" s="606" t="s">
        <v>172</v>
      </c>
      <c r="B50" s="606">
        <v>8.27</v>
      </c>
      <c r="C50" s="476"/>
      <c r="D50" s="476">
        <v>30</v>
      </c>
      <c r="E50" s="476"/>
      <c r="F50" s="476"/>
      <c r="G50" s="476"/>
      <c r="H50" s="476"/>
      <c r="I50" s="476"/>
      <c r="K50" s="606" t="s">
        <v>172</v>
      </c>
      <c r="L50" s="82">
        <v>9.1300000000000008</v>
      </c>
      <c r="M50" s="476"/>
      <c r="N50" s="476">
        <v>30</v>
      </c>
      <c r="O50" s="476"/>
      <c r="P50" s="476"/>
      <c r="Q50" s="476"/>
      <c r="R50" s="476"/>
      <c r="S50" s="476"/>
      <c r="U50" s="606" t="s">
        <v>172</v>
      </c>
      <c r="V50" s="606">
        <v>8.5</v>
      </c>
      <c r="W50" s="476"/>
      <c r="X50" s="476">
        <v>30</v>
      </c>
      <c r="Y50" s="476">
        <v>0.42</v>
      </c>
      <c r="Z50" s="476">
        <v>0.8</v>
      </c>
      <c r="AA50" s="476"/>
      <c r="AB50" s="476"/>
      <c r="AC50" s="476"/>
    </row>
    <row r="51" spans="1:29" ht="14" x14ac:dyDescent="0.3">
      <c r="A51" s="606" t="s">
        <v>171</v>
      </c>
      <c r="B51" s="606">
        <v>3.4000000000000002E-2</v>
      </c>
      <c r="C51" s="476"/>
      <c r="D51" s="476"/>
      <c r="E51" s="476"/>
      <c r="F51" s="476"/>
      <c r="G51" s="606" t="s">
        <v>174</v>
      </c>
      <c r="H51" s="606">
        <v>8.0399999999999991</v>
      </c>
      <c r="I51" s="476" t="s">
        <v>927</v>
      </c>
      <c r="K51" s="606" t="s">
        <v>171</v>
      </c>
      <c r="L51" s="82">
        <v>2.4E-2</v>
      </c>
      <c r="M51" s="476"/>
      <c r="N51" s="476"/>
      <c r="O51" s="476"/>
      <c r="P51" s="476"/>
      <c r="Q51" s="606" t="s">
        <v>174</v>
      </c>
      <c r="R51" s="606">
        <v>8.25</v>
      </c>
      <c r="S51" s="476" t="s">
        <v>950</v>
      </c>
      <c r="U51" s="606" t="s">
        <v>171</v>
      </c>
      <c r="V51" s="606">
        <v>4.2000000000000003E-2</v>
      </c>
      <c r="W51" s="476"/>
      <c r="X51" s="476"/>
      <c r="Y51" s="476"/>
      <c r="Z51" s="476"/>
      <c r="AA51" s="606" t="s">
        <v>174</v>
      </c>
      <c r="AB51" s="606">
        <v>7.76</v>
      </c>
      <c r="AC51" s="476" t="s">
        <v>977</v>
      </c>
    </row>
    <row r="52" spans="1:29" ht="14" x14ac:dyDescent="0.3">
      <c r="A52" s="900" t="s">
        <v>721</v>
      </c>
      <c r="B52" s="901"/>
      <c r="C52" s="902"/>
      <c r="D52" s="606" t="s">
        <v>174</v>
      </c>
      <c r="E52" s="606">
        <v>7.88</v>
      </c>
      <c r="F52" s="476" t="s">
        <v>922</v>
      </c>
      <c r="G52" s="606" t="s">
        <v>173</v>
      </c>
      <c r="H52" s="606">
        <v>20.7</v>
      </c>
      <c r="I52" s="476"/>
      <c r="K52" s="900" t="s">
        <v>721</v>
      </c>
      <c r="L52" s="901"/>
      <c r="M52" s="902"/>
      <c r="N52" s="606" t="s">
        <v>174</v>
      </c>
      <c r="O52" s="606">
        <v>7.85</v>
      </c>
      <c r="P52" s="476" t="s">
        <v>944</v>
      </c>
      <c r="Q52" s="606" t="s">
        <v>173</v>
      </c>
      <c r="R52" s="606">
        <v>16.899999999999999</v>
      </c>
      <c r="S52" s="476"/>
      <c r="U52" s="900" t="s">
        <v>721</v>
      </c>
      <c r="V52" s="901"/>
      <c r="W52" s="902"/>
      <c r="X52" s="606" t="s">
        <v>174</v>
      </c>
      <c r="Y52" s="606">
        <v>7.22</v>
      </c>
      <c r="Z52" s="476" t="s">
        <v>970</v>
      </c>
      <c r="AA52" s="606" t="s">
        <v>173</v>
      </c>
      <c r="AB52" s="606">
        <v>14.83</v>
      </c>
      <c r="AC52" s="476"/>
    </row>
    <row r="53" spans="1:29" ht="14" x14ac:dyDescent="0.3">
      <c r="A53" s="476" t="s">
        <v>170</v>
      </c>
      <c r="B53" s="728">
        <v>0.40972222222222227</v>
      </c>
      <c r="C53" s="476"/>
      <c r="D53" s="606" t="s">
        <v>173</v>
      </c>
      <c r="E53" s="606">
        <v>18.3</v>
      </c>
      <c r="F53" s="476"/>
      <c r="G53" s="606" t="s">
        <v>172</v>
      </c>
      <c r="H53" s="606">
        <v>6.93</v>
      </c>
      <c r="I53" s="476"/>
      <c r="K53" s="476" t="s">
        <v>170</v>
      </c>
      <c r="L53" s="728">
        <v>0.37916666666666665</v>
      </c>
      <c r="M53" s="476"/>
      <c r="N53" s="606" t="s">
        <v>173</v>
      </c>
      <c r="O53" s="606">
        <v>17.5</v>
      </c>
      <c r="P53" s="476"/>
      <c r="Q53" s="606" t="s">
        <v>172</v>
      </c>
      <c r="R53" s="606">
        <v>7.67</v>
      </c>
      <c r="S53" s="476"/>
      <c r="U53" s="476" t="s">
        <v>170</v>
      </c>
      <c r="V53" s="728">
        <v>0.4236111111111111</v>
      </c>
      <c r="W53" s="476"/>
      <c r="X53" s="606" t="s">
        <v>173</v>
      </c>
      <c r="Y53" s="606">
        <v>14.73</v>
      </c>
      <c r="Z53" s="476"/>
      <c r="AA53" s="606" t="s">
        <v>172</v>
      </c>
      <c r="AB53" s="606">
        <v>7.59</v>
      </c>
      <c r="AC53" s="476"/>
    </row>
    <row r="54" spans="1:29" ht="14" x14ac:dyDescent="0.3">
      <c r="A54" s="476" t="s">
        <v>719</v>
      </c>
      <c r="B54" s="476" t="s">
        <v>912</v>
      </c>
      <c r="C54" s="476"/>
      <c r="D54" s="606" t="s">
        <v>172</v>
      </c>
      <c r="E54" s="606">
        <v>6.97</v>
      </c>
      <c r="F54" s="476"/>
      <c r="G54" s="606" t="s">
        <v>171</v>
      </c>
      <c r="H54" s="606">
        <v>0.19500000000000001</v>
      </c>
      <c r="I54" s="476"/>
      <c r="K54" s="476" t="s">
        <v>719</v>
      </c>
      <c r="L54" s="476" t="s">
        <v>938</v>
      </c>
      <c r="M54" s="476"/>
      <c r="N54" s="606" t="s">
        <v>172</v>
      </c>
      <c r="O54" s="606">
        <v>6.63</v>
      </c>
      <c r="P54" s="476"/>
      <c r="Q54" s="606" t="s">
        <v>171</v>
      </c>
      <c r="R54" s="606">
        <v>0.108</v>
      </c>
      <c r="S54" s="476"/>
      <c r="U54" s="476" t="s">
        <v>719</v>
      </c>
      <c r="V54" s="476" t="s">
        <v>938</v>
      </c>
      <c r="W54" s="476"/>
      <c r="X54" s="606" t="s">
        <v>172</v>
      </c>
      <c r="Y54" s="606">
        <v>7.51</v>
      </c>
      <c r="Z54" s="476"/>
      <c r="AA54" s="606" t="s">
        <v>171</v>
      </c>
      <c r="AB54" s="606">
        <v>0.111</v>
      </c>
      <c r="AC54" s="476"/>
    </row>
    <row r="55" spans="1:29" ht="14" x14ac:dyDescent="0.3">
      <c r="A55" s="476" t="s">
        <v>714</v>
      </c>
      <c r="B55" s="476" t="s">
        <v>541</v>
      </c>
      <c r="C55" s="476"/>
      <c r="D55" s="606" t="s">
        <v>171</v>
      </c>
      <c r="E55" s="606">
        <v>9.2999999999999999E-2</v>
      </c>
      <c r="F55" s="476"/>
      <c r="G55" s="899" t="s">
        <v>737</v>
      </c>
      <c r="H55" s="899"/>
      <c r="I55" s="899"/>
      <c r="K55" s="476" t="s">
        <v>714</v>
      </c>
      <c r="L55" s="476" t="s">
        <v>640</v>
      </c>
      <c r="M55" s="476"/>
      <c r="N55" s="606" t="s">
        <v>171</v>
      </c>
      <c r="O55" s="606">
        <v>6.6000000000000003E-2</v>
      </c>
      <c r="P55" s="476"/>
      <c r="Q55" s="899" t="s">
        <v>737</v>
      </c>
      <c r="R55" s="899"/>
      <c r="S55" s="899"/>
      <c r="U55" s="476" t="s">
        <v>714</v>
      </c>
      <c r="V55" s="476" t="s">
        <v>695</v>
      </c>
      <c r="W55" s="476"/>
      <c r="X55" s="606" t="s">
        <v>171</v>
      </c>
      <c r="Y55" s="606">
        <v>7.8E-2</v>
      </c>
      <c r="Z55" s="476"/>
      <c r="AA55" s="899" t="s">
        <v>737</v>
      </c>
      <c r="AB55" s="899"/>
      <c r="AC55" s="899"/>
    </row>
    <row r="56" spans="1:29" ht="14" x14ac:dyDescent="0.3">
      <c r="A56" s="605"/>
      <c r="B56" s="604" t="s">
        <v>188</v>
      </c>
      <c r="C56" s="605" t="s">
        <v>715</v>
      </c>
      <c r="D56" s="899" t="s">
        <v>733</v>
      </c>
      <c r="E56" s="899"/>
      <c r="F56" s="899"/>
      <c r="G56" s="476" t="s">
        <v>170</v>
      </c>
      <c r="H56" s="728">
        <v>5.0694444444444452E-2</v>
      </c>
      <c r="I56" s="476"/>
      <c r="K56" s="605"/>
      <c r="L56" s="604" t="s">
        <v>188</v>
      </c>
      <c r="M56" s="605" t="s">
        <v>715</v>
      </c>
      <c r="N56" s="899" t="s">
        <v>733</v>
      </c>
      <c r="O56" s="899"/>
      <c r="P56" s="899"/>
      <c r="Q56" s="476" t="s">
        <v>170</v>
      </c>
      <c r="R56" s="728">
        <v>0.49236111111111108</v>
      </c>
      <c r="S56" s="476"/>
      <c r="U56" s="605"/>
      <c r="V56" s="604" t="s">
        <v>188</v>
      </c>
      <c r="W56" s="605" t="s">
        <v>715</v>
      </c>
      <c r="X56" s="899" t="s">
        <v>733</v>
      </c>
      <c r="Y56" s="899"/>
      <c r="Z56" s="899"/>
      <c r="AA56" s="476" t="s">
        <v>170</v>
      </c>
      <c r="AB56" s="728">
        <v>4.3055555555555562E-2</v>
      </c>
      <c r="AC56" s="476"/>
    </row>
    <row r="57" spans="1:29" ht="14" x14ac:dyDescent="0.3">
      <c r="A57" s="476">
        <v>1</v>
      </c>
      <c r="B57" s="476">
        <v>0.6</v>
      </c>
      <c r="C57" s="476">
        <v>4.3</v>
      </c>
      <c r="D57" s="476" t="s">
        <v>170</v>
      </c>
      <c r="E57" s="728">
        <v>0.4513888888888889</v>
      </c>
      <c r="F57" s="476"/>
      <c r="G57" s="476" t="s">
        <v>719</v>
      </c>
      <c r="H57" s="476">
        <v>20</v>
      </c>
      <c r="I57" s="476"/>
      <c r="K57" s="476">
        <v>1</v>
      </c>
      <c r="L57" s="476">
        <v>0.54</v>
      </c>
      <c r="M57" s="476">
        <v>4.2</v>
      </c>
      <c r="N57" s="476" t="s">
        <v>170</v>
      </c>
      <c r="O57" s="728">
        <v>0.40833333333333338</v>
      </c>
      <c r="P57" s="476"/>
      <c r="Q57" s="476" t="s">
        <v>719</v>
      </c>
      <c r="R57" s="476">
        <v>17</v>
      </c>
      <c r="S57" s="476"/>
      <c r="U57" s="476">
        <v>1</v>
      </c>
      <c r="V57" s="476">
        <v>0.56999999999999995</v>
      </c>
      <c r="W57" s="476">
        <v>4.7</v>
      </c>
      <c r="X57" s="476" t="s">
        <v>170</v>
      </c>
      <c r="Y57" s="728">
        <v>0.45763888888888887</v>
      </c>
      <c r="Z57" s="476"/>
      <c r="AA57" s="476" t="s">
        <v>719</v>
      </c>
      <c r="AB57" s="476">
        <v>19</v>
      </c>
      <c r="AC57" s="476"/>
    </row>
    <row r="58" spans="1:29" ht="14" x14ac:dyDescent="0.3">
      <c r="A58" s="476">
        <v>2</v>
      </c>
      <c r="B58" s="476"/>
      <c r="C58" s="476"/>
      <c r="D58" s="476" t="s">
        <v>719</v>
      </c>
      <c r="E58" s="476">
        <v>27</v>
      </c>
      <c r="F58" s="476"/>
      <c r="G58" s="476" t="s">
        <v>714</v>
      </c>
      <c r="H58" s="476" t="s">
        <v>928</v>
      </c>
      <c r="I58" s="476"/>
      <c r="K58" s="476">
        <v>2</v>
      </c>
      <c r="L58" s="476"/>
      <c r="M58" s="476"/>
      <c r="N58" s="476" t="s">
        <v>719</v>
      </c>
      <c r="O58" s="476">
        <v>28</v>
      </c>
      <c r="P58" s="476">
        <v>4.46</v>
      </c>
      <c r="Q58" s="476" t="s">
        <v>714</v>
      </c>
      <c r="R58" s="476" t="s">
        <v>639</v>
      </c>
      <c r="S58" s="476"/>
      <c r="U58" s="476">
        <v>2</v>
      </c>
      <c r="V58" s="476"/>
      <c r="W58" s="476"/>
      <c r="X58" s="476" t="s">
        <v>719</v>
      </c>
      <c r="Y58" s="476">
        <v>28</v>
      </c>
      <c r="Z58" s="476"/>
      <c r="AA58" s="476" t="s">
        <v>714</v>
      </c>
      <c r="AB58" s="476" t="s">
        <v>976</v>
      </c>
      <c r="AC58" s="476"/>
    </row>
    <row r="59" spans="1:29" ht="14" x14ac:dyDescent="0.3">
      <c r="A59" s="476">
        <v>3</v>
      </c>
      <c r="B59" s="476"/>
      <c r="C59" s="476"/>
      <c r="D59" s="476" t="s">
        <v>714</v>
      </c>
      <c r="E59" s="476" t="s">
        <v>921</v>
      </c>
      <c r="F59" s="729">
        <v>0.5</v>
      </c>
      <c r="G59" s="476"/>
      <c r="H59" s="604" t="s">
        <v>188</v>
      </c>
      <c r="I59" s="605" t="s">
        <v>715</v>
      </c>
      <c r="K59" s="476">
        <v>3</v>
      </c>
      <c r="L59" s="476"/>
      <c r="M59" s="476"/>
      <c r="N59" s="476" t="s">
        <v>714</v>
      </c>
      <c r="O59" s="476" t="s">
        <v>945</v>
      </c>
      <c r="P59" s="476"/>
      <c r="Q59" s="476"/>
      <c r="R59" s="604" t="s">
        <v>188</v>
      </c>
      <c r="S59" s="605" t="s">
        <v>715</v>
      </c>
      <c r="U59" s="476">
        <v>3</v>
      </c>
      <c r="V59" s="476"/>
      <c r="W59" s="476"/>
      <c r="X59" s="476" t="s">
        <v>714</v>
      </c>
      <c r="Y59" s="476" t="s">
        <v>971</v>
      </c>
      <c r="Z59" s="476"/>
      <c r="AA59" s="476"/>
      <c r="AB59" s="604" t="s">
        <v>188</v>
      </c>
      <c r="AC59" s="605" t="s">
        <v>715</v>
      </c>
    </row>
    <row r="60" spans="1:29" ht="14" x14ac:dyDescent="0.3">
      <c r="A60" s="606" t="s">
        <v>174</v>
      </c>
      <c r="B60" s="606">
        <v>7.77</v>
      </c>
      <c r="C60" s="476" t="s">
        <v>914</v>
      </c>
      <c r="D60" s="476"/>
      <c r="E60" s="604" t="s">
        <v>188</v>
      </c>
      <c r="F60" s="605" t="s">
        <v>715</v>
      </c>
      <c r="G60" s="476">
        <v>2</v>
      </c>
      <c r="H60" s="476">
        <v>1.06</v>
      </c>
      <c r="I60" s="476">
        <v>2.2999999999999998</v>
      </c>
      <c r="K60" s="606" t="s">
        <v>174</v>
      </c>
      <c r="L60" s="606">
        <v>7.77</v>
      </c>
      <c r="M60" s="476" t="s">
        <v>939</v>
      </c>
      <c r="N60" s="476"/>
      <c r="O60" s="604" t="s">
        <v>188</v>
      </c>
      <c r="P60" s="605" t="s">
        <v>715</v>
      </c>
      <c r="Q60" s="476">
        <v>2</v>
      </c>
      <c r="R60" s="476">
        <v>1.04</v>
      </c>
      <c r="S60" s="476">
        <v>1.8</v>
      </c>
      <c r="U60" s="606" t="s">
        <v>174</v>
      </c>
      <c r="V60" s="606">
        <v>7.6</v>
      </c>
      <c r="W60" s="476" t="s">
        <v>961</v>
      </c>
      <c r="X60" s="476"/>
      <c r="Y60" s="604" t="s">
        <v>188</v>
      </c>
      <c r="Z60" s="605" t="s">
        <v>715</v>
      </c>
      <c r="AA60" s="476">
        <v>2</v>
      </c>
      <c r="AB60" s="476">
        <v>1</v>
      </c>
      <c r="AC60" s="476">
        <v>1.5</v>
      </c>
    </row>
    <row r="61" spans="1:29" ht="14" x14ac:dyDescent="0.3">
      <c r="A61" s="606" t="s">
        <v>173</v>
      </c>
      <c r="B61" s="606">
        <v>13</v>
      </c>
      <c r="C61" s="476"/>
      <c r="D61" s="476">
        <v>2</v>
      </c>
      <c r="E61" s="476">
        <v>0.27</v>
      </c>
      <c r="F61" s="476">
        <v>0.2</v>
      </c>
      <c r="G61" s="476">
        <v>4</v>
      </c>
      <c r="H61" s="476">
        <v>1.38</v>
      </c>
      <c r="I61" s="476">
        <v>1.6</v>
      </c>
      <c r="K61" s="606" t="s">
        <v>173</v>
      </c>
      <c r="L61" s="606">
        <v>9.6999999999999993</v>
      </c>
      <c r="M61" s="476"/>
      <c r="N61" s="476">
        <v>2</v>
      </c>
      <c r="O61" s="476">
        <v>0.34</v>
      </c>
      <c r="P61" s="476">
        <v>1.4</v>
      </c>
      <c r="Q61" s="476">
        <v>4</v>
      </c>
      <c r="R61" s="476">
        <v>1.29</v>
      </c>
      <c r="S61" s="476">
        <v>0.5</v>
      </c>
      <c r="U61" s="606" t="s">
        <v>173</v>
      </c>
      <c r="V61" s="606">
        <v>9.23</v>
      </c>
      <c r="W61" s="476"/>
      <c r="X61" s="476">
        <v>2</v>
      </c>
      <c r="Y61" s="476">
        <v>0.28999999999999998</v>
      </c>
      <c r="Z61" s="476">
        <v>0.2</v>
      </c>
      <c r="AA61" s="476">
        <v>4</v>
      </c>
      <c r="AB61" s="476">
        <v>1.4</v>
      </c>
      <c r="AC61" s="476">
        <v>1.5</v>
      </c>
    </row>
    <row r="62" spans="1:29" ht="14" x14ac:dyDescent="0.3">
      <c r="A62" s="606" t="s">
        <v>172</v>
      </c>
      <c r="B62" s="606">
        <v>7.65</v>
      </c>
      <c r="C62" s="476"/>
      <c r="D62" s="476">
        <v>4</v>
      </c>
      <c r="E62" s="476">
        <v>0.59</v>
      </c>
      <c r="F62" s="476">
        <v>1.4</v>
      </c>
      <c r="G62" s="476">
        <v>6</v>
      </c>
      <c r="H62" s="476">
        <v>1.4</v>
      </c>
      <c r="I62" s="476">
        <v>1.5</v>
      </c>
      <c r="K62" s="606" t="s">
        <v>172</v>
      </c>
      <c r="L62" s="606">
        <v>7.67</v>
      </c>
      <c r="M62" s="476"/>
      <c r="N62" s="476">
        <v>4</v>
      </c>
      <c r="O62" s="476">
        <v>0.52</v>
      </c>
      <c r="P62" s="476">
        <v>1.6</v>
      </c>
      <c r="Q62" s="476">
        <v>6</v>
      </c>
      <c r="R62" s="476">
        <v>0.98</v>
      </c>
      <c r="S62" s="476">
        <v>0.7</v>
      </c>
      <c r="U62" s="606" t="s">
        <v>172</v>
      </c>
      <c r="V62" s="606">
        <v>8.48</v>
      </c>
      <c r="W62" s="476"/>
      <c r="X62" s="476">
        <v>4</v>
      </c>
      <c r="Y62" s="476">
        <v>0.51</v>
      </c>
      <c r="Z62" s="476">
        <v>1.5</v>
      </c>
      <c r="AA62" s="476">
        <v>6</v>
      </c>
      <c r="AB62" s="476">
        <v>1.27</v>
      </c>
      <c r="AC62" s="476">
        <v>1.6</v>
      </c>
    </row>
    <row r="63" spans="1:29" ht="14" x14ac:dyDescent="0.3">
      <c r="A63" s="606" t="s">
        <v>171</v>
      </c>
      <c r="B63" s="606">
        <v>7.1999999999999995E-2</v>
      </c>
      <c r="C63" s="476"/>
      <c r="D63" s="476">
        <v>6</v>
      </c>
      <c r="E63" s="476">
        <v>0.93</v>
      </c>
      <c r="F63" s="476">
        <v>1.8</v>
      </c>
      <c r="G63" s="476">
        <v>8</v>
      </c>
      <c r="H63" s="476">
        <v>1.4</v>
      </c>
      <c r="I63" s="476">
        <v>3</v>
      </c>
      <c r="K63" s="606" t="s">
        <v>171</v>
      </c>
      <c r="L63" s="606">
        <v>5.3999999999999999E-2</v>
      </c>
      <c r="M63" s="476"/>
      <c r="N63" s="476">
        <v>6</v>
      </c>
      <c r="O63" s="476">
        <v>0.88</v>
      </c>
      <c r="P63" s="476">
        <v>1.8</v>
      </c>
      <c r="Q63" s="476">
        <v>8</v>
      </c>
      <c r="R63" s="476">
        <v>1.0900000000000001</v>
      </c>
      <c r="S63" s="476">
        <v>1</v>
      </c>
      <c r="U63" s="606" t="s">
        <v>171</v>
      </c>
      <c r="V63" s="606">
        <v>7.1999999999999995E-2</v>
      </c>
      <c r="W63" s="476"/>
      <c r="X63" s="476">
        <v>6</v>
      </c>
      <c r="Y63" s="476">
        <v>0.71</v>
      </c>
      <c r="Z63" s="476">
        <v>1.8</v>
      </c>
      <c r="AA63" s="476">
        <v>8</v>
      </c>
      <c r="AB63" s="476">
        <v>1.37</v>
      </c>
      <c r="AC63" s="476">
        <v>2.4</v>
      </c>
    </row>
    <row r="64" spans="1:29" ht="14" x14ac:dyDescent="0.3">
      <c r="A64" s="899" t="s">
        <v>726</v>
      </c>
      <c r="B64" s="899"/>
      <c r="C64" s="899"/>
      <c r="D64" s="476">
        <v>8</v>
      </c>
      <c r="E64" s="476">
        <v>1.2</v>
      </c>
      <c r="F64" s="476">
        <v>2.2000000000000002</v>
      </c>
      <c r="G64" s="476">
        <v>10</v>
      </c>
      <c r="H64" s="476">
        <v>1.4</v>
      </c>
      <c r="I64" s="476">
        <v>2.6</v>
      </c>
      <c r="K64" s="899" t="s">
        <v>726</v>
      </c>
      <c r="L64" s="899"/>
      <c r="M64" s="899"/>
      <c r="N64" s="476">
        <v>8</v>
      </c>
      <c r="O64" s="476">
        <v>1.1599999999999999</v>
      </c>
      <c r="P64" s="476">
        <v>2.2999999999999998</v>
      </c>
      <c r="Q64" s="476">
        <v>10</v>
      </c>
      <c r="R64" s="476">
        <v>1.1399999999999999</v>
      </c>
      <c r="S64" s="476">
        <v>1.2</v>
      </c>
      <c r="U64" s="899" t="s">
        <v>726</v>
      </c>
      <c r="V64" s="899"/>
      <c r="W64" s="899"/>
      <c r="X64" s="476">
        <v>8</v>
      </c>
      <c r="Y64" s="476">
        <v>1.1299999999999999</v>
      </c>
      <c r="Z64" s="476">
        <v>1.9</v>
      </c>
      <c r="AA64" s="476">
        <v>10</v>
      </c>
      <c r="AB64" s="476">
        <v>1.1000000000000001</v>
      </c>
      <c r="AC64" s="476">
        <v>3</v>
      </c>
    </row>
    <row r="65" spans="1:29" ht="14" x14ac:dyDescent="0.3">
      <c r="A65" s="476" t="s">
        <v>170</v>
      </c>
      <c r="B65" s="728">
        <v>0.3888888888888889</v>
      </c>
      <c r="C65" s="607"/>
      <c r="D65" s="476">
        <v>10</v>
      </c>
      <c r="E65" s="476">
        <v>1.37</v>
      </c>
      <c r="F65" s="476">
        <v>3.8</v>
      </c>
      <c r="G65" s="476">
        <v>12</v>
      </c>
      <c r="H65" s="476">
        <v>1.53</v>
      </c>
      <c r="I65" s="476">
        <v>2.7</v>
      </c>
      <c r="K65" s="476" t="s">
        <v>170</v>
      </c>
      <c r="L65" s="728">
        <v>0.36805555555555558</v>
      </c>
      <c r="M65" s="607"/>
      <c r="N65" s="476">
        <v>10</v>
      </c>
      <c r="O65" s="476">
        <v>1.23</v>
      </c>
      <c r="P65" s="476">
        <v>1.8</v>
      </c>
      <c r="Q65" s="476">
        <v>12</v>
      </c>
      <c r="R65" s="476">
        <v>1.18</v>
      </c>
      <c r="S65" s="476">
        <v>0.9</v>
      </c>
      <c r="U65" s="476" t="s">
        <v>170</v>
      </c>
      <c r="V65" s="728">
        <v>0.4069444444444445</v>
      </c>
      <c r="W65" s="607"/>
      <c r="X65" s="476">
        <v>10</v>
      </c>
      <c r="Y65" s="476">
        <v>1.3</v>
      </c>
      <c r="Z65" s="476">
        <v>2.4</v>
      </c>
      <c r="AA65" s="476">
        <v>12</v>
      </c>
      <c r="AB65" s="476">
        <v>1.46</v>
      </c>
      <c r="AC65" s="476">
        <v>1.2</v>
      </c>
    </row>
    <row r="66" spans="1:29" ht="14" x14ac:dyDescent="0.3">
      <c r="A66" s="476" t="s">
        <v>719</v>
      </c>
      <c r="B66" s="476">
        <v>20</v>
      </c>
      <c r="C66" s="476"/>
      <c r="D66" s="476">
        <v>12</v>
      </c>
      <c r="E66" s="476">
        <v>1.4</v>
      </c>
      <c r="F66" s="476">
        <v>1.7</v>
      </c>
      <c r="G66" s="476">
        <v>14</v>
      </c>
      <c r="H66" s="476">
        <v>1.5</v>
      </c>
      <c r="I66" s="476">
        <v>2.2999999999999998</v>
      </c>
      <c r="K66" s="476" t="s">
        <v>719</v>
      </c>
      <c r="L66" s="476">
        <v>18</v>
      </c>
      <c r="M66" s="476"/>
      <c r="N66" s="476">
        <v>12</v>
      </c>
      <c r="O66" s="476">
        <v>0.75</v>
      </c>
      <c r="P66" s="476">
        <v>1.2</v>
      </c>
      <c r="Q66" s="476">
        <v>14</v>
      </c>
      <c r="R66" s="476">
        <v>0.96</v>
      </c>
      <c r="S66" s="476">
        <v>1</v>
      </c>
      <c r="U66" s="476" t="s">
        <v>719</v>
      </c>
      <c r="V66" s="476">
        <v>19</v>
      </c>
      <c r="W66" s="476"/>
      <c r="X66" s="476">
        <v>12</v>
      </c>
      <c r="Y66" s="476">
        <v>1.32</v>
      </c>
      <c r="Z66" s="476">
        <v>1.8</v>
      </c>
      <c r="AA66" s="476">
        <v>14</v>
      </c>
      <c r="AB66" s="476">
        <v>1.46</v>
      </c>
      <c r="AC66" s="476">
        <v>1.5</v>
      </c>
    </row>
    <row r="67" spans="1:29" ht="14" x14ac:dyDescent="0.3">
      <c r="A67" s="476" t="s">
        <v>714</v>
      </c>
      <c r="B67" s="476" t="s">
        <v>801</v>
      </c>
      <c r="C67" s="729">
        <v>0.25</v>
      </c>
      <c r="D67" s="476">
        <v>14</v>
      </c>
      <c r="E67" s="476">
        <v>1.32</v>
      </c>
      <c r="F67" s="476">
        <v>1.4</v>
      </c>
      <c r="G67" s="476">
        <v>16</v>
      </c>
      <c r="H67" s="476">
        <v>1.49</v>
      </c>
      <c r="I67" s="476">
        <v>2</v>
      </c>
      <c r="K67" s="476" t="s">
        <v>714</v>
      </c>
      <c r="L67" s="476" t="s">
        <v>591</v>
      </c>
      <c r="M67" s="476"/>
      <c r="N67" s="476">
        <v>14</v>
      </c>
      <c r="O67" s="476">
        <v>1.21</v>
      </c>
      <c r="P67" s="476">
        <v>1.1000000000000001</v>
      </c>
      <c r="Q67" s="476">
        <v>16</v>
      </c>
      <c r="R67" s="476">
        <v>1.06</v>
      </c>
      <c r="S67" s="476">
        <v>1.4</v>
      </c>
      <c r="U67" s="476" t="s">
        <v>714</v>
      </c>
      <c r="V67" s="476" t="s">
        <v>962</v>
      </c>
      <c r="W67" s="476"/>
      <c r="X67" s="476">
        <v>14</v>
      </c>
      <c r="Y67" s="476">
        <v>1.38</v>
      </c>
      <c r="Z67" s="476">
        <v>1.8</v>
      </c>
      <c r="AA67" s="476">
        <v>16</v>
      </c>
      <c r="AB67" s="476">
        <v>1.49</v>
      </c>
      <c r="AC67" s="476">
        <v>2</v>
      </c>
    </row>
    <row r="68" spans="1:29" ht="14" x14ac:dyDescent="0.3">
      <c r="A68" s="476"/>
      <c r="B68" s="604" t="s">
        <v>188</v>
      </c>
      <c r="C68" s="605" t="s">
        <v>715</v>
      </c>
      <c r="D68" s="476">
        <v>16</v>
      </c>
      <c r="E68" s="476">
        <v>1.29</v>
      </c>
      <c r="F68" s="476">
        <v>1.2</v>
      </c>
      <c r="G68" s="476">
        <v>18</v>
      </c>
      <c r="H68" s="476">
        <v>1.18</v>
      </c>
      <c r="I68" s="476">
        <v>1.9</v>
      </c>
      <c r="K68" s="476"/>
      <c r="L68" s="604" t="s">
        <v>188</v>
      </c>
      <c r="M68" s="605" t="s">
        <v>715</v>
      </c>
      <c r="N68" s="476">
        <v>16</v>
      </c>
      <c r="O68" s="476">
        <v>1.17</v>
      </c>
      <c r="P68" s="476">
        <v>0.5</v>
      </c>
      <c r="Q68" s="476">
        <v>18</v>
      </c>
      <c r="R68" s="476"/>
      <c r="S68" s="476"/>
      <c r="U68" s="476"/>
      <c r="V68" s="604" t="s">
        <v>188</v>
      </c>
      <c r="W68" s="605" t="s">
        <v>715</v>
      </c>
      <c r="X68" s="476">
        <v>16</v>
      </c>
      <c r="Y68" s="476">
        <v>1.38</v>
      </c>
      <c r="Z68" s="476">
        <v>2.1</v>
      </c>
      <c r="AA68" s="476">
        <v>18</v>
      </c>
      <c r="AB68" s="476">
        <v>1.18</v>
      </c>
      <c r="AC68" s="476">
        <v>1.5</v>
      </c>
    </row>
    <row r="69" spans="1:29" ht="14" x14ac:dyDescent="0.3">
      <c r="A69" s="476">
        <v>2</v>
      </c>
      <c r="B69" s="476">
        <v>0.6</v>
      </c>
      <c r="C69" s="476">
        <v>1.7</v>
      </c>
      <c r="D69" s="476">
        <v>18</v>
      </c>
      <c r="E69" s="476">
        <v>1.22</v>
      </c>
      <c r="F69" s="476">
        <v>0.9</v>
      </c>
      <c r="G69" s="476">
        <v>20</v>
      </c>
      <c r="H69" s="476"/>
      <c r="I69" s="476"/>
      <c r="K69" s="476">
        <v>2</v>
      </c>
      <c r="L69" s="476">
        <v>0.53</v>
      </c>
      <c r="M69" s="476">
        <v>0.8</v>
      </c>
      <c r="N69" s="476">
        <v>18</v>
      </c>
      <c r="O69" s="476">
        <v>1.0900000000000001</v>
      </c>
      <c r="P69" s="476">
        <v>0.8</v>
      </c>
      <c r="Q69" s="476">
        <v>20</v>
      </c>
      <c r="R69" s="476"/>
      <c r="S69" s="476"/>
      <c r="U69" s="476">
        <v>2</v>
      </c>
      <c r="V69" s="476">
        <v>0.34</v>
      </c>
      <c r="W69" s="476">
        <v>0.6</v>
      </c>
      <c r="X69" s="476">
        <v>18</v>
      </c>
      <c r="Y69" s="476">
        <v>1.2</v>
      </c>
      <c r="Z69" s="476">
        <v>0.8</v>
      </c>
      <c r="AA69" s="476">
        <v>20</v>
      </c>
      <c r="AB69" s="476"/>
      <c r="AC69" s="476"/>
    </row>
    <row r="70" spans="1:29" ht="14" x14ac:dyDescent="0.3">
      <c r="A70" s="476">
        <v>4</v>
      </c>
      <c r="B70" s="476">
        <v>1.36</v>
      </c>
      <c r="C70" s="476">
        <v>3.4</v>
      </c>
      <c r="D70" s="476">
        <v>20</v>
      </c>
      <c r="E70" s="476">
        <v>1.51</v>
      </c>
      <c r="F70" s="476">
        <v>1.5</v>
      </c>
      <c r="G70" s="476">
        <v>22</v>
      </c>
      <c r="H70" s="476"/>
      <c r="I70" s="476"/>
      <c r="K70" s="476">
        <v>4</v>
      </c>
      <c r="L70" s="476">
        <v>0.81</v>
      </c>
      <c r="M70" s="476">
        <v>1.8</v>
      </c>
      <c r="N70" s="476">
        <v>20</v>
      </c>
      <c r="O70" s="476">
        <v>1.1200000000000001</v>
      </c>
      <c r="P70" s="476">
        <v>1.1000000000000001</v>
      </c>
      <c r="Q70" s="476">
        <v>22</v>
      </c>
      <c r="R70" s="476"/>
      <c r="S70" s="476"/>
      <c r="U70" s="476">
        <v>4</v>
      </c>
      <c r="V70" s="476">
        <v>0.69</v>
      </c>
      <c r="W70" s="476">
        <v>2.2999999999999998</v>
      </c>
      <c r="X70" s="476">
        <v>20</v>
      </c>
      <c r="Y70" s="476">
        <v>1.28</v>
      </c>
      <c r="Z70" s="476">
        <v>0.6</v>
      </c>
      <c r="AA70" s="476">
        <v>22</v>
      </c>
      <c r="AB70" s="476"/>
      <c r="AC70" s="476"/>
    </row>
    <row r="71" spans="1:29" ht="14" x14ac:dyDescent="0.3">
      <c r="A71" s="476">
        <v>6</v>
      </c>
      <c r="B71" s="476">
        <v>1.2</v>
      </c>
      <c r="C71" s="476">
        <v>3.3</v>
      </c>
      <c r="D71" s="476">
        <v>22</v>
      </c>
      <c r="E71" s="476">
        <v>1.53</v>
      </c>
      <c r="F71" s="476">
        <v>1.4</v>
      </c>
      <c r="G71" s="476">
        <v>24</v>
      </c>
      <c r="H71" s="476"/>
      <c r="I71" s="476"/>
      <c r="K71" s="476">
        <v>6</v>
      </c>
      <c r="L71" s="476">
        <v>0.44</v>
      </c>
      <c r="M71" s="476">
        <v>3.2</v>
      </c>
      <c r="N71" s="476">
        <v>22</v>
      </c>
      <c r="O71" s="476">
        <v>1.2</v>
      </c>
      <c r="P71" s="476">
        <v>0.7</v>
      </c>
      <c r="Q71" s="476">
        <v>24</v>
      </c>
      <c r="R71" s="476"/>
      <c r="S71" s="476"/>
      <c r="U71" s="476">
        <v>6</v>
      </c>
      <c r="V71" s="476">
        <v>1</v>
      </c>
      <c r="W71" s="476">
        <v>2.4</v>
      </c>
      <c r="X71" s="476">
        <v>22</v>
      </c>
      <c r="Y71" s="476">
        <v>1.48</v>
      </c>
      <c r="Z71" s="476">
        <v>1.7</v>
      </c>
      <c r="AA71" s="476">
        <v>24</v>
      </c>
      <c r="AB71" s="476"/>
      <c r="AC71" s="476"/>
    </row>
    <row r="72" spans="1:29" ht="14" x14ac:dyDescent="0.3">
      <c r="A72" s="476">
        <v>8</v>
      </c>
      <c r="B72" s="476">
        <v>1.1200000000000001</v>
      </c>
      <c r="C72" s="476">
        <v>2.8</v>
      </c>
      <c r="D72" s="476">
        <v>24</v>
      </c>
      <c r="E72" s="476">
        <v>1.6</v>
      </c>
      <c r="F72" s="476">
        <v>0.9</v>
      </c>
      <c r="G72" s="476">
        <v>26</v>
      </c>
      <c r="H72" s="476"/>
      <c r="I72" s="476"/>
      <c r="K72" s="476">
        <v>8</v>
      </c>
      <c r="L72" s="731">
        <v>0.57999999999999996</v>
      </c>
      <c r="M72" s="476">
        <v>2</v>
      </c>
      <c r="N72" s="476">
        <v>24</v>
      </c>
      <c r="O72" s="476">
        <v>0.7</v>
      </c>
      <c r="P72" s="476">
        <v>2</v>
      </c>
      <c r="Q72" s="476">
        <v>26</v>
      </c>
      <c r="R72" s="476"/>
      <c r="S72" s="476"/>
      <c r="U72" s="476">
        <v>8</v>
      </c>
      <c r="V72" s="476">
        <v>0.74</v>
      </c>
      <c r="W72" s="476">
        <v>2.1</v>
      </c>
      <c r="X72" s="476">
        <v>24</v>
      </c>
      <c r="Y72" s="476">
        <v>1.36</v>
      </c>
      <c r="Z72" s="476">
        <v>2.5</v>
      </c>
      <c r="AA72" s="476">
        <v>26</v>
      </c>
      <c r="AB72" s="476"/>
      <c r="AC72" s="476"/>
    </row>
    <row r="73" spans="1:29" ht="14" x14ac:dyDescent="0.3">
      <c r="A73" s="476">
        <v>10</v>
      </c>
      <c r="B73" s="476">
        <v>0.91</v>
      </c>
      <c r="C73" s="476">
        <v>2.5</v>
      </c>
      <c r="D73" s="476">
        <v>26</v>
      </c>
      <c r="E73" s="476">
        <v>0.78</v>
      </c>
      <c r="F73" s="476">
        <v>0.4</v>
      </c>
      <c r="G73" s="476">
        <v>28</v>
      </c>
      <c r="H73" s="476"/>
      <c r="I73" s="476"/>
      <c r="K73" s="476">
        <v>10</v>
      </c>
      <c r="L73" s="476">
        <v>1</v>
      </c>
      <c r="M73" s="476">
        <v>3.2</v>
      </c>
      <c r="N73" s="476">
        <v>26</v>
      </c>
      <c r="O73" s="476"/>
      <c r="P73" s="476"/>
      <c r="Q73" s="476">
        <v>28</v>
      </c>
      <c r="R73" s="476"/>
      <c r="S73" s="476"/>
      <c r="U73" s="476">
        <v>10</v>
      </c>
      <c r="V73" s="476">
        <v>0.78</v>
      </c>
      <c r="W73" s="476">
        <v>0.8</v>
      </c>
      <c r="X73" s="476">
        <v>26</v>
      </c>
      <c r="Y73" s="476">
        <v>0.87</v>
      </c>
      <c r="Z73" s="476">
        <v>0.8</v>
      </c>
      <c r="AA73" s="476">
        <v>28</v>
      </c>
      <c r="AB73" s="476"/>
      <c r="AC73" s="476"/>
    </row>
    <row r="74" spans="1:29" ht="14" x14ac:dyDescent="0.3">
      <c r="A74" s="476">
        <v>12</v>
      </c>
      <c r="B74" s="476">
        <v>0.84</v>
      </c>
      <c r="C74" s="476">
        <v>3.5</v>
      </c>
      <c r="D74" s="476">
        <v>28</v>
      </c>
      <c r="E74" s="476"/>
      <c r="F74" s="476"/>
      <c r="G74" s="476">
        <v>30</v>
      </c>
      <c r="H74" s="476"/>
      <c r="I74" s="476"/>
      <c r="K74" s="476">
        <v>12</v>
      </c>
      <c r="L74" s="476">
        <v>1.08</v>
      </c>
      <c r="M74" s="476">
        <v>2.2000000000000002</v>
      </c>
      <c r="N74" s="476">
        <v>28</v>
      </c>
      <c r="O74" s="476"/>
      <c r="P74" s="476"/>
      <c r="Q74" s="476">
        <v>30</v>
      </c>
      <c r="R74" s="476"/>
      <c r="S74" s="476"/>
      <c r="U74" s="476">
        <v>12</v>
      </c>
      <c r="V74" s="476">
        <v>0.92</v>
      </c>
      <c r="W74" s="476">
        <v>1.1000000000000001</v>
      </c>
      <c r="X74" s="476">
        <v>28</v>
      </c>
      <c r="Y74" s="476"/>
      <c r="Z74" s="476"/>
      <c r="AA74" s="476">
        <v>30</v>
      </c>
      <c r="AB74" s="476"/>
      <c r="AC74" s="476"/>
    </row>
    <row r="75" spans="1:29" ht="14" x14ac:dyDescent="0.3">
      <c r="A75" s="476">
        <v>14</v>
      </c>
      <c r="B75" s="476">
        <v>0.98</v>
      </c>
      <c r="C75" s="476">
        <v>2.2000000000000002</v>
      </c>
      <c r="D75" s="476">
        <v>30</v>
      </c>
      <c r="E75" s="476"/>
      <c r="F75" s="476"/>
      <c r="G75" s="476"/>
      <c r="H75" s="476"/>
      <c r="I75" s="476"/>
      <c r="K75" s="476">
        <v>14</v>
      </c>
      <c r="L75" s="476">
        <v>1.1200000000000001</v>
      </c>
      <c r="M75" s="476">
        <v>0.5</v>
      </c>
      <c r="N75" s="476">
        <v>30</v>
      </c>
      <c r="O75" s="476"/>
      <c r="P75" s="476"/>
      <c r="Q75" s="476"/>
      <c r="R75" s="476"/>
      <c r="S75" s="476"/>
      <c r="U75" s="476">
        <v>14</v>
      </c>
      <c r="V75" s="476">
        <v>1.22</v>
      </c>
      <c r="W75" s="476">
        <v>1.2</v>
      </c>
      <c r="X75" s="476">
        <v>30</v>
      </c>
      <c r="Y75" s="476"/>
      <c r="Z75" s="476"/>
      <c r="AA75" s="476"/>
      <c r="AB75" s="476"/>
      <c r="AC75" s="476"/>
    </row>
    <row r="76" spans="1:29" ht="14" x14ac:dyDescent="0.3">
      <c r="A76" s="476">
        <v>16</v>
      </c>
      <c r="B76" s="476">
        <v>0.71</v>
      </c>
      <c r="C76" s="476">
        <v>0.8</v>
      </c>
      <c r="D76" s="611"/>
      <c r="E76" s="476"/>
      <c r="F76" s="476"/>
      <c r="G76" s="606" t="s">
        <v>174</v>
      </c>
      <c r="H76" s="606">
        <v>8.1</v>
      </c>
      <c r="I76" s="476" t="s">
        <v>929</v>
      </c>
      <c r="K76" s="476">
        <v>16</v>
      </c>
      <c r="L76" s="476">
        <v>0.62</v>
      </c>
      <c r="M76" s="476">
        <v>1.3</v>
      </c>
      <c r="N76" s="611"/>
      <c r="O76" s="476"/>
      <c r="P76" s="476"/>
      <c r="Q76" s="606" t="s">
        <v>174</v>
      </c>
      <c r="R76" s="606">
        <v>8.3699999999999992</v>
      </c>
      <c r="S76" s="476" t="s">
        <v>951</v>
      </c>
      <c r="U76" s="476">
        <v>16</v>
      </c>
      <c r="V76" s="476">
        <v>1.1599999999999999</v>
      </c>
      <c r="W76" s="476">
        <v>3</v>
      </c>
      <c r="X76" s="611"/>
      <c r="Y76" s="476"/>
      <c r="Z76" s="476"/>
      <c r="AA76" s="606" t="s">
        <v>174</v>
      </c>
      <c r="AB76" s="606">
        <v>7.53</v>
      </c>
      <c r="AC76" s="476" t="s">
        <v>978</v>
      </c>
    </row>
    <row r="77" spans="1:29" ht="14" x14ac:dyDescent="0.3">
      <c r="A77" s="476">
        <v>18</v>
      </c>
      <c r="B77" s="476">
        <v>0.38</v>
      </c>
      <c r="C77" s="476">
        <v>1.7</v>
      </c>
      <c r="D77" s="606" t="s">
        <v>174</v>
      </c>
      <c r="E77" s="606">
        <v>7.98</v>
      </c>
      <c r="F77" s="476" t="s">
        <v>923</v>
      </c>
      <c r="G77" s="606" t="s">
        <v>173</v>
      </c>
      <c r="H77" s="606">
        <v>20.7</v>
      </c>
      <c r="I77" s="476"/>
      <c r="K77" s="476">
        <v>18</v>
      </c>
      <c r="L77" s="476"/>
      <c r="M77" s="476"/>
      <c r="N77" s="606" t="s">
        <v>174</v>
      </c>
      <c r="O77" s="606">
        <v>8.02</v>
      </c>
      <c r="P77" s="476" t="s">
        <v>946</v>
      </c>
      <c r="Q77" s="606" t="s">
        <v>173</v>
      </c>
      <c r="R77" s="606">
        <v>16.8</v>
      </c>
      <c r="S77" s="476"/>
      <c r="U77" s="476">
        <v>18</v>
      </c>
      <c r="V77" s="476">
        <v>0.25</v>
      </c>
      <c r="W77" s="476">
        <v>1.5</v>
      </c>
      <c r="X77" s="606" t="s">
        <v>174</v>
      </c>
      <c r="Y77" s="606">
        <v>7.56</v>
      </c>
      <c r="Z77" s="476" t="s">
        <v>972</v>
      </c>
      <c r="AA77" s="606" t="s">
        <v>173</v>
      </c>
      <c r="AB77" s="606">
        <v>14.59</v>
      </c>
      <c r="AC77" s="476"/>
    </row>
    <row r="78" spans="1:29" ht="14" x14ac:dyDescent="0.3">
      <c r="A78" s="476">
        <v>20</v>
      </c>
      <c r="B78" s="476"/>
      <c r="C78" s="476"/>
      <c r="D78" s="606" t="s">
        <v>173</v>
      </c>
      <c r="E78" s="606">
        <v>19</v>
      </c>
      <c r="F78" s="476"/>
      <c r="G78" s="606" t="s">
        <v>172</v>
      </c>
      <c r="H78" s="606">
        <v>6.75</v>
      </c>
      <c r="I78" s="476"/>
      <c r="K78" s="476">
        <v>20</v>
      </c>
      <c r="L78" s="476"/>
      <c r="M78" s="476"/>
      <c r="N78" s="606" t="s">
        <v>173</v>
      </c>
      <c r="O78" s="606">
        <v>17.3</v>
      </c>
      <c r="P78" s="476"/>
      <c r="Q78" s="606" t="s">
        <v>172</v>
      </c>
      <c r="R78" s="606">
        <v>7.37</v>
      </c>
      <c r="S78" s="476"/>
      <c r="U78" s="476">
        <v>20</v>
      </c>
      <c r="V78" s="476"/>
      <c r="W78" s="476"/>
      <c r="X78" s="606" t="s">
        <v>173</v>
      </c>
      <c r="Y78" s="606">
        <v>15.12</v>
      </c>
      <c r="Z78" s="476"/>
      <c r="AA78" s="606" t="s">
        <v>172</v>
      </c>
      <c r="AB78" s="606">
        <v>7.87</v>
      </c>
      <c r="AC78" s="476"/>
    </row>
    <row r="79" spans="1:29" ht="14" x14ac:dyDescent="0.3">
      <c r="A79" s="606" t="s">
        <v>174</v>
      </c>
      <c r="B79" s="606">
        <v>7.4</v>
      </c>
      <c r="C79" s="476" t="s">
        <v>917</v>
      </c>
      <c r="D79" s="606" t="s">
        <v>172</v>
      </c>
      <c r="E79" s="606">
        <v>7.14</v>
      </c>
      <c r="F79" s="476"/>
      <c r="G79" s="606" t="s">
        <v>171</v>
      </c>
      <c r="H79" s="606">
        <v>0.153</v>
      </c>
      <c r="I79" s="476"/>
      <c r="K79" s="606" t="s">
        <v>174</v>
      </c>
      <c r="L79" s="606">
        <v>7.56</v>
      </c>
      <c r="M79" s="476" t="s">
        <v>941</v>
      </c>
      <c r="N79" s="606" t="s">
        <v>172</v>
      </c>
      <c r="O79" s="606">
        <v>6.98</v>
      </c>
      <c r="P79" s="476"/>
      <c r="Q79" s="606" t="s">
        <v>171</v>
      </c>
      <c r="R79" s="606">
        <v>0.108</v>
      </c>
      <c r="S79" s="476"/>
      <c r="U79" s="606" t="s">
        <v>174</v>
      </c>
      <c r="V79" s="606">
        <v>7.23</v>
      </c>
      <c r="W79" s="476" t="s">
        <v>963</v>
      </c>
      <c r="X79" s="606" t="s">
        <v>172</v>
      </c>
      <c r="Y79" s="606">
        <v>7.35</v>
      </c>
      <c r="Z79" s="476"/>
      <c r="AA79" s="606" t="s">
        <v>171</v>
      </c>
      <c r="AB79" s="606">
        <v>0.113</v>
      </c>
      <c r="AC79" s="476"/>
    </row>
    <row r="80" spans="1:29" ht="14" x14ac:dyDescent="0.3">
      <c r="A80" s="606" t="s">
        <v>173</v>
      </c>
      <c r="B80" s="606">
        <v>11.5</v>
      </c>
      <c r="C80" s="476"/>
      <c r="D80" s="606" t="s">
        <v>171</v>
      </c>
      <c r="E80" s="606">
        <v>0.108</v>
      </c>
      <c r="F80" s="476"/>
      <c r="G80" s="899" t="s">
        <v>738</v>
      </c>
      <c r="H80" s="899"/>
      <c r="I80" s="899"/>
      <c r="K80" s="606" t="s">
        <v>173</v>
      </c>
      <c r="L80" s="606">
        <v>9.8000000000000007</v>
      </c>
      <c r="M80" s="476"/>
      <c r="N80" s="606" t="s">
        <v>171</v>
      </c>
      <c r="O80" s="606">
        <v>0.05</v>
      </c>
      <c r="P80" s="476"/>
      <c r="Q80" s="899" t="s">
        <v>738</v>
      </c>
      <c r="R80" s="899"/>
      <c r="S80" s="899"/>
      <c r="U80" s="606" t="s">
        <v>173</v>
      </c>
      <c r="V80" s="606">
        <v>8.1999999999999993</v>
      </c>
      <c r="W80" s="476"/>
      <c r="X80" s="606" t="s">
        <v>171</v>
      </c>
      <c r="Y80" s="606">
        <v>8.8999999999999996E-2</v>
      </c>
      <c r="Z80" s="476"/>
      <c r="AA80" s="899" t="s">
        <v>738</v>
      </c>
      <c r="AB80" s="899"/>
      <c r="AC80" s="899"/>
    </row>
    <row r="81" spans="1:29" ht="14" x14ac:dyDescent="0.3">
      <c r="A81" s="606" t="s">
        <v>172</v>
      </c>
      <c r="B81" s="606">
        <v>8.26</v>
      </c>
      <c r="C81" s="476"/>
      <c r="D81" s="899" t="s">
        <v>734</v>
      </c>
      <c r="E81" s="899"/>
      <c r="F81" s="899"/>
      <c r="G81" s="476" t="s">
        <v>170</v>
      </c>
      <c r="H81" s="728">
        <v>7.2222222222222229E-2</v>
      </c>
      <c r="I81" s="476"/>
      <c r="K81" s="606" t="s">
        <v>172</v>
      </c>
      <c r="L81" s="606">
        <v>8</v>
      </c>
      <c r="M81" s="476"/>
      <c r="N81" s="899" t="s">
        <v>734</v>
      </c>
      <c r="O81" s="899"/>
      <c r="P81" s="899"/>
      <c r="Q81" s="476" t="s">
        <v>170</v>
      </c>
      <c r="R81" s="728">
        <v>0.51250000000000007</v>
      </c>
      <c r="S81" s="476"/>
      <c r="U81" s="606" t="s">
        <v>172</v>
      </c>
      <c r="V81" s="606">
        <v>8.7200000000000006</v>
      </c>
      <c r="W81" s="476"/>
      <c r="X81" s="899" t="s">
        <v>734</v>
      </c>
      <c r="Y81" s="899"/>
      <c r="Z81" s="899"/>
      <c r="AA81" s="476" t="s">
        <v>170</v>
      </c>
      <c r="AB81" s="728">
        <v>5.9027777777777783E-2</v>
      </c>
      <c r="AC81" s="476"/>
    </row>
    <row r="82" spans="1:29" ht="14" x14ac:dyDescent="0.3">
      <c r="A82" s="606" t="s">
        <v>171</v>
      </c>
      <c r="B82" s="606">
        <v>5.7000000000000002E-2</v>
      </c>
      <c r="C82" s="476"/>
      <c r="D82" s="476" t="s">
        <v>170</v>
      </c>
      <c r="E82" s="728">
        <v>0.46666666666666662</v>
      </c>
      <c r="F82" s="476"/>
      <c r="G82" s="476" t="s">
        <v>719</v>
      </c>
      <c r="H82" s="476">
        <v>4</v>
      </c>
      <c r="I82" s="476"/>
      <c r="K82" s="606" t="s">
        <v>171</v>
      </c>
      <c r="L82" s="606">
        <v>4.8000000000000001E-2</v>
      </c>
      <c r="M82" s="476"/>
      <c r="N82" s="476" t="s">
        <v>170</v>
      </c>
      <c r="O82" s="728">
        <v>0.42083333333333334</v>
      </c>
      <c r="P82" s="476"/>
      <c r="Q82" s="476" t="s">
        <v>719</v>
      </c>
      <c r="R82" s="476"/>
      <c r="S82" s="476"/>
      <c r="U82" s="606" t="s">
        <v>171</v>
      </c>
      <c r="V82" s="606">
        <v>4.4999999999999998E-2</v>
      </c>
      <c r="W82" s="476"/>
      <c r="X82" s="476" t="s">
        <v>170</v>
      </c>
      <c r="Y82" s="728">
        <v>0.48055555555555557</v>
      </c>
      <c r="Z82" s="476"/>
      <c r="AA82" s="476" t="s">
        <v>719</v>
      </c>
      <c r="AB82" s="476">
        <v>6</v>
      </c>
      <c r="AC82" s="476"/>
    </row>
    <row r="83" spans="1:29" ht="14" x14ac:dyDescent="0.3">
      <c r="A83" s="896" t="s">
        <v>728</v>
      </c>
      <c r="B83" s="897"/>
      <c r="C83" s="898"/>
      <c r="D83" s="476" t="s">
        <v>719</v>
      </c>
      <c r="E83" s="476">
        <v>31</v>
      </c>
      <c r="F83" s="476"/>
      <c r="G83" s="476" t="s">
        <v>714</v>
      </c>
      <c r="H83" s="476" t="s">
        <v>674</v>
      </c>
      <c r="I83" s="476"/>
      <c r="K83" s="896" t="s">
        <v>728</v>
      </c>
      <c r="L83" s="897"/>
      <c r="M83" s="898"/>
      <c r="N83" s="476" t="s">
        <v>719</v>
      </c>
      <c r="O83" s="476">
        <v>29</v>
      </c>
      <c r="P83" s="476"/>
      <c r="Q83" s="476" t="s">
        <v>714</v>
      </c>
      <c r="R83" s="476" t="s">
        <v>330</v>
      </c>
      <c r="S83" s="476"/>
      <c r="U83" s="896" t="s">
        <v>728</v>
      </c>
      <c r="V83" s="897"/>
      <c r="W83" s="898"/>
      <c r="X83" s="476" t="s">
        <v>719</v>
      </c>
      <c r="Y83" s="476">
        <v>33</v>
      </c>
      <c r="Z83" s="476"/>
      <c r="AA83" s="476" t="s">
        <v>714</v>
      </c>
      <c r="AB83" s="476" t="s">
        <v>674</v>
      </c>
      <c r="AC83" s="476"/>
    </row>
    <row r="84" spans="1:29" ht="14" x14ac:dyDescent="0.3">
      <c r="A84" s="476" t="s">
        <v>170</v>
      </c>
      <c r="B84" s="728">
        <v>0.42499999999999999</v>
      </c>
      <c r="C84" s="476"/>
      <c r="D84" s="476" t="s">
        <v>714</v>
      </c>
      <c r="E84" s="894" t="s">
        <v>915</v>
      </c>
      <c r="F84" s="895"/>
      <c r="G84" s="476"/>
      <c r="H84" s="604" t="s">
        <v>188</v>
      </c>
      <c r="I84" s="605" t="s">
        <v>715</v>
      </c>
      <c r="K84" s="476" t="s">
        <v>170</v>
      </c>
      <c r="L84" s="728">
        <v>0.39305555555555555</v>
      </c>
      <c r="M84" s="476"/>
      <c r="N84" s="476" t="s">
        <v>714</v>
      </c>
      <c r="O84" s="894" t="s">
        <v>691</v>
      </c>
      <c r="P84" s="895"/>
      <c r="Q84" s="476"/>
      <c r="R84" s="604" t="s">
        <v>188</v>
      </c>
      <c r="S84" s="605" t="s">
        <v>715</v>
      </c>
      <c r="U84" s="476" t="s">
        <v>170</v>
      </c>
      <c r="V84" s="728">
        <v>0.43611111111111112</v>
      </c>
      <c r="W84" s="476"/>
      <c r="X84" s="476" t="s">
        <v>714</v>
      </c>
      <c r="Y84" s="894" t="s">
        <v>973</v>
      </c>
      <c r="Z84" s="895"/>
      <c r="AA84" s="476"/>
      <c r="AB84" s="604" t="s">
        <v>188</v>
      </c>
      <c r="AC84" s="605" t="s">
        <v>715</v>
      </c>
    </row>
    <row r="85" spans="1:29" ht="14" x14ac:dyDescent="0.3">
      <c r="A85" s="476" t="s">
        <v>719</v>
      </c>
      <c r="B85" s="476"/>
      <c r="C85" s="476"/>
      <c r="D85" s="476"/>
      <c r="E85" s="604" t="s">
        <v>188</v>
      </c>
      <c r="F85" s="605" t="s">
        <v>715</v>
      </c>
      <c r="G85" s="476">
        <v>2</v>
      </c>
      <c r="H85" s="476">
        <v>0.13</v>
      </c>
      <c r="I85" s="476">
        <v>0.4</v>
      </c>
      <c r="K85" s="476" t="s">
        <v>719</v>
      </c>
      <c r="L85" s="476"/>
      <c r="M85" s="476"/>
      <c r="N85" s="476"/>
      <c r="O85" s="604" t="s">
        <v>188</v>
      </c>
      <c r="P85" s="605" t="s">
        <v>715</v>
      </c>
      <c r="Q85" s="476">
        <v>2</v>
      </c>
      <c r="R85" s="476" t="s">
        <v>952</v>
      </c>
      <c r="S85" s="476"/>
      <c r="U85" s="476" t="s">
        <v>719</v>
      </c>
      <c r="V85" s="476"/>
      <c r="W85" s="476"/>
      <c r="X85" s="476"/>
      <c r="Y85" s="604" t="s">
        <v>188</v>
      </c>
      <c r="Z85" s="605" t="s">
        <v>715</v>
      </c>
      <c r="AA85" s="476">
        <v>2</v>
      </c>
      <c r="AB85" s="476" t="s">
        <v>980</v>
      </c>
      <c r="AC85" s="476">
        <v>0.03</v>
      </c>
    </row>
    <row r="86" spans="1:29" ht="14" x14ac:dyDescent="0.3">
      <c r="A86" s="476" t="s">
        <v>714</v>
      </c>
      <c r="B86" s="894" t="s">
        <v>915</v>
      </c>
      <c r="C86" s="895"/>
      <c r="D86" s="476">
        <v>2</v>
      </c>
      <c r="E86" s="476">
        <v>0.47</v>
      </c>
      <c r="F86" s="476">
        <v>0.1</v>
      </c>
      <c r="G86" s="476">
        <v>4</v>
      </c>
      <c r="H86" s="476"/>
      <c r="I86" s="476"/>
      <c r="K86" s="476" t="s">
        <v>714</v>
      </c>
      <c r="L86" s="894" t="s">
        <v>641</v>
      </c>
      <c r="M86" s="895"/>
      <c r="N86" s="476">
        <v>2</v>
      </c>
      <c r="O86" s="476">
        <v>0.33</v>
      </c>
      <c r="P86" s="476">
        <v>1.3</v>
      </c>
      <c r="Q86" s="476">
        <v>4</v>
      </c>
      <c r="R86" s="476"/>
      <c r="S86" s="476"/>
      <c r="U86" s="476" t="s">
        <v>714</v>
      </c>
      <c r="V86" s="894" t="s">
        <v>607</v>
      </c>
      <c r="W86" s="895"/>
      <c r="X86" s="476">
        <v>2</v>
      </c>
      <c r="Y86" s="476">
        <v>0.44</v>
      </c>
      <c r="Z86" s="476">
        <v>0.5</v>
      </c>
      <c r="AA86" s="476">
        <v>4</v>
      </c>
      <c r="AB86" s="476"/>
      <c r="AC86" s="476"/>
    </row>
    <row r="87" spans="1:29" ht="14" x14ac:dyDescent="0.3">
      <c r="A87" s="476"/>
      <c r="B87" s="604" t="s">
        <v>188</v>
      </c>
      <c r="C87" s="605" t="s">
        <v>715</v>
      </c>
      <c r="D87" s="476">
        <v>4</v>
      </c>
      <c r="E87" s="476">
        <v>0.62</v>
      </c>
      <c r="F87" s="476">
        <v>0.1</v>
      </c>
      <c r="G87" s="476">
        <v>6</v>
      </c>
      <c r="H87" s="476"/>
      <c r="I87" s="476"/>
      <c r="K87" s="476"/>
      <c r="L87" s="604" t="s">
        <v>188</v>
      </c>
      <c r="M87" s="605" t="s">
        <v>715</v>
      </c>
      <c r="N87" s="476">
        <v>4</v>
      </c>
      <c r="O87" s="476">
        <v>0.51</v>
      </c>
      <c r="P87" s="476">
        <v>1.3</v>
      </c>
      <c r="Q87" s="476">
        <v>6</v>
      </c>
      <c r="R87" s="476"/>
      <c r="S87" s="476"/>
      <c r="U87" s="476"/>
      <c r="V87" s="604" t="s">
        <v>188</v>
      </c>
      <c r="W87" s="605" t="s">
        <v>715</v>
      </c>
      <c r="X87" s="476">
        <v>4</v>
      </c>
      <c r="Y87" s="476">
        <v>0.67</v>
      </c>
      <c r="Z87" s="476">
        <v>0.8</v>
      </c>
      <c r="AA87" s="476">
        <v>6</v>
      </c>
      <c r="AB87" s="476"/>
      <c r="AC87" s="476"/>
    </row>
    <row r="88" spans="1:29" ht="14" x14ac:dyDescent="0.3">
      <c r="A88" s="476" t="s">
        <v>729</v>
      </c>
      <c r="B88" s="476"/>
      <c r="C88" s="476">
        <v>4.5999999999999996</v>
      </c>
      <c r="D88" s="476">
        <v>6</v>
      </c>
      <c r="E88" s="476">
        <v>0.73</v>
      </c>
      <c r="F88" s="476">
        <v>0.6</v>
      </c>
      <c r="G88" s="606" t="s">
        <v>174</v>
      </c>
      <c r="H88" s="606">
        <v>7.76</v>
      </c>
      <c r="I88" s="476" t="s">
        <v>930</v>
      </c>
      <c r="K88" s="476" t="s">
        <v>729</v>
      </c>
      <c r="L88" s="476">
        <v>4.46</v>
      </c>
      <c r="M88" s="476">
        <v>26</v>
      </c>
      <c r="N88" s="476">
        <v>6</v>
      </c>
      <c r="O88" s="476">
        <v>0.63</v>
      </c>
      <c r="P88" s="476">
        <v>1.2</v>
      </c>
      <c r="Q88" s="606" t="s">
        <v>174</v>
      </c>
      <c r="R88" s="606">
        <v>7.68</v>
      </c>
      <c r="S88" s="476" t="s">
        <v>953</v>
      </c>
      <c r="U88" s="476" t="s">
        <v>729</v>
      </c>
      <c r="V88" s="476">
        <v>4.54</v>
      </c>
      <c r="W88" s="476">
        <v>35</v>
      </c>
      <c r="X88" s="476">
        <v>6</v>
      </c>
      <c r="Y88" s="476">
        <v>0.81</v>
      </c>
      <c r="Z88" s="476">
        <v>1.1000000000000001</v>
      </c>
      <c r="AA88" s="606" t="s">
        <v>174</v>
      </c>
      <c r="AB88" s="606">
        <v>7.71</v>
      </c>
      <c r="AC88" s="476" t="s">
        <v>979</v>
      </c>
    </row>
    <row r="89" spans="1:29" ht="14" x14ac:dyDescent="0.3">
      <c r="A89" s="476">
        <v>2</v>
      </c>
      <c r="B89" s="476"/>
      <c r="C89" s="476"/>
      <c r="D89" s="476">
        <v>8</v>
      </c>
      <c r="E89" s="476">
        <v>0.84</v>
      </c>
      <c r="F89" s="476">
        <v>0.8</v>
      </c>
      <c r="G89" s="606" t="s">
        <v>173</v>
      </c>
      <c r="H89" s="606">
        <v>21.2</v>
      </c>
      <c r="I89" s="476"/>
      <c r="K89" s="476">
        <v>2</v>
      </c>
      <c r="L89" s="476"/>
      <c r="M89" s="476"/>
      <c r="N89" s="476">
        <v>8</v>
      </c>
      <c r="O89" s="476">
        <v>0.71</v>
      </c>
      <c r="P89" s="476">
        <v>1.2</v>
      </c>
      <c r="Q89" s="606" t="s">
        <v>173</v>
      </c>
      <c r="R89" s="606">
        <v>15.1</v>
      </c>
      <c r="S89" s="476"/>
      <c r="U89" s="476">
        <v>2</v>
      </c>
      <c r="V89" s="476"/>
      <c r="W89" s="476"/>
      <c r="X89" s="476">
        <v>8</v>
      </c>
      <c r="Y89" s="476">
        <v>0.95</v>
      </c>
      <c r="Z89" s="476">
        <v>1.4</v>
      </c>
      <c r="AA89" s="606" t="s">
        <v>173</v>
      </c>
      <c r="AB89" s="606">
        <v>12.25</v>
      </c>
      <c r="AC89" s="476"/>
    </row>
    <row r="90" spans="1:29" ht="14" x14ac:dyDescent="0.3">
      <c r="A90" s="476">
        <v>4</v>
      </c>
      <c r="B90" s="476"/>
      <c r="C90" s="476"/>
      <c r="D90" s="476">
        <v>10</v>
      </c>
      <c r="E90" s="476">
        <v>0.96</v>
      </c>
      <c r="F90" s="476">
        <v>0.5</v>
      </c>
      <c r="G90" s="606" t="s">
        <v>172</v>
      </c>
      <c r="H90" s="606">
        <v>4.84</v>
      </c>
      <c r="I90" s="476"/>
      <c r="K90" s="476">
        <v>4</v>
      </c>
      <c r="L90" s="476"/>
      <c r="M90" s="476"/>
      <c r="N90" s="476">
        <v>10</v>
      </c>
      <c r="O90" s="476">
        <v>0.83</v>
      </c>
      <c r="P90" s="476">
        <v>1.5</v>
      </c>
      <c r="Q90" s="606" t="s">
        <v>172</v>
      </c>
      <c r="R90" s="606">
        <v>4.9800000000000004</v>
      </c>
      <c r="S90" s="476"/>
      <c r="U90" s="476">
        <v>4</v>
      </c>
      <c r="V90" s="476"/>
      <c r="W90" s="476"/>
      <c r="X90" s="476">
        <v>10</v>
      </c>
      <c r="Y90" s="476">
        <v>1.1100000000000001</v>
      </c>
      <c r="Z90" s="476">
        <v>1.3</v>
      </c>
      <c r="AA90" s="606" t="s">
        <v>172</v>
      </c>
      <c r="AB90" s="606">
        <v>6.99</v>
      </c>
      <c r="AC90" s="476"/>
    </row>
    <row r="91" spans="1:29" ht="14" x14ac:dyDescent="0.3">
      <c r="A91" s="476">
        <v>6</v>
      </c>
      <c r="B91" s="476"/>
      <c r="C91" s="476"/>
      <c r="D91" s="476">
        <v>12</v>
      </c>
      <c r="E91" s="476">
        <v>1.03</v>
      </c>
      <c r="F91" s="476">
        <v>0.8</v>
      </c>
      <c r="G91" s="606" t="s">
        <v>171</v>
      </c>
      <c r="H91" s="606">
        <v>0.97</v>
      </c>
      <c r="I91" s="476"/>
      <c r="K91" s="476">
        <v>6</v>
      </c>
      <c r="L91" s="476"/>
      <c r="M91" s="476"/>
      <c r="N91" s="476">
        <v>12</v>
      </c>
      <c r="O91" s="731">
        <v>0.88</v>
      </c>
      <c r="P91" s="476">
        <v>1.3</v>
      </c>
      <c r="Q91" s="606" t="s">
        <v>171</v>
      </c>
      <c r="R91" s="606">
        <v>0.87</v>
      </c>
      <c r="S91" s="476"/>
      <c r="U91" s="476">
        <v>6</v>
      </c>
      <c r="V91" s="476"/>
      <c r="W91" s="476"/>
      <c r="X91" s="476">
        <v>12</v>
      </c>
      <c r="Y91" s="476">
        <v>1.1599999999999999</v>
      </c>
      <c r="Z91" s="476">
        <v>1.5</v>
      </c>
      <c r="AA91" s="606" t="s">
        <v>171</v>
      </c>
      <c r="AB91" s="606">
        <v>0.96499999999999997</v>
      </c>
      <c r="AC91" s="476"/>
    </row>
    <row r="92" spans="1:29" ht="14" x14ac:dyDescent="0.3">
      <c r="A92" s="476">
        <v>8</v>
      </c>
      <c r="B92" s="476"/>
      <c r="C92" s="476"/>
      <c r="D92" s="476">
        <v>14</v>
      </c>
      <c r="E92" s="476">
        <v>1.17</v>
      </c>
      <c r="F92" s="476">
        <v>1.1000000000000001</v>
      </c>
      <c r="G92" s="476"/>
      <c r="H92" s="476"/>
      <c r="I92" s="476"/>
      <c r="K92" s="476">
        <v>8</v>
      </c>
      <c r="L92" s="476"/>
      <c r="M92" s="476"/>
      <c r="N92" s="476">
        <v>14</v>
      </c>
      <c r="O92" s="476">
        <v>0.97</v>
      </c>
      <c r="P92" s="476">
        <v>1.4</v>
      </c>
      <c r="Q92" s="476"/>
      <c r="R92" s="476"/>
      <c r="S92" s="476"/>
      <c r="U92" s="476">
        <v>8</v>
      </c>
      <c r="V92" s="476"/>
      <c r="W92" s="476"/>
      <c r="X92" s="476">
        <v>14</v>
      </c>
      <c r="Y92" s="476">
        <v>1.1200000000000001</v>
      </c>
      <c r="Z92" s="476">
        <v>2.8</v>
      </c>
      <c r="AA92" s="476"/>
      <c r="AB92" s="476"/>
      <c r="AC92" s="476"/>
    </row>
    <row r="93" spans="1:29" ht="14" x14ac:dyDescent="0.3">
      <c r="A93" s="476">
        <v>10</v>
      </c>
      <c r="B93" s="476"/>
      <c r="C93" s="476"/>
      <c r="D93" s="476">
        <v>16</v>
      </c>
      <c r="E93" s="476">
        <v>1.22</v>
      </c>
      <c r="F93" s="476">
        <v>2.7</v>
      </c>
      <c r="G93" s="899" t="s">
        <v>739</v>
      </c>
      <c r="H93" s="899"/>
      <c r="I93" s="899"/>
      <c r="K93" s="476">
        <v>10</v>
      </c>
      <c r="L93" s="476"/>
      <c r="M93" s="476"/>
      <c r="N93" s="476">
        <v>16</v>
      </c>
      <c r="O93" s="476">
        <v>1.1100000000000001</v>
      </c>
      <c r="P93" s="476">
        <v>1.4</v>
      </c>
      <c r="Q93" s="899" t="s">
        <v>739</v>
      </c>
      <c r="R93" s="899"/>
      <c r="S93" s="899"/>
      <c r="U93" s="476">
        <v>10</v>
      </c>
      <c r="V93" s="476"/>
      <c r="W93" s="476"/>
      <c r="X93" s="476">
        <v>16</v>
      </c>
      <c r="Y93" s="476">
        <v>1.19</v>
      </c>
      <c r="Z93" s="476">
        <v>1.5</v>
      </c>
      <c r="AA93" s="899" t="s">
        <v>739</v>
      </c>
      <c r="AB93" s="899"/>
      <c r="AC93" s="899"/>
    </row>
    <row r="94" spans="1:29" ht="14" x14ac:dyDescent="0.3">
      <c r="A94" s="476">
        <v>12</v>
      </c>
      <c r="B94" s="476"/>
      <c r="C94" s="476"/>
      <c r="D94" s="476">
        <v>18</v>
      </c>
      <c r="E94" s="476">
        <v>1.41</v>
      </c>
      <c r="F94" s="476">
        <v>1.8</v>
      </c>
      <c r="G94" s="476" t="s">
        <v>170</v>
      </c>
      <c r="H94" s="728">
        <v>8.0555555555555561E-2</v>
      </c>
      <c r="I94" s="476"/>
      <c r="K94" s="476">
        <v>12</v>
      </c>
      <c r="L94" s="476"/>
      <c r="M94" s="476"/>
      <c r="N94" s="476">
        <v>18</v>
      </c>
      <c r="O94" s="476">
        <v>1.1599999999999999</v>
      </c>
      <c r="P94" s="476">
        <v>1.4</v>
      </c>
      <c r="Q94" s="476" t="s">
        <v>170</v>
      </c>
      <c r="R94" s="728">
        <v>0.52222222222222225</v>
      </c>
      <c r="S94" s="476"/>
      <c r="U94" s="476">
        <v>12</v>
      </c>
      <c r="V94" s="476"/>
      <c r="W94" s="476"/>
      <c r="X94" s="476">
        <v>18</v>
      </c>
      <c r="Y94" s="476">
        <v>1.21</v>
      </c>
      <c r="Z94" s="476">
        <v>1.3</v>
      </c>
      <c r="AA94" s="476" t="s">
        <v>170</v>
      </c>
      <c r="AB94" s="728">
        <v>7.6388888888888895E-2</v>
      </c>
      <c r="AC94" s="476"/>
    </row>
    <row r="95" spans="1:29" ht="14" x14ac:dyDescent="0.3">
      <c r="A95" s="476">
        <v>14</v>
      </c>
      <c r="B95" s="476"/>
      <c r="C95" s="476"/>
      <c r="D95" s="476">
        <v>20</v>
      </c>
      <c r="E95" s="476">
        <v>1.42</v>
      </c>
      <c r="F95" s="476">
        <v>1.5</v>
      </c>
      <c r="G95" s="476" t="s">
        <v>719</v>
      </c>
      <c r="H95" s="476">
        <v>6</v>
      </c>
      <c r="I95" s="476"/>
      <c r="K95" s="476">
        <v>14</v>
      </c>
      <c r="L95" s="476"/>
      <c r="M95" s="476"/>
      <c r="N95" s="476">
        <v>20</v>
      </c>
      <c r="O95" s="476">
        <v>1.1499999999999999</v>
      </c>
      <c r="P95" s="476">
        <v>1.1000000000000001</v>
      </c>
      <c r="Q95" s="476" t="s">
        <v>719</v>
      </c>
      <c r="R95" s="476">
        <v>6.5</v>
      </c>
      <c r="S95" s="476"/>
      <c r="U95" s="476">
        <v>14</v>
      </c>
      <c r="V95" s="476"/>
      <c r="W95" s="476"/>
      <c r="X95" s="476">
        <v>20</v>
      </c>
      <c r="Y95" s="476">
        <v>1.24</v>
      </c>
      <c r="Z95" s="476">
        <v>1.1000000000000001</v>
      </c>
      <c r="AA95" s="476" t="s">
        <v>719</v>
      </c>
      <c r="AB95" s="476">
        <v>5</v>
      </c>
      <c r="AC95" s="476"/>
    </row>
    <row r="96" spans="1:29" ht="14" x14ac:dyDescent="0.3">
      <c r="A96" s="476">
        <v>16</v>
      </c>
      <c r="B96" s="476"/>
      <c r="C96" s="476"/>
      <c r="D96" s="476">
        <v>22</v>
      </c>
      <c r="E96" s="476">
        <v>1.4</v>
      </c>
      <c r="F96" s="476">
        <v>2.7</v>
      </c>
      <c r="G96" s="476" t="s">
        <v>714</v>
      </c>
      <c r="H96" s="476" t="s">
        <v>644</v>
      </c>
      <c r="I96" s="476"/>
      <c r="K96" s="476">
        <v>16</v>
      </c>
      <c r="L96" s="476"/>
      <c r="M96" s="476"/>
      <c r="N96" s="476">
        <v>22</v>
      </c>
      <c r="O96" s="476">
        <v>1.07</v>
      </c>
      <c r="P96" s="476">
        <v>1.6</v>
      </c>
      <c r="Q96" s="476" t="s">
        <v>714</v>
      </c>
      <c r="R96" s="476" t="s">
        <v>644</v>
      </c>
      <c r="S96" s="476"/>
      <c r="U96" s="476">
        <v>16</v>
      </c>
      <c r="V96" s="476"/>
      <c r="W96" s="476"/>
      <c r="X96" s="476">
        <v>22</v>
      </c>
      <c r="Y96" s="476">
        <v>1.25</v>
      </c>
      <c r="Z96" s="476">
        <v>1.6</v>
      </c>
      <c r="AA96" s="476" t="s">
        <v>714</v>
      </c>
      <c r="AB96" s="476" t="s">
        <v>644</v>
      </c>
      <c r="AC96" s="476" t="s">
        <v>981</v>
      </c>
    </row>
    <row r="97" spans="1:29" ht="14" x14ac:dyDescent="0.3">
      <c r="A97" s="476">
        <v>18</v>
      </c>
      <c r="B97" s="476"/>
      <c r="C97" s="476"/>
      <c r="D97" s="476">
        <v>24</v>
      </c>
      <c r="E97" s="476">
        <v>1.54</v>
      </c>
      <c r="F97" s="476">
        <v>2.5</v>
      </c>
      <c r="G97" s="476"/>
      <c r="H97" s="604" t="s">
        <v>188</v>
      </c>
      <c r="I97" s="605" t="s">
        <v>715</v>
      </c>
      <c r="K97" s="476">
        <v>18</v>
      </c>
      <c r="L97" s="476"/>
      <c r="M97" s="476"/>
      <c r="N97" s="476">
        <v>24</v>
      </c>
      <c r="O97" s="476">
        <v>0.87</v>
      </c>
      <c r="P97" s="476">
        <v>1.5</v>
      </c>
      <c r="Q97" s="476"/>
      <c r="R97" s="604" t="s">
        <v>188</v>
      </c>
      <c r="S97" s="605" t="s">
        <v>715</v>
      </c>
      <c r="U97" s="476">
        <v>18</v>
      </c>
      <c r="V97" s="476"/>
      <c r="W97" s="476"/>
      <c r="X97" s="476">
        <v>24</v>
      </c>
      <c r="Y97" s="476">
        <v>1.17</v>
      </c>
      <c r="Z97" s="476">
        <v>1.1000000000000001</v>
      </c>
      <c r="AA97" s="476"/>
      <c r="AB97" s="604" t="s">
        <v>188</v>
      </c>
      <c r="AC97" s="605" t="s">
        <v>715</v>
      </c>
    </row>
    <row r="98" spans="1:29" ht="14" x14ac:dyDescent="0.3">
      <c r="A98" s="476">
        <v>20</v>
      </c>
      <c r="B98" s="476"/>
      <c r="C98" s="476"/>
      <c r="D98" s="476">
        <v>26</v>
      </c>
      <c r="E98" s="476">
        <v>0.42</v>
      </c>
      <c r="F98" s="476">
        <v>3</v>
      </c>
      <c r="G98" s="476">
        <v>2</v>
      </c>
      <c r="H98" s="476">
        <v>0.25</v>
      </c>
      <c r="I98" s="476">
        <v>0.6</v>
      </c>
      <c r="K98" s="476">
        <v>20</v>
      </c>
      <c r="L98" s="476"/>
      <c r="M98" s="476"/>
      <c r="N98" s="476">
        <v>26</v>
      </c>
      <c r="O98" s="476">
        <v>0.56000000000000005</v>
      </c>
      <c r="P98" s="476">
        <v>1.1000000000000001</v>
      </c>
      <c r="Q98" s="476">
        <v>2</v>
      </c>
      <c r="R98" s="476">
        <v>0.4</v>
      </c>
      <c r="S98" s="476">
        <v>0.2</v>
      </c>
      <c r="U98" s="476">
        <v>20</v>
      </c>
      <c r="V98" s="476"/>
      <c r="W98" s="476"/>
      <c r="X98" s="476">
        <v>26</v>
      </c>
      <c r="Y98" s="476">
        <v>1.04</v>
      </c>
      <c r="Z98" s="476">
        <v>1.2</v>
      </c>
      <c r="AA98" s="476">
        <v>2</v>
      </c>
      <c r="AB98" s="476">
        <v>0.52</v>
      </c>
      <c r="AC98" s="476">
        <v>0.3</v>
      </c>
    </row>
    <row r="99" spans="1:29" ht="14" x14ac:dyDescent="0.3">
      <c r="A99" s="476">
        <v>22</v>
      </c>
      <c r="B99" s="476"/>
      <c r="C99" s="476"/>
      <c r="D99" s="476">
        <v>28</v>
      </c>
      <c r="E99" s="476">
        <v>0.15</v>
      </c>
      <c r="F99" s="476">
        <v>1.6</v>
      </c>
      <c r="G99" s="476">
        <v>4</v>
      </c>
      <c r="H99" s="476">
        <v>0.5</v>
      </c>
      <c r="I99" s="476">
        <v>0.8</v>
      </c>
      <c r="K99" s="476">
        <v>22</v>
      </c>
      <c r="L99" s="476"/>
      <c r="M99" s="476"/>
      <c r="N99" s="476">
        <v>28</v>
      </c>
      <c r="O99" s="476">
        <v>0.62</v>
      </c>
      <c r="P99" s="476">
        <v>0.5</v>
      </c>
      <c r="Q99" s="476">
        <v>4</v>
      </c>
      <c r="R99" s="476">
        <v>0.51</v>
      </c>
      <c r="S99" s="476">
        <v>0.4</v>
      </c>
      <c r="U99" s="476">
        <v>22</v>
      </c>
      <c r="V99" s="476"/>
      <c r="W99" s="476"/>
      <c r="X99" s="476">
        <v>28</v>
      </c>
      <c r="Y99" s="476">
        <v>0.84</v>
      </c>
      <c r="Z99" s="476">
        <v>0.8</v>
      </c>
      <c r="AA99" s="476">
        <v>4</v>
      </c>
      <c r="AB99" s="476">
        <v>0.42</v>
      </c>
      <c r="AC99" s="476">
        <v>0.4</v>
      </c>
    </row>
    <row r="100" spans="1:29" ht="14" x14ac:dyDescent="0.3">
      <c r="A100" s="476"/>
      <c r="B100" s="476"/>
      <c r="C100" s="476"/>
      <c r="D100" s="476">
        <v>30</v>
      </c>
      <c r="E100" s="476">
        <v>0.65</v>
      </c>
      <c r="F100" s="476">
        <v>0.3</v>
      </c>
      <c r="G100" s="476">
        <v>6</v>
      </c>
      <c r="H100" s="476">
        <v>0.5</v>
      </c>
      <c r="I100" s="476">
        <v>0.4</v>
      </c>
      <c r="K100" s="476"/>
      <c r="L100" s="476"/>
      <c r="M100" s="476"/>
      <c r="N100" s="476">
        <v>30</v>
      </c>
      <c r="O100" s="476"/>
      <c r="P100" s="476"/>
      <c r="Q100" s="476">
        <v>6</v>
      </c>
      <c r="R100" s="476">
        <v>0.26</v>
      </c>
      <c r="S100" s="476">
        <v>0.3</v>
      </c>
      <c r="U100" s="476"/>
      <c r="V100" s="476"/>
      <c r="W100" s="476"/>
      <c r="X100" s="476">
        <v>30</v>
      </c>
      <c r="Y100" s="476">
        <v>0.73</v>
      </c>
      <c r="Z100" s="476">
        <v>0.1</v>
      </c>
      <c r="AA100" s="476">
        <v>6</v>
      </c>
      <c r="AB100" s="476">
        <v>0.2</v>
      </c>
      <c r="AC100" s="476">
        <v>0.4</v>
      </c>
    </row>
    <row r="101" spans="1:29" ht="14" x14ac:dyDescent="0.3">
      <c r="A101" s="606" t="s">
        <v>174</v>
      </c>
      <c r="B101" s="606">
        <v>7.84</v>
      </c>
      <c r="C101" s="476" t="s">
        <v>916</v>
      </c>
      <c r="D101" s="606" t="s">
        <v>174</v>
      </c>
      <c r="E101" s="606">
        <v>8.07</v>
      </c>
      <c r="F101" s="476" t="s">
        <v>926</v>
      </c>
      <c r="G101" s="606" t="s">
        <v>174</v>
      </c>
      <c r="H101" s="606">
        <v>8.01</v>
      </c>
      <c r="I101" s="476" t="s">
        <v>931</v>
      </c>
      <c r="K101" s="606" t="s">
        <v>174</v>
      </c>
      <c r="L101" s="606">
        <v>7.93</v>
      </c>
      <c r="M101" s="476"/>
      <c r="N101" s="606" t="s">
        <v>174</v>
      </c>
      <c r="O101" s="606">
        <v>8.1999999999999993</v>
      </c>
      <c r="P101" s="476" t="s">
        <v>947</v>
      </c>
      <c r="Q101" s="606" t="s">
        <v>174</v>
      </c>
      <c r="R101" s="606">
        <v>8.1300000000000008</v>
      </c>
      <c r="S101" s="476" t="s">
        <v>954</v>
      </c>
      <c r="U101" s="606" t="s">
        <v>174</v>
      </c>
      <c r="V101" s="606">
        <v>7.49</v>
      </c>
      <c r="W101" s="476"/>
      <c r="X101" s="606" t="s">
        <v>174</v>
      </c>
      <c r="Y101" s="606">
        <v>7.69</v>
      </c>
      <c r="Z101" s="476" t="s">
        <v>974</v>
      </c>
      <c r="AA101" s="606" t="s">
        <v>174</v>
      </c>
      <c r="AB101" s="606">
        <v>7.87</v>
      </c>
      <c r="AC101" s="476" t="s">
        <v>982</v>
      </c>
    </row>
    <row r="102" spans="1:29" ht="14" x14ac:dyDescent="0.3">
      <c r="A102" s="606" t="s">
        <v>173</v>
      </c>
      <c r="B102" s="606">
        <v>14.6</v>
      </c>
      <c r="C102" s="476"/>
      <c r="D102" s="606" t="s">
        <v>173</v>
      </c>
      <c r="E102" s="606">
        <v>19.2</v>
      </c>
      <c r="F102" s="476"/>
      <c r="G102" s="606" t="s">
        <v>173</v>
      </c>
      <c r="H102" s="606">
        <v>21.3</v>
      </c>
      <c r="I102" s="476"/>
      <c r="K102" s="606" t="s">
        <v>173</v>
      </c>
      <c r="L102" s="606">
        <v>11.9</v>
      </c>
      <c r="M102" s="476"/>
      <c r="N102" s="606" t="s">
        <v>173</v>
      </c>
      <c r="O102" s="606">
        <v>16.7</v>
      </c>
      <c r="P102" s="476"/>
      <c r="Q102" s="606" t="s">
        <v>173</v>
      </c>
      <c r="R102" s="606">
        <v>16.2</v>
      </c>
      <c r="S102" s="476"/>
      <c r="U102" s="606" t="s">
        <v>173</v>
      </c>
      <c r="V102" s="606">
        <v>10.43</v>
      </c>
      <c r="W102" s="476"/>
      <c r="X102" s="606" t="s">
        <v>173</v>
      </c>
      <c r="Y102" s="606">
        <v>14.59</v>
      </c>
      <c r="Z102" s="476"/>
      <c r="AA102" s="606" t="s">
        <v>173</v>
      </c>
      <c r="AB102" s="606">
        <v>13.88</v>
      </c>
      <c r="AC102" s="476"/>
    </row>
    <row r="103" spans="1:29" ht="14" x14ac:dyDescent="0.3">
      <c r="A103" s="606" t="s">
        <v>172</v>
      </c>
      <c r="B103" s="606">
        <v>7.81</v>
      </c>
      <c r="C103" s="476"/>
      <c r="D103" s="606" t="s">
        <v>172</v>
      </c>
      <c r="E103" s="606">
        <v>7.02</v>
      </c>
      <c r="F103" s="476"/>
      <c r="G103" s="606" t="s">
        <v>172</v>
      </c>
      <c r="H103" s="606">
        <v>6.21</v>
      </c>
      <c r="I103" s="476"/>
      <c r="K103" s="606" t="s">
        <v>172</v>
      </c>
      <c r="L103" s="606">
        <v>7.91</v>
      </c>
      <c r="M103" s="476"/>
      <c r="N103" s="606" t="s">
        <v>172</v>
      </c>
      <c r="O103" s="606">
        <v>6.98</v>
      </c>
      <c r="P103" s="476"/>
      <c r="Q103" s="606" t="s">
        <v>172</v>
      </c>
      <c r="R103" s="606">
        <v>6.41</v>
      </c>
      <c r="S103" s="476"/>
      <c r="U103" s="606" t="s">
        <v>172</v>
      </c>
      <c r="V103" s="606">
        <v>8.69</v>
      </c>
      <c r="W103" s="476"/>
      <c r="X103" s="606" t="s">
        <v>172</v>
      </c>
      <c r="Y103" s="606">
        <v>7.48</v>
      </c>
      <c r="Z103" s="476"/>
      <c r="AA103" s="606" t="s">
        <v>172</v>
      </c>
      <c r="AB103" s="606">
        <v>7.68</v>
      </c>
      <c r="AC103" s="476"/>
    </row>
    <row r="104" spans="1:29" ht="14" x14ac:dyDescent="0.3">
      <c r="A104" s="606" t="s">
        <v>171</v>
      </c>
      <c r="B104" s="606">
        <v>6.0999999999999999E-2</v>
      </c>
      <c r="C104" s="476"/>
      <c r="D104" s="606" t="s">
        <v>171</v>
      </c>
      <c r="E104" s="606">
        <v>0.13</v>
      </c>
      <c r="F104" s="476"/>
      <c r="G104" s="606" t="s">
        <v>171</v>
      </c>
      <c r="H104" s="606">
        <v>0.13400000000000001</v>
      </c>
      <c r="I104" s="476"/>
      <c r="K104" s="606" t="s">
        <v>171</v>
      </c>
      <c r="L104" s="606">
        <v>4.5999999999999999E-2</v>
      </c>
      <c r="M104" s="476"/>
      <c r="N104" s="606" t="s">
        <v>171</v>
      </c>
      <c r="O104" s="606">
        <v>0.88400000000000001</v>
      </c>
      <c r="P104" s="476"/>
      <c r="Q104" s="606" t="s">
        <v>171</v>
      </c>
      <c r="R104" s="606">
        <v>0.44</v>
      </c>
      <c r="S104" s="476"/>
      <c r="U104" s="606" t="s">
        <v>171</v>
      </c>
      <c r="V104" s="606">
        <v>5.8999999999999997E-2</v>
      </c>
      <c r="W104" s="476"/>
      <c r="X104" s="606" t="s">
        <v>171</v>
      </c>
      <c r="Y104" s="606">
        <v>0.108</v>
      </c>
      <c r="Z104" s="476"/>
      <c r="AA104" s="606" t="s">
        <v>171</v>
      </c>
      <c r="AB104" s="606">
        <v>0.58499999999999996</v>
      </c>
      <c r="AC104" s="476"/>
    </row>
    <row r="105" spans="1:29" ht="14" x14ac:dyDescent="0.3">
      <c r="Q105" s="899" t="s">
        <v>948</v>
      </c>
      <c r="R105" s="899"/>
      <c r="S105" s="899"/>
      <c r="AA105" s="899" t="s">
        <v>948</v>
      </c>
      <c r="AB105" s="899"/>
      <c r="AC105" s="899"/>
    </row>
    <row r="106" spans="1:29" ht="14" x14ac:dyDescent="0.3">
      <c r="G106" s="606" t="s">
        <v>934</v>
      </c>
      <c r="H106" s="82"/>
      <c r="Q106" s="476" t="s">
        <v>170</v>
      </c>
      <c r="R106" s="728">
        <v>5.9027777777777783E-2</v>
      </c>
      <c r="S106" s="476"/>
      <c r="AA106" s="476" t="s">
        <v>170</v>
      </c>
      <c r="AB106" s="728">
        <v>0.11180555555555556</v>
      </c>
      <c r="AC106" s="476"/>
    </row>
    <row r="107" spans="1:29" ht="14" x14ac:dyDescent="0.3">
      <c r="A107" s="82"/>
      <c r="B107" s="135" t="s">
        <v>188</v>
      </c>
      <c r="C107" s="136" t="s">
        <v>715</v>
      </c>
      <c r="D107" s="136" t="s">
        <v>190</v>
      </c>
      <c r="E107" s="136" t="s">
        <v>194</v>
      </c>
      <c r="G107" s="476" t="s">
        <v>719</v>
      </c>
      <c r="H107" s="606">
        <v>11</v>
      </c>
      <c r="Q107" s="476" t="s">
        <v>719</v>
      </c>
      <c r="R107" s="476">
        <v>10</v>
      </c>
      <c r="S107" s="476">
        <v>0.78</v>
      </c>
      <c r="AA107" s="476" t="s">
        <v>719</v>
      </c>
      <c r="AB107" s="476">
        <v>10</v>
      </c>
      <c r="AC107" s="476">
        <v>0.74</v>
      </c>
    </row>
    <row r="108" spans="1:29" ht="15.5" x14ac:dyDescent="0.35">
      <c r="A108" s="82">
        <v>2</v>
      </c>
      <c r="B108" s="476">
        <v>0.52</v>
      </c>
      <c r="C108" s="476">
        <v>0.3</v>
      </c>
      <c r="D108" s="132">
        <f>B108*2</f>
        <v>1.04</v>
      </c>
      <c r="E108" s="133">
        <f>C108*D108</f>
        <v>0.312</v>
      </c>
      <c r="G108" s="476" t="s">
        <v>714</v>
      </c>
      <c r="H108" s="82" t="s">
        <v>915</v>
      </c>
      <c r="Q108" s="476" t="s">
        <v>714</v>
      </c>
      <c r="R108" s="476" t="s">
        <v>640</v>
      </c>
      <c r="S108" s="476"/>
      <c r="AA108" s="476" t="s">
        <v>714</v>
      </c>
      <c r="AB108" s="476" t="s">
        <v>968</v>
      </c>
      <c r="AC108" s="476"/>
    </row>
    <row r="109" spans="1:29" ht="15.5" x14ac:dyDescent="0.35">
      <c r="A109" s="82">
        <v>4</v>
      </c>
      <c r="B109" s="476">
        <v>0.42</v>
      </c>
      <c r="C109" s="476">
        <v>0.4</v>
      </c>
      <c r="D109" s="132">
        <f>B109*2</f>
        <v>0.84</v>
      </c>
      <c r="E109" s="133">
        <f>C108*D109</f>
        <v>0.252</v>
      </c>
      <c r="G109" s="82" t="s">
        <v>217</v>
      </c>
      <c r="H109" s="82">
        <v>0.92500000000000004</v>
      </c>
      <c r="Q109" s="476"/>
      <c r="R109" s="604" t="s">
        <v>188</v>
      </c>
      <c r="S109" s="605" t="s">
        <v>715</v>
      </c>
      <c r="AA109" s="476"/>
      <c r="AB109" s="604" t="s">
        <v>188</v>
      </c>
      <c r="AC109" s="605" t="s">
        <v>715</v>
      </c>
    </row>
    <row r="110" spans="1:29" ht="15.5" x14ac:dyDescent="0.35">
      <c r="A110" s="82">
        <v>6</v>
      </c>
      <c r="B110" s="476">
        <v>0.2</v>
      </c>
      <c r="C110" s="476">
        <v>0.4</v>
      </c>
      <c r="D110" s="132">
        <f>B110*2</f>
        <v>0.4</v>
      </c>
      <c r="E110" s="133">
        <f>C109*D110</f>
        <v>0.16000000000000003</v>
      </c>
      <c r="G110" s="82" t="s">
        <v>935</v>
      </c>
      <c r="H110" s="82">
        <v>4.12</v>
      </c>
      <c r="Q110" s="476">
        <v>2</v>
      </c>
      <c r="R110" s="476">
        <v>0.36</v>
      </c>
      <c r="S110" s="476">
        <v>0.7</v>
      </c>
      <c r="AA110" s="476">
        <v>2</v>
      </c>
      <c r="AB110" s="476">
        <v>0.34</v>
      </c>
      <c r="AC110" s="476">
        <v>0.1</v>
      </c>
    </row>
    <row r="111" spans="1:29" ht="15.5" x14ac:dyDescent="0.35">
      <c r="A111" s="82">
        <v>8</v>
      </c>
      <c r="B111" s="476"/>
      <c r="C111" s="476"/>
      <c r="D111" s="132">
        <f>B111*2</f>
        <v>0</v>
      </c>
      <c r="E111" s="133">
        <f>C110*D111</f>
        <v>0</v>
      </c>
      <c r="Q111" s="476">
        <v>4</v>
      </c>
      <c r="R111" s="476">
        <v>0.52</v>
      </c>
      <c r="S111" s="476">
        <v>0.5</v>
      </c>
      <c r="AA111" s="476">
        <v>4</v>
      </c>
      <c r="AB111" s="476">
        <v>0.43</v>
      </c>
      <c r="AC111" s="476">
        <v>0.7</v>
      </c>
    </row>
    <row r="112" spans="1:29" ht="15.5" x14ac:dyDescent="0.35">
      <c r="A112" s="82">
        <v>10</v>
      </c>
      <c r="B112" s="476"/>
      <c r="C112" s="476"/>
      <c r="D112" s="132">
        <f t="shared" ref="D112:D122" si="0">B112*2</f>
        <v>0</v>
      </c>
      <c r="E112" s="133">
        <f>C111*D112</f>
        <v>0</v>
      </c>
      <c r="Q112" s="476">
        <v>6</v>
      </c>
      <c r="R112" s="476">
        <v>0.41</v>
      </c>
      <c r="S112" s="476">
        <v>0.1</v>
      </c>
      <c r="AA112" s="476">
        <v>6</v>
      </c>
      <c r="AB112" s="476">
        <v>0.4</v>
      </c>
      <c r="AC112" s="476">
        <v>0.1</v>
      </c>
    </row>
    <row r="113" spans="1:29" ht="15.5" x14ac:dyDescent="0.35">
      <c r="A113" s="82">
        <v>12</v>
      </c>
      <c r="B113" s="476"/>
      <c r="C113" s="476"/>
      <c r="D113" s="132">
        <f t="shared" si="0"/>
        <v>0</v>
      </c>
      <c r="E113" s="133">
        <f>C112*D113</f>
        <v>0</v>
      </c>
      <c r="Q113" s="476">
        <v>8</v>
      </c>
      <c r="R113" s="610">
        <v>0.46</v>
      </c>
      <c r="S113" s="82">
        <v>0.8</v>
      </c>
      <c r="AA113" s="476">
        <v>8</v>
      </c>
      <c r="AB113" s="610">
        <v>0.4</v>
      </c>
      <c r="AC113" s="82">
        <v>0.6</v>
      </c>
    </row>
    <row r="114" spans="1:29" ht="15.5" x14ac:dyDescent="0.35">
      <c r="A114" s="82">
        <v>14</v>
      </c>
      <c r="B114" s="476"/>
      <c r="C114" s="476"/>
      <c r="D114" s="132">
        <f t="shared" si="0"/>
        <v>0</v>
      </c>
      <c r="E114" s="133">
        <f t="shared" ref="E114:E122" si="1">C114*D114</f>
        <v>0</v>
      </c>
      <c r="Q114" s="476">
        <v>10</v>
      </c>
      <c r="R114" s="610">
        <v>0.39</v>
      </c>
      <c r="S114" s="82">
        <v>0.6</v>
      </c>
      <c r="AA114" s="476">
        <v>10</v>
      </c>
      <c r="AB114" s="610"/>
      <c r="AC114" s="82"/>
    </row>
    <row r="115" spans="1:29" ht="15.5" x14ac:dyDescent="0.35">
      <c r="A115" s="82">
        <v>16</v>
      </c>
      <c r="B115" s="476"/>
      <c r="C115" s="476"/>
      <c r="D115" s="132">
        <f t="shared" si="0"/>
        <v>0</v>
      </c>
      <c r="E115" s="133">
        <f t="shared" si="1"/>
        <v>0</v>
      </c>
      <c r="Q115" s="606" t="s">
        <v>174</v>
      </c>
      <c r="R115" s="606">
        <v>8.2799999999999994</v>
      </c>
      <c r="S115" s="476" t="s">
        <v>955</v>
      </c>
      <c r="AA115" s="606" t="s">
        <v>174</v>
      </c>
      <c r="AB115" s="606">
        <v>7.9</v>
      </c>
      <c r="AC115" s="476" t="s">
        <v>969</v>
      </c>
    </row>
    <row r="116" spans="1:29" ht="15.5" x14ac:dyDescent="0.35">
      <c r="A116" s="82">
        <v>18</v>
      </c>
      <c r="B116" s="476"/>
      <c r="C116" s="476"/>
      <c r="D116" s="132">
        <f>B116*2</f>
        <v>0</v>
      </c>
      <c r="E116" s="133">
        <f t="shared" si="1"/>
        <v>0</v>
      </c>
      <c r="Q116" s="606" t="s">
        <v>173</v>
      </c>
      <c r="R116" s="606">
        <v>16.8</v>
      </c>
      <c r="S116" s="476"/>
      <c r="AA116" s="606" t="s">
        <v>173</v>
      </c>
      <c r="AB116" s="606">
        <v>12.57</v>
      </c>
      <c r="AC116" s="476"/>
    </row>
    <row r="117" spans="1:29" ht="15.5" x14ac:dyDescent="0.35">
      <c r="A117" s="82">
        <v>20</v>
      </c>
      <c r="B117" s="476"/>
      <c r="C117" s="476"/>
      <c r="D117" s="132">
        <f>B117*2</f>
        <v>0</v>
      </c>
      <c r="E117" s="133">
        <f t="shared" si="1"/>
        <v>0</v>
      </c>
      <c r="Q117" s="606" t="s">
        <v>172</v>
      </c>
      <c r="R117" s="606">
        <v>6.74</v>
      </c>
      <c r="S117" s="476"/>
      <c r="AA117" s="606" t="s">
        <v>172</v>
      </c>
      <c r="AB117" s="606">
        <v>7.81</v>
      </c>
      <c r="AC117" s="476"/>
    </row>
    <row r="118" spans="1:29" ht="15.5" x14ac:dyDescent="0.35">
      <c r="A118" s="82">
        <v>22</v>
      </c>
      <c r="B118" s="476"/>
      <c r="C118" s="476"/>
      <c r="D118" s="132">
        <f t="shared" si="0"/>
        <v>0</v>
      </c>
      <c r="E118" s="133">
        <f t="shared" si="1"/>
        <v>0</v>
      </c>
      <c r="Q118" s="606" t="s">
        <v>171</v>
      </c>
      <c r="R118" s="606">
        <v>0.16800000000000001</v>
      </c>
      <c r="S118" s="476"/>
      <c r="AA118" s="606" t="s">
        <v>171</v>
      </c>
      <c r="AB118" s="606">
        <v>0.251</v>
      </c>
      <c r="AC118" s="476"/>
    </row>
    <row r="119" spans="1:29" ht="15.5" x14ac:dyDescent="0.35">
      <c r="A119" s="82">
        <v>24</v>
      </c>
      <c r="B119" s="476"/>
      <c r="C119" s="476"/>
      <c r="D119" s="132">
        <f t="shared" si="0"/>
        <v>0</v>
      </c>
      <c r="E119" s="133">
        <f t="shared" si="1"/>
        <v>0</v>
      </c>
    </row>
    <row r="120" spans="1:29" ht="15.5" x14ac:dyDescent="0.35">
      <c r="A120" s="82">
        <v>26</v>
      </c>
      <c r="B120" s="476"/>
      <c r="C120" s="476"/>
      <c r="D120" s="132">
        <f t="shared" si="0"/>
        <v>0</v>
      </c>
      <c r="E120" s="133">
        <f t="shared" si="1"/>
        <v>0</v>
      </c>
    </row>
    <row r="121" spans="1:29" ht="15.5" x14ac:dyDescent="0.35">
      <c r="A121" s="82">
        <v>28</v>
      </c>
      <c r="B121" s="476"/>
      <c r="C121" s="476"/>
      <c r="D121" s="132">
        <f t="shared" si="0"/>
        <v>0</v>
      </c>
      <c r="E121" s="133">
        <f t="shared" si="1"/>
        <v>0</v>
      </c>
    </row>
    <row r="122" spans="1:29" ht="15.5" x14ac:dyDescent="0.35">
      <c r="A122" s="82">
        <v>30</v>
      </c>
      <c r="B122" s="476"/>
      <c r="C122" s="476"/>
      <c r="D122" s="132">
        <f t="shared" si="0"/>
        <v>0</v>
      </c>
      <c r="E122" s="133">
        <f t="shared" si="1"/>
        <v>0</v>
      </c>
    </row>
    <row r="123" spans="1:29" x14ac:dyDescent="0.25">
      <c r="E123" s="6">
        <f>SUM(E108:E122)</f>
        <v>0.72400000000000009</v>
      </c>
    </row>
  </sheetData>
  <mergeCells count="70">
    <mergeCell ref="Q105:S105"/>
    <mergeCell ref="AA105:AC105"/>
    <mergeCell ref="AA93:AC93"/>
    <mergeCell ref="AA55:AC55"/>
    <mergeCell ref="X56:Z56"/>
    <mergeCell ref="U64:W64"/>
    <mergeCell ref="AA80:AC80"/>
    <mergeCell ref="X81:Z81"/>
    <mergeCell ref="U83:W83"/>
    <mergeCell ref="Q55:S55"/>
    <mergeCell ref="Q80:S80"/>
    <mergeCell ref="AA30:AC30"/>
    <mergeCell ref="X31:Z31"/>
    <mergeCell ref="V32:W32"/>
    <mergeCell ref="Y84:Z84"/>
    <mergeCell ref="V86:W86"/>
    <mergeCell ref="U52:W52"/>
    <mergeCell ref="AA5:AC5"/>
    <mergeCell ref="V7:W7"/>
    <mergeCell ref="Y8:Z8"/>
    <mergeCell ref="AB8:AC8"/>
    <mergeCell ref="U15:W15"/>
    <mergeCell ref="N81:P81"/>
    <mergeCell ref="K83:M83"/>
    <mergeCell ref="Y21:Z21"/>
    <mergeCell ref="U29:W29"/>
    <mergeCell ref="X5:Z5"/>
    <mergeCell ref="V18:W18"/>
    <mergeCell ref="X18:Z18"/>
    <mergeCell ref="N56:P56"/>
    <mergeCell ref="K64:M64"/>
    <mergeCell ref="K52:M52"/>
    <mergeCell ref="G93:I93"/>
    <mergeCell ref="N5:P5"/>
    <mergeCell ref="Q5:S5"/>
    <mergeCell ref="L7:M7"/>
    <mergeCell ref="O8:P8"/>
    <mergeCell ref="R8:S8"/>
    <mergeCell ref="K15:M15"/>
    <mergeCell ref="L18:M18"/>
    <mergeCell ref="N18:P18"/>
    <mergeCell ref="O21:P21"/>
    <mergeCell ref="O84:P84"/>
    <mergeCell ref="K29:M29"/>
    <mergeCell ref="Q30:S30"/>
    <mergeCell ref="N31:P31"/>
    <mergeCell ref="L86:M86"/>
    <mergeCell ref="Q93:S93"/>
    <mergeCell ref="E84:F84"/>
    <mergeCell ref="G5:I5"/>
    <mergeCell ref="H8:I8"/>
    <mergeCell ref="G30:I30"/>
    <mergeCell ref="G55:I55"/>
    <mergeCell ref="G80:I80"/>
    <mergeCell ref="B86:C86"/>
    <mergeCell ref="D5:F5"/>
    <mergeCell ref="E8:F8"/>
    <mergeCell ref="D18:F18"/>
    <mergeCell ref="E21:F21"/>
    <mergeCell ref="B7:C7"/>
    <mergeCell ref="A15:C15"/>
    <mergeCell ref="B18:C18"/>
    <mergeCell ref="A29:C29"/>
    <mergeCell ref="A52:C52"/>
    <mergeCell ref="D31:F31"/>
    <mergeCell ref="D56:F56"/>
    <mergeCell ref="D81:F81"/>
    <mergeCell ref="B32:C32"/>
    <mergeCell ref="A64:C64"/>
    <mergeCell ref="A83:C8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37"/>
  <sheetViews>
    <sheetView workbookViewId="0">
      <selection activeCell="N20" sqref="N20"/>
    </sheetView>
  </sheetViews>
  <sheetFormatPr defaultRowHeight="12.5" x14ac:dyDescent="0.25"/>
  <cols>
    <col min="2" max="2" width="24.6328125" bestFit="1" customWidth="1"/>
    <col min="7" max="7" width="9.6328125" bestFit="1" customWidth="1"/>
    <col min="8" max="8" width="11.36328125" bestFit="1" customWidth="1"/>
  </cols>
  <sheetData>
    <row r="2" spans="1:9" ht="13" x14ac:dyDescent="0.3">
      <c r="A2" s="586"/>
      <c r="B2" s="567" t="s">
        <v>201</v>
      </c>
      <c r="C2" s="587">
        <v>40743</v>
      </c>
      <c r="D2" s="587">
        <v>40766</v>
      </c>
      <c r="E2" s="587">
        <v>40795</v>
      </c>
    </row>
    <row r="3" spans="1:9" ht="13" x14ac:dyDescent="0.3">
      <c r="A3" s="903" t="s">
        <v>740</v>
      </c>
      <c r="B3" s="572" t="s">
        <v>204</v>
      </c>
      <c r="C3" s="574">
        <v>157</v>
      </c>
      <c r="D3" s="574">
        <v>97</v>
      </c>
      <c r="E3" s="574">
        <v>176</v>
      </c>
    </row>
    <row r="4" spans="1:9" ht="13" x14ac:dyDescent="0.3">
      <c r="A4" s="903"/>
      <c r="B4" s="590" t="s">
        <v>281</v>
      </c>
      <c r="C4" s="574">
        <v>2</v>
      </c>
      <c r="D4" s="574">
        <v>34</v>
      </c>
      <c r="E4" s="574">
        <v>31</v>
      </c>
    </row>
    <row r="5" spans="1:9" ht="13" x14ac:dyDescent="0.3">
      <c r="A5" s="903"/>
      <c r="B5" s="572" t="s">
        <v>198</v>
      </c>
      <c r="C5" s="574">
        <v>11</v>
      </c>
      <c r="D5" s="574">
        <v>1</v>
      </c>
      <c r="E5" s="574">
        <v>7</v>
      </c>
    </row>
    <row r="6" spans="1:9" ht="13" x14ac:dyDescent="0.3">
      <c r="A6" s="904" t="s">
        <v>741</v>
      </c>
      <c r="B6" s="572" t="s">
        <v>204</v>
      </c>
      <c r="C6" s="574">
        <v>163</v>
      </c>
      <c r="D6" s="574">
        <v>107</v>
      </c>
      <c r="E6" s="574">
        <v>171</v>
      </c>
    </row>
    <row r="7" spans="1:9" ht="13" x14ac:dyDescent="0.3">
      <c r="A7" s="904"/>
      <c r="B7" s="590" t="s">
        <v>281</v>
      </c>
      <c r="C7" s="574">
        <v>42</v>
      </c>
      <c r="D7" s="574">
        <v>31</v>
      </c>
      <c r="E7" s="574">
        <v>31</v>
      </c>
    </row>
    <row r="8" spans="1:9" ht="13" x14ac:dyDescent="0.3">
      <c r="A8" s="904"/>
      <c r="B8" s="572" t="s">
        <v>198</v>
      </c>
      <c r="C8" s="574">
        <v>12</v>
      </c>
      <c r="D8" s="574">
        <v>5</v>
      </c>
      <c r="E8" s="574">
        <v>9</v>
      </c>
    </row>
    <row r="10" spans="1:9" ht="13" x14ac:dyDescent="0.3">
      <c r="A10" s="565" t="s">
        <v>168</v>
      </c>
      <c r="B10" s="566">
        <v>40742</v>
      </c>
      <c r="C10" s="533"/>
      <c r="D10" s="905"/>
      <c r="E10" s="905"/>
      <c r="F10" s="533"/>
    </row>
    <row r="11" spans="1:9" ht="13" x14ac:dyDescent="0.3">
      <c r="A11" s="567" t="s">
        <v>708</v>
      </c>
      <c r="B11" s="582" t="s">
        <v>170</v>
      </c>
      <c r="C11" s="582" t="s">
        <v>171</v>
      </c>
      <c r="D11" s="582" t="s">
        <v>172</v>
      </c>
      <c r="E11" s="582" t="s">
        <v>173</v>
      </c>
      <c r="F11" s="582" t="s">
        <v>174</v>
      </c>
      <c r="H11" s="533" t="s">
        <v>709</v>
      </c>
      <c r="I11" s="6">
        <f>AVERAGE(D12:D15)</f>
        <v>5.3274999999999997</v>
      </c>
    </row>
    <row r="12" spans="1:9" ht="13" x14ac:dyDescent="0.3">
      <c r="A12" s="568" t="s">
        <v>506</v>
      </c>
      <c r="B12" s="569">
        <v>0.4909722222222222</v>
      </c>
      <c r="C12" s="570">
        <v>0.115</v>
      </c>
      <c r="D12" s="90">
        <v>5.4</v>
      </c>
      <c r="E12" s="570">
        <v>21.3</v>
      </c>
      <c r="F12" s="570">
        <v>8.4700000000000006</v>
      </c>
      <c r="H12" s="533" t="s">
        <v>521</v>
      </c>
      <c r="I12" s="6">
        <f>AVERAGE(E12:E15)</f>
        <v>20.350000000000001</v>
      </c>
    </row>
    <row r="13" spans="1:9" ht="13" x14ac:dyDescent="0.3">
      <c r="A13" s="568" t="s">
        <v>175</v>
      </c>
      <c r="B13" s="572"/>
      <c r="C13" s="570">
        <v>0.11600000000000001</v>
      </c>
      <c r="D13" s="570">
        <v>5.08</v>
      </c>
      <c r="E13" s="570">
        <v>20.8</v>
      </c>
      <c r="F13" s="570">
        <v>8.52</v>
      </c>
      <c r="H13" s="533" t="s">
        <v>710</v>
      </c>
      <c r="I13" s="6">
        <f>AVERAGE(F12:F15)</f>
        <v>8.5525000000000002</v>
      </c>
    </row>
    <row r="14" spans="1:9" ht="13" x14ac:dyDescent="0.3">
      <c r="A14" s="568" t="s">
        <v>507</v>
      </c>
      <c r="B14" s="572"/>
      <c r="C14" s="570">
        <v>0.11799999999999999</v>
      </c>
      <c r="D14" s="570">
        <v>4.95</v>
      </c>
      <c r="E14" s="570">
        <v>20.6</v>
      </c>
      <c r="F14" s="570">
        <v>8.5399999999999991</v>
      </c>
      <c r="H14" s="533" t="s">
        <v>711</v>
      </c>
      <c r="I14" s="6">
        <f>AVERAGE(C12:C15)</f>
        <v>0.11649999999999999</v>
      </c>
    </row>
    <row r="15" spans="1:9" ht="13" x14ac:dyDescent="0.3">
      <c r="A15" s="568" t="s">
        <v>176</v>
      </c>
      <c r="B15" s="572"/>
      <c r="C15" s="570">
        <v>0.11700000000000001</v>
      </c>
      <c r="D15" s="570">
        <v>5.88</v>
      </c>
      <c r="E15" s="570">
        <v>18.7</v>
      </c>
      <c r="F15" s="570">
        <v>8.68</v>
      </c>
    </row>
    <row r="16" spans="1:9" ht="13" x14ac:dyDescent="0.3">
      <c r="A16" s="575" t="s">
        <v>168</v>
      </c>
      <c r="B16" s="576">
        <v>40766</v>
      </c>
      <c r="C16" s="533"/>
      <c r="D16" s="533"/>
      <c r="E16" s="533"/>
      <c r="F16" s="533"/>
    </row>
    <row r="17" spans="1:9" ht="13" x14ac:dyDescent="0.3">
      <c r="A17" s="567" t="s">
        <v>708</v>
      </c>
      <c r="B17" s="582" t="s">
        <v>170</v>
      </c>
      <c r="C17" s="582" t="s">
        <v>171</v>
      </c>
      <c r="D17" s="582" t="s">
        <v>172</v>
      </c>
      <c r="E17" s="582" t="s">
        <v>173</v>
      </c>
      <c r="F17" s="582" t="s">
        <v>174</v>
      </c>
      <c r="H17" s="533" t="s">
        <v>709</v>
      </c>
      <c r="I17" s="6">
        <f>AVERAGE(D18:D21)</f>
        <v>6.4749999999999996</v>
      </c>
    </row>
    <row r="18" spans="1:9" ht="13" x14ac:dyDescent="0.3">
      <c r="A18" s="568" t="s">
        <v>506</v>
      </c>
      <c r="B18" s="569">
        <v>0.43888888888888888</v>
      </c>
      <c r="C18" s="570">
        <v>8.7999999999999995E-2</v>
      </c>
      <c r="D18" s="570">
        <v>6.58</v>
      </c>
      <c r="E18" s="570">
        <v>19.600000000000001</v>
      </c>
      <c r="F18" s="570">
        <v>8.52</v>
      </c>
      <c r="H18" s="533" t="s">
        <v>521</v>
      </c>
      <c r="I18" s="6">
        <f>AVERAGE(E18:E21)</f>
        <v>19.350000000000001</v>
      </c>
    </row>
    <row r="19" spans="1:9" ht="13" x14ac:dyDescent="0.3">
      <c r="A19" s="568" t="s">
        <v>175</v>
      </c>
      <c r="B19" s="572"/>
      <c r="C19" s="570">
        <v>8.7999999999999995E-2</v>
      </c>
      <c r="D19" s="570">
        <v>6.25</v>
      </c>
      <c r="E19" s="570">
        <v>19.5</v>
      </c>
      <c r="F19" s="570">
        <v>8.49</v>
      </c>
      <c r="H19" s="533" t="s">
        <v>710</v>
      </c>
      <c r="I19" s="6">
        <f>AVERAGE(F18:F26)</f>
        <v>8.1255555555555574</v>
      </c>
    </row>
    <row r="20" spans="1:9" ht="13" x14ac:dyDescent="0.3">
      <c r="A20" s="568" t="s">
        <v>507</v>
      </c>
      <c r="B20" s="572"/>
      <c r="C20" s="570">
        <v>8.7999999999999995E-2</v>
      </c>
      <c r="D20" s="570">
        <v>6.65</v>
      </c>
      <c r="E20" s="570">
        <v>19.2</v>
      </c>
      <c r="F20" s="570">
        <v>8.51</v>
      </c>
      <c r="H20" s="533" t="s">
        <v>711</v>
      </c>
      <c r="I20" s="6">
        <f>AVERAGE(C18:C26)</f>
        <v>8.7999999999999981E-2</v>
      </c>
    </row>
    <row r="21" spans="1:9" ht="13" x14ac:dyDescent="0.3">
      <c r="A21" s="568" t="s">
        <v>176</v>
      </c>
      <c r="B21" s="572"/>
      <c r="C21" s="570">
        <v>8.7999999999999995E-2</v>
      </c>
      <c r="D21" s="570">
        <v>6.42</v>
      </c>
      <c r="E21" s="570">
        <v>19.100000000000001</v>
      </c>
      <c r="F21" s="570">
        <v>8.49</v>
      </c>
    </row>
    <row r="22" spans="1:9" ht="13" x14ac:dyDescent="0.3">
      <c r="A22" s="568" t="s">
        <v>508</v>
      </c>
      <c r="B22" s="572"/>
      <c r="C22" s="570">
        <v>8.7999999999999995E-2</v>
      </c>
      <c r="D22" s="570">
        <v>6.42</v>
      </c>
      <c r="E22" s="570">
        <v>18.600000000000001</v>
      </c>
      <c r="F22" s="570">
        <v>8.2899999999999991</v>
      </c>
    </row>
    <row r="23" spans="1:9" ht="13" x14ac:dyDescent="0.3">
      <c r="A23" s="568" t="s">
        <v>177</v>
      </c>
      <c r="B23" s="572"/>
      <c r="C23" s="570">
        <v>8.7999999999999995E-2</v>
      </c>
      <c r="D23" s="570">
        <v>5.15</v>
      </c>
      <c r="E23" s="570">
        <v>18.3</v>
      </c>
      <c r="F23" s="570">
        <v>7.95</v>
      </c>
    </row>
    <row r="24" spans="1:9" ht="13" x14ac:dyDescent="0.3">
      <c r="A24" s="568" t="s">
        <v>509</v>
      </c>
      <c r="B24" s="572"/>
      <c r="C24" s="570">
        <v>8.7999999999999995E-2</v>
      </c>
      <c r="D24" s="570">
        <v>5.08</v>
      </c>
      <c r="E24" s="570">
        <v>18</v>
      </c>
      <c r="F24" s="570">
        <v>7.86</v>
      </c>
    </row>
    <row r="25" spans="1:9" ht="13" x14ac:dyDescent="0.3">
      <c r="A25" s="568" t="s">
        <v>178</v>
      </c>
      <c r="B25" s="572"/>
      <c r="C25" s="570">
        <v>8.7999999999999995E-2</v>
      </c>
      <c r="D25" s="570">
        <v>3.85</v>
      </c>
      <c r="E25" s="570">
        <v>17.5</v>
      </c>
      <c r="F25" s="570">
        <v>7.65</v>
      </c>
    </row>
    <row r="26" spans="1:9" ht="13" x14ac:dyDescent="0.3">
      <c r="A26" s="568" t="s">
        <v>179</v>
      </c>
      <c r="B26" s="572"/>
      <c r="C26" s="570">
        <v>8.7999999999999995E-2</v>
      </c>
      <c r="D26" s="570">
        <v>3.24</v>
      </c>
      <c r="E26" s="570">
        <v>17.100000000000001</v>
      </c>
      <c r="F26" s="570">
        <v>7.37</v>
      </c>
    </row>
    <row r="27" spans="1:9" ht="13" x14ac:dyDescent="0.3">
      <c r="A27" s="577" t="s">
        <v>168</v>
      </c>
      <c r="B27" s="566">
        <v>40795</v>
      </c>
      <c r="C27" s="533"/>
      <c r="D27" s="533"/>
      <c r="E27" s="533"/>
      <c r="F27" s="533"/>
    </row>
    <row r="28" spans="1:9" ht="13" x14ac:dyDescent="0.3">
      <c r="A28" s="567" t="s">
        <v>708</v>
      </c>
      <c r="B28" s="582" t="s">
        <v>170</v>
      </c>
      <c r="C28" s="582" t="s">
        <v>171</v>
      </c>
      <c r="D28" s="582" t="s">
        <v>172</v>
      </c>
      <c r="E28" s="582" t="s">
        <v>173</v>
      </c>
      <c r="F28" s="582" t="s">
        <v>174</v>
      </c>
      <c r="H28" s="533" t="s">
        <v>709</v>
      </c>
      <c r="I28" s="6">
        <f>AVERAGE(D29:D32)</f>
        <v>3.8449999999999998</v>
      </c>
    </row>
    <row r="29" spans="1:9" ht="13" x14ac:dyDescent="0.3">
      <c r="A29" s="568" t="s">
        <v>506</v>
      </c>
      <c r="B29" s="569">
        <v>0.49444444444444446</v>
      </c>
      <c r="C29" s="570">
        <v>0.159</v>
      </c>
      <c r="D29" s="570">
        <v>4.29</v>
      </c>
      <c r="E29" s="570">
        <v>17.86</v>
      </c>
      <c r="F29" s="570">
        <v>7.83</v>
      </c>
      <c r="H29" s="533" t="s">
        <v>521</v>
      </c>
      <c r="I29" s="6">
        <f>AVERAGE(E29:E32)</f>
        <v>17.325000000000003</v>
      </c>
    </row>
    <row r="30" spans="1:9" ht="13" x14ac:dyDescent="0.3">
      <c r="A30" s="568" t="s">
        <v>175</v>
      </c>
      <c r="B30" s="572"/>
      <c r="C30" s="570">
        <v>0.158</v>
      </c>
      <c r="D30" s="570">
        <v>3.75</v>
      </c>
      <c r="E30" s="570">
        <v>17.2</v>
      </c>
      <c r="F30" s="570">
        <v>7.49</v>
      </c>
      <c r="H30" s="533" t="s">
        <v>710</v>
      </c>
      <c r="I30" s="6">
        <f>AVERAGE(F29:F37)</f>
        <v>7.3711111111111096</v>
      </c>
    </row>
    <row r="31" spans="1:9" ht="13" x14ac:dyDescent="0.3">
      <c r="A31" s="568" t="s">
        <v>507</v>
      </c>
      <c r="B31" s="572"/>
      <c r="C31" s="570">
        <v>0.158</v>
      </c>
      <c r="D31" s="570">
        <v>3.7</v>
      </c>
      <c r="E31" s="570">
        <v>17.14</v>
      </c>
      <c r="F31" s="570">
        <v>7.43</v>
      </c>
      <c r="H31" s="533" t="s">
        <v>711</v>
      </c>
      <c r="I31" s="6">
        <f>AVERAGE(C29:C37)</f>
        <v>0.15811111111111109</v>
      </c>
    </row>
    <row r="32" spans="1:9" ht="13" x14ac:dyDescent="0.3">
      <c r="A32" s="568" t="s">
        <v>176</v>
      </c>
      <c r="B32" s="572"/>
      <c r="C32" s="570">
        <v>0.158</v>
      </c>
      <c r="D32" s="570">
        <v>3.64</v>
      </c>
      <c r="E32" s="570">
        <v>17.100000000000001</v>
      </c>
      <c r="F32" s="570">
        <v>7.36</v>
      </c>
    </row>
    <row r="33" spans="1:6" ht="13" x14ac:dyDescent="0.3">
      <c r="A33" s="568" t="s">
        <v>508</v>
      </c>
      <c r="B33" s="572"/>
      <c r="C33" s="570">
        <v>0.158</v>
      </c>
      <c r="D33" s="570">
        <v>3.76</v>
      </c>
      <c r="E33" s="570">
        <v>17.09</v>
      </c>
      <c r="F33" s="570">
        <v>7.33</v>
      </c>
    </row>
    <row r="34" spans="1:6" ht="13" x14ac:dyDescent="0.3">
      <c r="A34" s="568" t="s">
        <v>177</v>
      </c>
      <c r="B34" s="572"/>
      <c r="C34" s="570">
        <v>0.158</v>
      </c>
      <c r="D34" s="570">
        <v>3.68</v>
      </c>
      <c r="E34" s="570">
        <v>17.079999999999998</v>
      </c>
      <c r="F34" s="570">
        <v>7.27</v>
      </c>
    </row>
    <row r="35" spans="1:6" ht="13" x14ac:dyDescent="0.3">
      <c r="A35" s="568" t="s">
        <v>509</v>
      </c>
      <c r="B35" s="572"/>
      <c r="C35" s="570">
        <v>0.158</v>
      </c>
      <c r="D35" s="578">
        <v>3.73</v>
      </c>
      <c r="E35" s="570">
        <v>17.07</v>
      </c>
      <c r="F35" s="570">
        <v>7.22</v>
      </c>
    </row>
    <row r="36" spans="1:6" ht="13" x14ac:dyDescent="0.3">
      <c r="A36" s="568" t="s">
        <v>178</v>
      </c>
      <c r="B36" s="572"/>
      <c r="C36" s="570">
        <v>0.158</v>
      </c>
      <c r="D36" s="570">
        <v>3.48</v>
      </c>
      <c r="E36" s="570">
        <v>17.07</v>
      </c>
      <c r="F36" s="570">
        <v>7.21</v>
      </c>
    </row>
    <row r="37" spans="1:6" ht="13" x14ac:dyDescent="0.3">
      <c r="A37" s="568" t="s">
        <v>179</v>
      </c>
      <c r="B37" s="572"/>
      <c r="C37" s="570">
        <v>0.158</v>
      </c>
      <c r="D37" s="570">
        <v>3.3</v>
      </c>
      <c r="E37" s="570">
        <v>17.05</v>
      </c>
      <c r="F37" s="570">
        <v>7.2</v>
      </c>
    </row>
  </sheetData>
  <mergeCells count="3">
    <mergeCell ref="A3:A5"/>
    <mergeCell ref="A6:A8"/>
    <mergeCell ref="D10:E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38"/>
  <sheetViews>
    <sheetView workbookViewId="0">
      <selection activeCell="T27" sqref="T27"/>
    </sheetView>
  </sheetViews>
  <sheetFormatPr defaultColWidth="8.90625" defaultRowHeight="13" x14ac:dyDescent="0.3"/>
  <cols>
    <col min="1" max="1" width="8.90625" style="533"/>
    <col min="2" max="2" width="26.36328125" style="533" bestFit="1" customWidth="1"/>
    <col min="3" max="4" width="9.08984375" style="533" bestFit="1" customWidth="1"/>
    <col min="5" max="5" width="8.08984375" style="533" bestFit="1" customWidth="1"/>
    <col min="6" max="6" width="8.90625" style="533"/>
    <col min="7" max="7" width="19.36328125" style="533" bestFit="1" customWidth="1"/>
    <col min="8" max="8" width="9.08984375" style="533" bestFit="1" customWidth="1"/>
    <col min="9" max="9" width="6" style="533" bestFit="1" customWidth="1"/>
    <col min="10" max="10" width="5" style="533" bestFit="1" customWidth="1"/>
    <col min="11" max="11" width="6.54296875" style="533" bestFit="1" customWidth="1"/>
    <col min="12" max="12" width="5" style="533" bestFit="1" customWidth="1"/>
    <col min="13" max="13" width="8.36328125" style="533" bestFit="1" customWidth="1"/>
    <col min="14" max="14" width="11.36328125" style="533" bestFit="1" customWidth="1"/>
    <col min="15" max="15" width="8.90625" style="533"/>
    <col min="16" max="16" width="3" style="533" bestFit="1" customWidth="1"/>
    <col min="17" max="17" width="24.453125" style="533" bestFit="1" customWidth="1"/>
    <col min="18" max="16384" width="8.90625" style="533"/>
  </cols>
  <sheetData>
    <row r="1" spans="1:24" x14ac:dyDescent="0.3">
      <c r="A1" s="533" t="s">
        <v>302</v>
      </c>
      <c r="G1" s="565" t="s">
        <v>168</v>
      </c>
      <c r="H1" s="566">
        <v>40743</v>
      </c>
      <c r="J1" s="905" t="s">
        <v>682</v>
      </c>
      <c r="K1" s="905"/>
    </row>
    <row r="2" spans="1:24" ht="14" x14ac:dyDescent="0.3">
      <c r="B2" s="906" t="s">
        <v>681</v>
      </c>
      <c r="C2" s="906"/>
      <c r="D2" s="906"/>
      <c r="E2" s="906"/>
      <c r="G2" s="567" t="s">
        <v>636</v>
      </c>
      <c r="H2" s="582" t="s">
        <v>170</v>
      </c>
      <c r="I2" s="582" t="s">
        <v>171</v>
      </c>
      <c r="J2" s="582" t="s">
        <v>172</v>
      </c>
      <c r="K2" s="582" t="s">
        <v>173</v>
      </c>
      <c r="L2" s="582" t="s">
        <v>174</v>
      </c>
      <c r="M2" s="567" t="s">
        <v>184</v>
      </c>
      <c r="N2" s="567" t="s">
        <v>195</v>
      </c>
      <c r="P2" s="583"/>
      <c r="Q2" s="584"/>
      <c r="R2" s="585"/>
    </row>
    <row r="3" spans="1:24" x14ac:dyDescent="0.3">
      <c r="A3" s="586"/>
      <c r="B3" s="567" t="s">
        <v>201</v>
      </c>
      <c r="C3" s="587">
        <v>40743</v>
      </c>
      <c r="D3" s="587">
        <v>40766</v>
      </c>
      <c r="E3" s="587">
        <v>40795</v>
      </c>
      <c r="G3" s="568" t="s">
        <v>506</v>
      </c>
      <c r="H3" s="569">
        <v>0.40763888888888888</v>
      </c>
      <c r="I3" s="570">
        <v>6.3E-2</v>
      </c>
      <c r="J3" s="570">
        <v>6.39</v>
      </c>
      <c r="K3" s="570">
        <v>20.2</v>
      </c>
      <c r="L3" s="570">
        <v>7.67</v>
      </c>
      <c r="M3" s="571">
        <v>2.46</v>
      </c>
      <c r="N3" s="572">
        <v>6.31</v>
      </c>
      <c r="P3" s="583"/>
      <c r="R3" s="585"/>
    </row>
    <row r="4" spans="1:24" x14ac:dyDescent="0.3">
      <c r="A4" s="908" t="s">
        <v>444</v>
      </c>
      <c r="B4" s="572" t="s">
        <v>222</v>
      </c>
      <c r="C4" s="574">
        <v>301</v>
      </c>
      <c r="D4" s="574">
        <v>247</v>
      </c>
      <c r="E4" s="574">
        <v>238</v>
      </c>
      <c r="G4" s="568" t="s">
        <v>175</v>
      </c>
      <c r="H4" s="572"/>
      <c r="I4" s="570">
        <v>0.06</v>
      </c>
      <c r="J4" s="570">
        <v>6.05</v>
      </c>
      <c r="K4" s="570">
        <v>18.7</v>
      </c>
      <c r="L4" s="570">
        <v>7.57</v>
      </c>
      <c r="M4" s="573"/>
      <c r="N4" s="533" t="s">
        <v>709</v>
      </c>
      <c r="O4" s="601">
        <f>AVERAGE(J3:J6)</f>
        <v>6.1775000000000002</v>
      </c>
      <c r="P4" s="583"/>
      <c r="R4" s="585"/>
    </row>
    <row r="5" spans="1:24" x14ac:dyDescent="0.3">
      <c r="A5" s="908"/>
      <c r="B5" s="572" t="s">
        <v>204</v>
      </c>
      <c r="C5" s="574">
        <v>37</v>
      </c>
      <c r="D5" s="574">
        <v>12</v>
      </c>
      <c r="E5" s="574">
        <v>10</v>
      </c>
      <c r="G5" s="568" t="s">
        <v>507</v>
      </c>
      <c r="H5" s="572"/>
      <c r="I5" s="570">
        <v>6.0999999999999999E-2</v>
      </c>
      <c r="J5" s="570">
        <v>6.38</v>
      </c>
      <c r="K5" s="570">
        <v>17.399999999999999</v>
      </c>
      <c r="L5" s="570">
        <v>7.48</v>
      </c>
      <c r="M5" s="573"/>
      <c r="N5" s="533" t="s">
        <v>521</v>
      </c>
      <c r="O5" s="601">
        <f>AVERAGE(K3:K6)</f>
        <v>18.125</v>
      </c>
      <c r="P5" s="583"/>
      <c r="Q5" s="588"/>
      <c r="R5" s="589"/>
    </row>
    <row r="6" spans="1:24" x14ac:dyDescent="0.3">
      <c r="A6" s="908"/>
      <c r="B6" s="590" t="s">
        <v>281</v>
      </c>
      <c r="C6" s="574">
        <v>23</v>
      </c>
      <c r="D6" s="574">
        <v>17</v>
      </c>
      <c r="E6" s="574">
        <v>46</v>
      </c>
      <c r="G6" s="568" t="s">
        <v>176</v>
      </c>
      <c r="H6" s="572"/>
      <c r="I6" s="570">
        <v>6.4000000000000001E-2</v>
      </c>
      <c r="J6" s="570">
        <v>5.89</v>
      </c>
      <c r="K6" s="570">
        <v>16.2</v>
      </c>
      <c r="L6" s="570">
        <v>7.35</v>
      </c>
      <c r="M6" s="573"/>
      <c r="N6" s="533" t="s">
        <v>710</v>
      </c>
      <c r="O6" s="601">
        <f>AVERAGE(L3:L12)</f>
        <v>7.1319999999999997</v>
      </c>
      <c r="P6" s="583"/>
      <c r="Q6" s="588"/>
      <c r="R6" s="589"/>
    </row>
    <row r="7" spans="1:24" x14ac:dyDescent="0.3">
      <c r="A7" s="908"/>
      <c r="B7" s="572" t="s">
        <v>198</v>
      </c>
      <c r="C7" s="574">
        <v>11</v>
      </c>
      <c r="D7" s="574">
        <v>5</v>
      </c>
      <c r="E7" s="574">
        <v>19</v>
      </c>
      <c r="G7" s="568" t="s">
        <v>508</v>
      </c>
      <c r="H7" s="572"/>
      <c r="I7" s="570">
        <v>6.4000000000000001E-2</v>
      </c>
      <c r="J7" s="570">
        <v>4.92</v>
      </c>
      <c r="K7" s="570">
        <v>15.4</v>
      </c>
      <c r="L7" s="570">
        <v>7.14</v>
      </c>
      <c r="M7" s="573"/>
      <c r="N7" s="533" t="s">
        <v>711</v>
      </c>
      <c r="O7" s="600">
        <f>AVERAGE(I3:I12)</f>
        <v>7.0800000000000002E-2</v>
      </c>
      <c r="P7" s="583"/>
      <c r="Q7" s="588"/>
      <c r="R7" s="589"/>
    </row>
    <row r="8" spans="1:24" x14ac:dyDescent="0.3">
      <c r="A8" s="908"/>
      <c r="B8" s="591" t="s">
        <v>199</v>
      </c>
      <c r="C8" s="574">
        <v>6</v>
      </c>
      <c r="D8" s="574">
        <v>2</v>
      </c>
      <c r="E8" s="574"/>
      <c r="G8" s="568" t="s">
        <v>177</v>
      </c>
      <c r="H8" s="572"/>
      <c r="I8" s="570">
        <v>6.6000000000000003E-2</v>
      </c>
      <c r="J8" s="570">
        <v>4.24</v>
      </c>
      <c r="K8" s="570">
        <v>14.8</v>
      </c>
      <c r="L8" s="570">
        <v>6.97</v>
      </c>
      <c r="M8" s="573"/>
      <c r="P8" s="583"/>
      <c r="Q8" s="584"/>
      <c r="R8" s="585"/>
    </row>
    <row r="9" spans="1:24" x14ac:dyDescent="0.3">
      <c r="A9" s="909"/>
      <c r="B9" s="591" t="s">
        <v>203</v>
      </c>
      <c r="C9" s="574"/>
      <c r="D9" s="574">
        <v>4</v>
      </c>
      <c r="E9" s="574"/>
      <c r="G9" s="568" t="s">
        <v>509</v>
      </c>
      <c r="H9" s="572"/>
      <c r="I9" s="570">
        <v>7.0000000000000007E-2</v>
      </c>
      <c r="J9" s="570">
        <v>2.63</v>
      </c>
      <c r="K9" s="570">
        <v>14.2</v>
      </c>
      <c r="L9" s="570">
        <v>6.87</v>
      </c>
      <c r="M9" s="573"/>
      <c r="P9" s="583"/>
      <c r="R9" s="585"/>
    </row>
    <row r="10" spans="1:24" x14ac:dyDescent="0.3">
      <c r="A10" s="907" t="s">
        <v>680</v>
      </c>
      <c r="B10" s="572" t="s">
        <v>222</v>
      </c>
      <c r="C10" s="574">
        <v>586</v>
      </c>
      <c r="D10" s="574">
        <v>360</v>
      </c>
      <c r="E10" s="574">
        <v>351</v>
      </c>
      <c r="G10" s="568" t="s">
        <v>178</v>
      </c>
      <c r="H10" s="572"/>
      <c r="I10" s="570">
        <v>7.1999999999999995E-2</v>
      </c>
      <c r="J10" s="570">
        <v>1.57</v>
      </c>
      <c r="K10" s="570">
        <v>13.6</v>
      </c>
      <c r="L10" s="570">
        <v>6.82</v>
      </c>
      <c r="M10" s="573"/>
      <c r="P10" s="583"/>
      <c r="R10" s="585"/>
    </row>
    <row r="11" spans="1:24" x14ac:dyDescent="0.3">
      <c r="A11" s="907"/>
      <c r="B11" s="572" t="s">
        <v>204</v>
      </c>
      <c r="C11" s="574">
        <v>7</v>
      </c>
      <c r="D11" s="574">
        <v>6</v>
      </c>
      <c r="E11" s="574">
        <v>18</v>
      </c>
      <c r="G11" s="568" t="s">
        <v>179</v>
      </c>
      <c r="H11" s="572"/>
      <c r="I11" s="570">
        <v>8.7999999999999995E-2</v>
      </c>
      <c r="J11" s="570">
        <v>0.08</v>
      </c>
      <c r="K11" s="570">
        <v>11.8</v>
      </c>
      <c r="L11" s="570">
        <v>6.7</v>
      </c>
      <c r="M11" s="573"/>
      <c r="P11" s="583"/>
      <c r="Q11" s="588"/>
      <c r="R11" s="589"/>
    </row>
    <row r="12" spans="1:24" x14ac:dyDescent="0.3">
      <c r="A12" s="907"/>
      <c r="B12" s="590" t="s">
        <v>281</v>
      </c>
      <c r="C12" s="574">
        <v>239</v>
      </c>
      <c r="D12" s="574">
        <v>16</v>
      </c>
      <c r="E12" s="574">
        <v>240</v>
      </c>
      <c r="G12" s="568" t="s">
        <v>180</v>
      </c>
      <c r="H12" s="572"/>
      <c r="I12" s="574">
        <v>0.1</v>
      </c>
      <c r="J12" s="574">
        <v>0.03</v>
      </c>
      <c r="K12" s="574">
        <v>10.9</v>
      </c>
      <c r="L12" s="574">
        <v>6.75</v>
      </c>
    </row>
    <row r="13" spans="1:24" x14ac:dyDescent="0.3">
      <c r="A13" s="907"/>
      <c r="B13" s="572" t="s">
        <v>198</v>
      </c>
      <c r="C13" s="574">
        <v>22</v>
      </c>
      <c r="D13" s="574">
        <v>18</v>
      </c>
      <c r="E13" s="574">
        <v>24</v>
      </c>
      <c r="G13" s="575" t="s">
        <v>168</v>
      </c>
      <c r="H13" s="576">
        <v>40766</v>
      </c>
    </row>
    <row r="14" spans="1:24" x14ac:dyDescent="0.3">
      <c r="A14" s="907"/>
      <c r="B14" s="591" t="s">
        <v>199</v>
      </c>
      <c r="C14" s="574">
        <v>6</v>
      </c>
      <c r="D14" s="574">
        <v>5</v>
      </c>
      <c r="E14" s="574"/>
      <c r="G14" s="567" t="s">
        <v>636</v>
      </c>
      <c r="H14" s="582" t="s">
        <v>170</v>
      </c>
      <c r="I14" s="582" t="s">
        <v>171</v>
      </c>
      <c r="J14" s="582" t="s">
        <v>172</v>
      </c>
      <c r="K14" s="582" t="s">
        <v>173</v>
      </c>
      <c r="L14" s="582" t="s">
        <v>174</v>
      </c>
      <c r="M14" s="567" t="s">
        <v>184</v>
      </c>
      <c r="N14" s="567" t="s">
        <v>195</v>
      </c>
    </row>
    <row r="15" spans="1:24" x14ac:dyDescent="0.3">
      <c r="A15" s="907"/>
      <c r="B15" s="591" t="s">
        <v>203</v>
      </c>
      <c r="C15" s="574"/>
      <c r="D15" s="574">
        <v>4</v>
      </c>
      <c r="E15" s="574"/>
      <c r="G15" s="568" t="s">
        <v>506</v>
      </c>
      <c r="H15" s="569">
        <v>0.10416666666666667</v>
      </c>
      <c r="I15" s="570">
        <v>3.6999999999999998E-2</v>
      </c>
      <c r="J15" s="570">
        <v>6.89</v>
      </c>
      <c r="K15" s="570">
        <v>19.5</v>
      </c>
      <c r="L15" s="570">
        <v>7.67</v>
      </c>
      <c r="M15" s="571">
        <v>2.62</v>
      </c>
      <c r="N15" s="572">
        <v>6.44</v>
      </c>
      <c r="R15" s="699"/>
      <c r="S15" s="90"/>
      <c r="T15" s="90"/>
      <c r="U15" s="90"/>
      <c r="V15" s="726"/>
      <c r="W15" s="90"/>
      <c r="X15" s="90"/>
    </row>
    <row r="16" spans="1:24" x14ac:dyDescent="0.3">
      <c r="G16" s="568" t="s">
        <v>175</v>
      </c>
      <c r="H16" s="572"/>
      <c r="I16" s="572"/>
      <c r="J16" s="572"/>
      <c r="K16" s="572"/>
      <c r="L16" s="572"/>
      <c r="M16" s="573"/>
      <c r="N16" s="533" t="s">
        <v>709</v>
      </c>
      <c r="O16" s="601">
        <f>AVERAGE(J15:J19)</f>
        <v>6.5200000000000005</v>
      </c>
      <c r="S16" s="90"/>
      <c r="T16" s="90"/>
      <c r="U16" s="90"/>
      <c r="V16" s="726"/>
    </row>
    <row r="17" spans="2:22" x14ac:dyDescent="0.3">
      <c r="G17" s="568" t="s">
        <v>507</v>
      </c>
      <c r="H17" s="572"/>
      <c r="I17" s="570">
        <v>3.7999999999999999E-2</v>
      </c>
      <c r="J17" s="570">
        <v>6.59</v>
      </c>
      <c r="K17" s="570">
        <v>17.100000000000001</v>
      </c>
      <c r="L17" s="570">
        <v>7.72</v>
      </c>
      <c r="M17" s="573"/>
      <c r="N17" s="533" t="s">
        <v>521</v>
      </c>
      <c r="O17" s="601">
        <f>AVERAGE(K15:K19)</f>
        <v>17.324999999999999</v>
      </c>
      <c r="S17" s="90"/>
      <c r="T17" s="90"/>
      <c r="U17" s="90"/>
      <c r="V17" s="726"/>
    </row>
    <row r="18" spans="2:22" x14ac:dyDescent="0.3">
      <c r="G18" s="568" t="s">
        <v>176</v>
      </c>
      <c r="H18" s="572"/>
      <c r="I18" s="570">
        <v>3.9E-2</v>
      </c>
      <c r="J18" s="570">
        <v>6.48</v>
      </c>
      <c r="K18" s="570">
        <v>16.5</v>
      </c>
      <c r="L18" s="570">
        <v>7.58</v>
      </c>
      <c r="M18" s="573"/>
      <c r="N18" s="533" t="s">
        <v>710</v>
      </c>
      <c r="O18" s="601">
        <f>AVERAGE(L15:L24)</f>
        <v>7.3100000000000005</v>
      </c>
      <c r="S18" s="90"/>
      <c r="T18" s="90"/>
      <c r="U18" s="90"/>
      <c r="V18" s="726"/>
    </row>
    <row r="19" spans="2:22" x14ac:dyDescent="0.3">
      <c r="B19" s="592"/>
      <c r="C19" s="593"/>
      <c r="D19" s="594"/>
      <c r="E19" s="584"/>
      <c r="G19" s="568" t="s">
        <v>508</v>
      </c>
      <c r="H19" s="572"/>
      <c r="I19" s="570">
        <v>3.9E-2</v>
      </c>
      <c r="J19" s="570">
        <v>6.12</v>
      </c>
      <c r="K19" s="570">
        <v>16.2</v>
      </c>
      <c r="L19" s="570">
        <v>7.5</v>
      </c>
      <c r="M19" s="573"/>
      <c r="N19" s="533" t="s">
        <v>711</v>
      </c>
      <c r="O19" s="600">
        <f>AVERAGE(I15:I24)</f>
        <v>4.844444444444445E-2</v>
      </c>
      <c r="P19" s="588"/>
      <c r="S19" s="90"/>
      <c r="T19" s="90"/>
      <c r="U19" s="90"/>
      <c r="V19" s="726"/>
    </row>
    <row r="20" spans="2:22" x14ac:dyDescent="0.3">
      <c r="B20" s="592"/>
      <c r="C20" s="593"/>
      <c r="D20" s="594"/>
      <c r="G20" s="568" t="s">
        <v>177</v>
      </c>
      <c r="H20" s="572"/>
      <c r="I20" s="570">
        <v>0.04</v>
      </c>
      <c r="J20" s="570">
        <v>4.88</v>
      </c>
      <c r="K20" s="570">
        <v>15.8</v>
      </c>
      <c r="L20" s="570">
        <v>7.4</v>
      </c>
      <c r="M20" s="573"/>
      <c r="O20" s="592"/>
      <c r="S20" s="90"/>
      <c r="T20" s="90"/>
      <c r="U20" s="90"/>
      <c r="V20" s="726"/>
    </row>
    <row r="21" spans="2:22" x14ac:dyDescent="0.3">
      <c r="B21" s="592"/>
      <c r="C21" s="593"/>
      <c r="D21" s="594"/>
      <c r="G21" s="568" t="s">
        <v>509</v>
      </c>
      <c r="H21" s="572"/>
      <c r="I21" s="570">
        <v>0.04</v>
      </c>
      <c r="J21" s="570">
        <v>2.56</v>
      </c>
      <c r="K21" s="570">
        <v>15.2</v>
      </c>
      <c r="L21" s="570">
        <v>7.2</v>
      </c>
      <c r="M21" s="573"/>
      <c r="S21" s="90"/>
      <c r="T21" s="90"/>
      <c r="U21" s="90"/>
      <c r="V21" s="726"/>
    </row>
    <row r="22" spans="2:22" x14ac:dyDescent="0.3">
      <c r="B22" s="592"/>
      <c r="C22" s="593"/>
      <c r="D22" s="594"/>
      <c r="G22" s="568" t="s">
        <v>178</v>
      </c>
      <c r="H22" s="572"/>
      <c r="I22" s="570">
        <v>4.5999999999999999E-2</v>
      </c>
      <c r="J22" s="570">
        <v>0.12</v>
      </c>
      <c r="K22" s="570">
        <v>14.4</v>
      </c>
      <c r="L22" s="570">
        <v>6.99</v>
      </c>
      <c r="M22" s="573"/>
      <c r="S22" s="90"/>
      <c r="T22" s="90"/>
      <c r="U22" s="90"/>
      <c r="V22" s="726"/>
    </row>
    <row r="23" spans="2:22" x14ac:dyDescent="0.3">
      <c r="B23" s="592"/>
      <c r="C23" s="593"/>
      <c r="D23" s="594"/>
      <c r="E23" s="584"/>
      <c r="G23" s="568" t="s">
        <v>179</v>
      </c>
      <c r="H23" s="572"/>
      <c r="I23" s="570">
        <v>5.7000000000000002E-2</v>
      </c>
      <c r="J23" s="570">
        <v>7.0000000000000007E-2</v>
      </c>
      <c r="K23" s="570">
        <v>12.6</v>
      </c>
      <c r="L23" s="570">
        <v>6.82</v>
      </c>
      <c r="M23" s="573"/>
      <c r="S23" s="90"/>
      <c r="T23" s="90"/>
      <c r="U23" s="90"/>
      <c r="V23" s="726"/>
    </row>
    <row r="24" spans="2:22" x14ac:dyDescent="0.3">
      <c r="B24" s="592"/>
      <c r="C24" s="593"/>
      <c r="D24" s="594"/>
      <c r="G24" s="568" t="s">
        <v>180</v>
      </c>
      <c r="H24" s="572"/>
      <c r="I24" s="572">
        <v>0.1</v>
      </c>
      <c r="J24" s="572">
        <v>0.06</v>
      </c>
      <c r="K24" s="572">
        <v>11.3</v>
      </c>
      <c r="L24" s="572">
        <v>6.91</v>
      </c>
    </row>
    <row r="25" spans="2:22" x14ac:dyDescent="0.3">
      <c r="B25" s="592"/>
      <c r="C25" s="593"/>
      <c r="D25" s="594"/>
      <c r="G25" s="577" t="s">
        <v>168</v>
      </c>
      <c r="H25" s="566">
        <v>40795</v>
      </c>
    </row>
    <row r="26" spans="2:22" x14ac:dyDescent="0.3">
      <c r="B26" s="592"/>
      <c r="C26" s="593"/>
      <c r="D26" s="594"/>
      <c r="G26" s="567" t="s">
        <v>636</v>
      </c>
      <c r="H26" s="582" t="s">
        <v>170</v>
      </c>
      <c r="I26" s="582" t="s">
        <v>171</v>
      </c>
      <c r="J26" s="582" t="s">
        <v>172</v>
      </c>
      <c r="K26" s="582" t="s">
        <v>173</v>
      </c>
      <c r="L26" s="582" t="s">
        <v>174</v>
      </c>
      <c r="M26" s="567" t="s">
        <v>184</v>
      </c>
      <c r="N26" s="567" t="s">
        <v>195</v>
      </c>
    </row>
    <row r="27" spans="2:22" x14ac:dyDescent="0.3">
      <c r="B27" s="592"/>
      <c r="C27" s="594"/>
      <c r="D27" s="594"/>
      <c r="E27" s="584"/>
      <c r="G27" s="568" t="s">
        <v>506</v>
      </c>
      <c r="H27" s="569">
        <v>9.0277777777777776E-2</v>
      </c>
      <c r="I27" s="570">
        <v>7.0999999999999994E-2</v>
      </c>
      <c r="J27" s="570">
        <v>6.44</v>
      </c>
      <c r="K27" s="570">
        <v>14.52</v>
      </c>
      <c r="L27" s="570">
        <v>8.56</v>
      </c>
      <c r="M27" s="571">
        <v>1.47</v>
      </c>
      <c r="N27" s="572">
        <v>6.28</v>
      </c>
    </row>
    <row r="28" spans="2:22" x14ac:dyDescent="0.3">
      <c r="B28" s="592"/>
      <c r="C28" s="594"/>
      <c r="D28" s="594"/>
      <c r="G28" s="568" t="s">
        <v>175</v>
      </c>
      <c r="H28" s="572"/>
      <c r="I28" s="570">
        <v>7.0999999999999994E-2</v>
      </c>
      <c r="J28" s="570">
        <v>5.48</v>
      </c>
      <c r="K28" s="570">
        <v>14.16</v>
      </c>
      <c r="L28" s="570">
        <v>8.57</v>
      </c>
      <c r="M28" s="573"/>
      <c r="N28" s="533" t="s">
        <v>709</v>
      </c>
      <c r="O28" s="601">
        <f>AVERAGE(J27:J30)</f>
        <v>5.6700000000000008</v>
      </c>
    </row>
    <row r="29" spans="2:22" x14ac:dyDescent="0.3">
      <c r="B29" s="592"/>
      <c r="C29" s="594"/>
      <c r="D29" s="594"/>
      <c r="G29" s="568" t="s">
        <v>507</v>
      </c>
      <c r="H29" s="572"/>
      <c r="I29" s="570">
        <v>7.0999999999999994E-2</v>
      </c>
      <c r="J29" s="570">
        <v>5.49</v>
      </c>
      <c r="K29" s="570">
        <v>13.95</v>
      </c>
      <c r="L29" s="570">
        <v>8.56</v>
      </c>
      <c r="M29" s="573"/>
      <c r="N29" s="533" t="s">
        <v>521</v>
      </c>
      <c r="O29" s="601">
        <f>AVERAGE(K27:K30)</f>
        <v>14.079999999999998</v>
      </c>
    </row>
    <row r="30" spans="2:22" x14ac:dyDescent="0.3">
      <c r="B30" s="592"/>
      <c r="C30" s="594"/>
      <c r="D30" s="594"/>
      <c r="G30" s="568" t="s">
        <v>176</v>
      </c>
      <c r="H30" s="572"/>
      <c r="I30" s="570">
        <v>7.0999999999999994E-2</v>
      </c>
      <c r="J30" s="570">
        <v>5.27</v>
      </c>
      <c r="K30" s="570">
        <v>13.69</v>
      </c>
      <c r="L30" s="570">
        <v>8.58</v>
      </c>
      <c r="M30" s="573"/>
      <c r="N30" s="533" t="s">
        <v>710</v>
      </c>
      <c r="O30" s="601">
        <f>AVERAGE(L27:L36)</f>
        <v>8.6379999999999999</v>
      </c>
    </row>
    <row r="31" spans="2:22" x14ac:dyDescent="0.3">
      <c r="B31" s="592"/>
      <c r="C31" s="594"/>
      <c r="D31" s="594"/>
      <c r="E31" s="584"/>
      <c r="G31" s="568" t="s">
        <v>508</v>
      </c>
      <c r="H31" s="572"/>
      <c r="I31" s="570">
        <v>7.0999999999999994E-2</v>
      </c>
      <c r="J31" s="570">
        <v>5.09</v>
      </c>
      <c r="K31" s="570">
        <v>13.52</v>
      </c>
      <c r="L31" s="570">
        <v>8.58</v>
      </c>
      <c r="M31" s="573"/>
      <c r="N31" s="533" t="s">
        <v>711</v>
      </c>
      <c r="O31" s="600">
        <f>AVERAGE(I27:I36)</f>
        <v>8.199999999999999E-2</v>
      </c>
    </row>
    <row r="32" spans="2:22" x14ac:dyDescent="0.3">
      <c r="B32" s="592"/>
      <c r="C32" s="594"/>
      <c r="D32" s="594"/>
      <c r="G32" s="568" t="s">
        <v>177</v>
      </c>
      <c r="H32" s="572"/>
      <c r="I32" s="570">
        <v>7.1999999999999995E-2</v>
      </c>
      <c r="J32" s="570">
        <v>4.71</v>
      </c>
      <c r="K32" s="570">
        <v>13.34</v>
      </c>
      <c r="L32" s="570">
        <v>8.7799999999999994</v>
      </c>
      <c r="M32" s="573"/>
    </row>
    <row r="33" spans="2:13" x14ac:dyDescent="0.3">
      <c r="B33" s="592"/>
      <c r="C33" s="594"/>
      <c r="D33" s="594"/>
      <c r="G33" s="568" t="s">
        <v>509</v>
      </c>
      <c r="H33" s="572"/>
      <c r="I33" s="570">
        <v>7.3999999999999996E-2</v>
      </c>
      <c r="J33" s="578">
        <v>4.22</v>
      </c>
      <c r="K33" s="570">
        <v>13.22</v>
      </c>
      <c r="L33" s="570">
        <v>8.7799999999999994</v>
      </c>
      <c r="M33" s="573"/>
    </row>
    <row r="34" spans="2:13" x14ac:dyDescent="0.3">
      <c r="B34" s="592"/>
      <c r="C34" s="594"/>
      <c r="D34" s="594"/>
      <c r="G34" s="568" t="s">
        <v>178</v>
      </c>
      <c r="H34" s="572"/>
      <c r="I34" s="570">
        <v>7.2999999999999995E-2</v>
      </c>
      <c r="J34" s="570">
        <v>4.54</v>
      </c>
      <c r="K34" s="570">
        <v>13.11</v>
      </c>
      <c r="L34" s="570">
        <v>8.7100000000000009</v>
      </c>
      <c r="M34" s="573"/>
    </row>
    <row r="35" spans="2:13" x14ac:dyDescent="0.3">
      <c r="B35" s="592"/>
      <c r="C35" s="594"/>
      <c r="D35" s="594"/>
      <c r="G35" s="568" t="s">
        <v>179</v>
      </c>
      <c r="H35" s="572"/>
      <c r="I35" s="570">
        <v>8.2000000000000003E-2</v>
      </c>
      <c r="J35" s="570">
        <v>2.97</v>
      </c>
      <c r="K35" s="570">
        <v>12.86</v>
      </c>
      <c r="L35" s="570">
        <v>8.66</v>
      </c>
      <c r="M35" s="573"/>
    </row>
    <row r="36" spans="2:13" x14ac:dyDescent="0.3">
      <c r="B36" s="592"/>
      <c r="C36" s="594"/>
      <c r="D36" s="594"/>
      <c r="E36" s="584"/>
      <c r="G36" s="568" t="s">
        <v>180</v>
      </c>
      <c r="H36" s="572"/>
      <c r="I36" s="574">
        <v>0.16400000000000001</v>
      </c>
      <c r="J36" s="574">
        <v>0.09</v>
      </c>
      <c r="K36" s="574">
        <v>11.88</v>
      </c>
      <c r="L36" s="574">
        <v>8.6</v>
      </c>
    </row>
    <row r="37" spans="2:13" x14ac:dyDescent="0.3">
      <c r="B37" s="592"/>
      <c r="C37" s="594"/>
      <c r="D37" s="594"/>
      <c r="G37" s="579" t="s">
        <v>683</v>
      </c>
      <c r="H37" s="580"/>
      <c r="I37" s="581">
        <v>7.0999999999999994E-2</v>
      </c>
      <c r="J37" s="581">
        <v>5.24</v>
      </c>
      <c r="K37" s="581">
        <v>13.99</v>
      </c>
      <c r="L37" s="581">
        <v>8.73</v>
      </c>
    </row>
    <row r="38" spans="2:13" x14ac:dyDescent="0.3">
      <c r="B38" s="592"/>
      <c r="C38" s="594"/>
      <c r="D38" s="594"/>
      <c r="G38" s="595"/>
      <c r="H38" s="585"/>
    </row>
  </sheetData>
  <mergeCells count="4">
    <mergeCell ref="B2:E2"/>
    <mergeCell ref="A10:A15"/>
    <mergeCell ref="A4:A9"/>
    <mergeCell ref="J1:K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H10"/>
  <sheetViews>
    <sheetView workbookViewId="0">
      <selection activeCell="R38" sqref="R38"/>
    </sheetView>
  </sheetViews>
  <sheetFormatPr defaultRowHeight="12.5" x14ac:dyDescent="0.25"/>
  <cols>
    <col min="1" max="1" width="13.36328125" bestFit="1" customWidth="1"/>
    <col min="2" max="4" width="4.54296875" bestFit="1" customWidth="1"/>
    <col min="5" max="5" width="5" bestFit="1" customWidth="1"/>
    <col min="6" max="7" width="6" bestFit="1" customWidth="1"/>
    <col min="8" max="9" width="5.36328125" customWidth="1"/>
    <col min="10" max="12" width="5.453125" customWidth="1"/>
    <col min="13" max="13" width="5.36328125" customWidth="1"/>
    <col min="14" max="14" width="5.6328125" customWidth="1"/>
    <col min="15" max="15" width="5.54296875" customWidth="1"/>
    <col min="16" max="16" width="6" customWidth="1"/>
    <col min="18" max="18" width="30.6328125" bestFit="1" customWidth="1"/>
    <col min="19" max="26" width="4.54296875" bestFit="1" customWidth="1"/>
    <col min="27" max="27" width="4.08984375" hidden="1" customWidth="1"/>
    <col min="28" max="28" width="4.54296875" bestFit="1" customWidth="1"/>
    <col min="29" max="29" width="4.54296875" customWidth="1"/>
    <col min="30" max="34" width="4.54296875" bestFit="1" customWidth="1"/>
  </cols>
  <sheetData>
    <row r="1" spans="1:34" x14ac:dyDescent="0.25">
      <c r="A1" s="912" t="s">
        <v>252</v>
      </c>
      <c r="B1" s="910" t="s">
        <v>890</v>
      </c>
      <c r="C1" s="911"/>
      <c r="D1" s="911"/>
      <c r="E1" s="911"/>
      <c r="F1" s="911"/>
      <c r="G1" s="911"/>
      <c r="H1" s="911"/>
      <c r="I1" s="911"/>
      <c r="J1" s="911"/>
      <c r="K1" s="911"/>
      <c r="L1" s="911"/>
      <c r="M1" s="911"/>
      <c r="N1" s="911"/>
      <c r="O1" s="911"/>
      <c r="P1" s="911"/>
      <c r="R1" s="913" t="s">
        <v>254</v>
      </c>
      <c r="S1" s="914" t="s">
        <v>527</v>
      </c>
      <c r="T1" s="915"/>
      <c r="U1" s="915"/>
      <c r="V1" s="915"/>
      <c r="W1" s="915"/>
      <c r="X1" s="915"/>
      <c r="Y1" s="915"/>
      <c r="Z1" s="915"/>
      <c r="AA1" s="915"/>
      <c r="AB1" s="915"/>
      <c r="AC1" s="915"/>
      <c r="AD1" s="915"/>
      <c r="AE1" s="915"/>
      <c r="AF1" s="915"/>
      <c r="AG1" s="915"/>
      <c r="AH1" s="916"/>
    </row>
    <row r="2" spans="1:34" x14ac:dyDescent="0.25">
      <c r="A2" s="912"/>
      <c r="B2" s="267" t="s">
        <v>78</v>
      </c>
      <c r="C2" s="267" t="s">
        <v>79</v>
      </c>
      <c r="D2" s="267" t="s">
        <v>80</v>
      </c>
      <c r="E2" s="267" t="s">
        <v>81</v>
      </c>
      <c r="F2" s="267" t="s">
        <v>82</v>
      </c>
      <c r="G2" s="267" t="s">
        <v>83</v>
      </c>
      <c r="H2" s="267" t="s">
        <v>84</v>
      </c>
      <c r="I2" s="274" t="s">
        <v>84</v>
      </c>
      <c r="J2" s="267" t="s">
        <v>85</v>
      </c>
      <c r="K2" s="274" t="s">
        <v>85</v>
      </c>
      <c r="L2" s="274" t="s">
        <v>86</v>
      </c>
      <c r="M2" s="267" t="s">
        <v>86</v>
      </c>
      <c r="N2" s="267" t="s">
        <v>87</v>
      </c>
      <c r="O2" s="267" t="s">
        <v>88</v>
      </c>
      <c r="P2" s="267" t="s">
        <v>89</v>
      </c>
      <c r="R2" s="913"/>
      <c r="S2" s="151" t="s">
        <v>78</v>
      </c>
      <c r="T2" s="151" t="s">
        <v>79</v>
      </c>
      <c r="U2" s="151" t="s">
        <v>80</v>
      </c>
      <c r="V2" s="151" t="s">
        <v>81</v>
      </c>
      <c r="W2" s="151" t="s">
        <v>82</v>
      </c>
      <c r="X2" s="151" t="s">
        <v>83</v>
      </c>
      <c r="Y2" s="151" t="s">
        <v>84</v>
      </c>
      <c r="Z2" s="151" t="s">
        <v>84</v>
      </c>
      <c r="AA2" s="151" t="s">
        <v>85</v>
      </c>
      <c r="AB2" s="151" t="s">
        <v>85</v>
      </c>
      <c r="AC2" s="151" t="s">
        <v>85</v>
      </c>
      <c r="AD2" s="151" t="s">
        <v>86</v>
      </c>
      <c r="AE2" s="151" t="s">
        <v>86</v>
      </c>
      <c r="AF2" s="151" t="s">
        <v>87</v>
      </c>
      <c r="AG2" s="151" t="s">
        <v>88</v>
      </c>
      <c r="AH2" s="151" t="s">
        <v>89</v>
      </c>
    </row>
    <row r="3" spans="1:34" x14ac:dyDescent="0.25">
      <c r="A3" s="596" t="s">
        <v>260</v>
      </c>
      <c r="B3" s="917" t="s">
        <v>258</v>
      </c>
      <c r="C3" s="918"/>
      <c r="D3" s="919"/>
      <c r="E3" s="920" t="s">
        <v>259</v>
      </c>
      <c r="F3" s="921"/>
      <c r="G3" s="921"/>
      <c r="H3" s="921"/>
      <c r="I3" s="921"/>
      <c r="J3" s="921"/>
      <c r="K3" s="921"/>
      <c r="L3" s="921"/>
      <c r="M3" s="921"/>
      <c r="N3" s="921"/>
      <c r="O3" s="921"/>
      <c r="P3" s="922"/>
      <c r="R3" s="179" t="s">
        <v>270</v>
      </c>
      <c r="S3" s="80">
        <v>11.75</v>
      </c>
      <c r="T3" s="80">
        <v>10.199999999999999</v>
      </c>
      <c r="U3" s="80">
        <v>10.7</v>
      </c>
      <c r="V3" s="80">
        <v>10.6</v>
      </c>
      <c r="W3" s="82">
        <v>10.8</v>
      </c>
      <c r="X3" s="80">
        <v>10.85</v>
      </c>
      <c r="Y3" s="82">
        <v>10.75</v>
      </c>
      <c r="Z3" s="80">
        <v>10.67</v>
      </c>
      <c r="AA3" s="80"/>
      <c r="AB3" s="80">
        <v>10.65</v>
      </c>
      <c r="AC3" s="80">
        <v>10.7</v>
      </c>
      <c r="AD3" s="80">
        <v>10.8</v>
      </c>
      <c r="AE3" s="80">
        <v>10.65</v>
      </c>
      <c r="AF3" s="80">
        <v>10.65</v>
      </c>
      <c r="AG3" s="80">
        <v>10.9</v>
      </c>
      <c r="AH3" s="80">
        <v>10.6</v>
      </c>
    </row>
    <row r="4" spans="1:34" x14ac:dyDescent="0.25">
      <c r="A4" s="274" t="s">
        <v>262</v>
      </c>
      <c r="B4" s="85">
        <v>4.4000000000000004</v>
      </c>
      <c r="C4" s="85">
        <v>5.4</v>
      </c>
      <c r="D4" s="85">
        <v>7.8</v>
      </c>
      <c r="E4" s="80">
        <v>10.9</v>
      </c>
      <c r="F4" s="80">
        <v>13.6</v>
      </c>
      <c r="G4" s="80">
        <v>20.399999999999999</v>
      </c>
      <c r="H4" s="80">
        <v>22.9</v>
      </c>
      <c r="I4" s="80">
        <v>23.2</v>
      </c>
      <c r="J4" s="80">
        <v>22.8</v>
      </c>
      <c r="K4" s="80">
        <v>22.3</v>
      </c>
      <c r="L4" s="80">
        <v>19.8</v>
      </c>
      <c r="M4" s="80">
        <v>17.8</v>
      </c>
      <c r="N4" s="80">
        <v>12.7</v>
      </c>
      <c r="O4" s="80">
        <v>5.4</v>
      </c>
      <c r="P4" s="80">
        <v>3.7</v>
      </c>
      <c r="R4" s="179" t="s">
        <v>550</v>
      </c>
      <c r="S4" s="80">
        <v>11.86</v>
      </c>
      <c r="T4" s="80">
        <v>8.93</v>
      </c>
      <c r="U4" s="80">
        <v>9.6</v>
      </c>
      <c r="V4" s="80">
        <v>10.199999999999999</v>
      </c>
      <c r="W4" s="82">
        <v>8.77</v>
      </c>
      <c r="X4" s="80">
        <v>8.0500000000000007</v>
      </c>
      <c r="Y4" s="82">
        <v>5.85</v>
      </c>
      <c r="Z4" s="80">
        <v>6.04</v>
      </c>
      <c r="AA4" s="80"/>
      <c r="AB4" s="80">
        <v>6.49</v>
      </c>
      <c r="AC4" s="80">
        <v>7.46</v>
      </c>
      <c r="AD4" s="80">
        <v>7.24</v>
      </c>
      <c r="AE4" s="80">
        <v>6.9</v>
      </c>
      <c r="AF4" s="80">
        <v>11.2</v>
      </c>
      <c r="AG4" s="80">
        <v>9.39</v>
      </c>
      <c r="AH4" s="80">
        <v>11.38</v>
      </c>
    </row>
    <row r="5" spans="1:34" x14ac:dyDescent="0.25">
      <c r="A5" s="274" t="s">
        <v>263</v>
      </c>
      <c r="B5" s="85">
        <v>4.7</v>
      </c>
      <c r="C5" s="85"/>
      <c r="D5" s="85">
        <v>7.7</v>
      </c>
      <c r="E5" s="80">
        <v>10.8</v>
      </c>
      <c r="F5" s="80">
        <v>13.7</v>
      </c>
      <c r="G5" s="80">
        <v>20.6</v>
      </c>
      <c r="H5" s="80">
        <v>22.7</v>
      </c>
      <c r="I5" s="80">
        <v>23.1</v>
      </c>
      <c r="J5" s="80">
        <v>22.8</v>
      </c>
      <c r="K5" s="80">
        <v>22.5</v>
      </c>
      <c r="L5" s="80">
        <v>19.8</v>
      </c>
      <c r="M5" s="80">
        <v>17.8</v>
      </c>
      <c r="N5" s="80">
        <v>12.8</v>
      </c>
      <c r="O5" s="80"/>
      <c r="P5" s="80">
        <v>4</v>
      </c>
      <c r="R5" s="179" t="s">
        <v>269</v>
      </c>
      <c r="S5" s="80">
        <v>9.14</v>
      </c>
      <c r="T5" s="80">
        <v>7.44</v>
      </c>
      <c r="U5" s="80">
        <v>8.84</v>
      </c>
      <c r="V5" s="80">
        <v>10.029999999999999</v>
      </c>
      <c r="W5" s="82">
        <v>6.99</v>
      </c>
      <c r="X5" s="80">
        <v>7.24</v>
      </c>
      <c r="Y5" s="82">
        <v>4.6399999999999997</v>
      </c>
      <c r="Z5" s="80">
        <v>4.99</v>
      </c>
      <c r="AA5" s="80"/>
      <c r="AB5" s="80">
        <v>6.02</v>
      </c>
      <c r="AC5" s="80">
        <v>7.03</v>
      </c>
      <c r="AD5" s="80">
        <v>6.98</v>
      </c>
      <c r="AE5" s="80">
        <v>6.76</v>
      </c>
      <c r="AF5" s="80">
        <v>9.32</v>
      </c>
      <c r="AG5" s="80">
        <v>9.19</v>
      </c>
      <c r="AH5" s="80">
        <v>9.16</v>
      </c>
    </row>
    <row r="6" spans="1:34" x14ac:dyDescent="0.25">
      <c r="A6" s="274" t="s">
        <v>264</v>
      </c>
      <c r="B6" s="85">
        <v>4.5999999999999996</v>
      </c>
      <c r="C6" s="85"/>
      <c r="D6" s="85">
        <v>7.8</v>
      </c>
      <c r="E6" s="80">
        <v>10.9</v>
      </c>
      <c r="F6" s="80">
        <v>13.7</v>
      </c>
      <c r="G6" s="80">
        <v>20.2</v>
      </c>
      <c r="H6" s="80">
        <v>22.8</v>
      </c>
      <c r="I6" s="80">
        <v>23.1</v>
      </c>
      <c r="J6" s="80">
        <v>22.5</v>
      </c>
      <c r="K6" s="80">
        <v>22.8</v>
      </c>
      <c r="L6" s="80">
        <v>19.899999999999999</v>
      </c>
      <c r="M6" s="80">
        <v>18</v>
      </c>
      <c r="N6" s="80">
        <v>12.7</v>
      </c>
      <c r="O6" s="80"/>
      <c r="P6" s="80">
        <v>4.2</v>
      </c>
      <c r="R6" s="89"/>
      <c r="S6" s="455"/>
      <c r="T6" s="455"/>
      <c r="U6" s="455"/>
      <c r="V6" s="455"/>
      <c r="W6" s="89"/>
      <c r="X6" s="317"/>
      <c r="Y6" s="89"/>
      <c r="Z6" s="455"/>
      <c r="AA6" s="455"/>
      <c r="AB6" s="455"/>
      <c r="AC6" s="455"/>
      <c r="AD6" s="455"/>
      <c r="AE6" s="455"/>
      <c r="AF6" s="455"/>
      <c r="AG6" s="455"/>
      <c r="AH6" s="455"/>
    </row>
    <row r="7" spans="1:34" x14ac:dyDescent="0.25">
      <c r="A7" s="274" t="s">
        <v>265</v>
      </c>
      <c r="B7" s="85">
        <v>4.0999999999999996</v>
      </c>
      <c r="C7" s="85">
        <v>5</v>
      </c>
      <c r="D7" s="85">
        <v>8.3000000000000007</v>
      </c>
      <c r="E7" s="80">
        <v>11.1</v>
      </c>
      <c r="F7" s="80">
        <v>13.8</v>
      </c>
      <c r="G7" s="80">
        <v>21.1</v>
      </c>
      <c r="H7" s="80">
        <v>24.3</v>
      </c>
      <c r="I7" s="80">
        <v>23.8</v>
      </c>
      <c r="J7" s="80">
        <v>23</v>
      </c>
      <c r="K7" s="80">
        <v>22.8</v>
      </c>
      <c r="L7" s="80">
        <v>20</v>
      </c>
      <c r="M7" s="80">
        <v>18.5</v>
      </c>
      <c r="N7" s="80">
        <v>13</v>
      </c>
      <c r="O7" s="80"/>
      <c r="P7" s="80">
        <v>3.6</v>
      </c>
      <c r="R7" s="89"/>
      <c r="S7" s="455"/>
      <c r="T7" s="455"/>
      <c r="U7" s="455"/>
      <c r="V7" s="455"/>
      <c r="W7" s="89"/>
      <c r="X7" s="317"/>
      <c r="Y7" s="89"/>
      <c r="Z7" s="455"/>
      <c r="AA7" s="455"/>
      <c r="AB7" s="455"/>
      <c r="AC7" s="455"/>
      <c r="AD7" s="455"/>
      <c r="AE7" s="455"/>
      <c r="AF7" s="455"/>
      <c r="AG7" s="455"/>
      <c r="AH7" s="455"/>
    </row>
    <row r="8" spans="1:34" x14ac:dyDescent="0.25">
      <c r="A8" s="274" t="s">
        <v>266</v>
      </c>
      <c r="B8" s="85">
        <v>4.4000000000000004</v>
      </c>
      <c r="C8" s="85">
        <v>4.5</v>
      </c>
      <c r="D8" s="85">
        <v>7.9</v>
      </c>
      <c r="E8" s="80">
        <v>11</v>
      </c>
      <c r="F8" s="80">
        <v>13.7</v>
      </c>
      <c r="G8" s="80">
        <v>21.1</v>
      </c>
      <c r="H8" s="80">
        <v>23.2</v>
      </c>
      <c r="I8" s="80">
        <v>23.6</v>
      </c>
      <c r="J8" s="80">
        <v>22.9</v>
      </c>
      <c r="K8" s="80">
        <v>22.8</v>
      </c>
      <c r="L8" s="80">
        <v>19.899999999999999</v>
      </c>
      <c r="M8" s="80">
        <v>18.100000000000001</v>
      </c>
      <c r="N8" s="80">
        <v>12.7</v>
      </c>
      <c r="O8" s="80"/>
      <c r="P8" s="80">
        <v>3.5</v>
      </c>
      <c r="R8" s="345"/>
      <c r="S8" s="455"/>
      <c r="T8" s="455"/>
      <c r="U8" s="455"/>
      <c r="V8" s="455"/>
      <c r="W8" s="89"/>
      <c r="X8" s="317"/>
      <c r="Y8" s="89"/>
      <c r="Z8" s="455"/>
      <c r="AA8" s="455"/>
      <c r="AB8" s="455"/>
      <c r="AC8" s="455"/>
      <c r="AD8" s="455"/>
      <c r="AE8" s="455"/>
      <c r="AF8" s="455"/>
      <c r="AG8" s="455"/>
      <c r="AH8" s="455"/>
    </row>
    <row r="9" spans="1:34" x14ac:dyDescent="0.25">
      <c r="A9" s="597" t="s">
        <v>268</v>
      </c>
      <c r="B9" s="311">
        <v>9</v>
      </c>
      <c r="C9" s="468">
        <v>9</v>
      </c>
      <c r="D9" s="468">
        <v>9</v>
      </c>
    </row>
    <row r="10" spans="1:34" x14ac:dyDescent="0.25">
      <c r="A10" s="430" t="s">
        <v>267</v>
      </c>
      <c r="C10" s="318"/>
      <c r="D10" s="318"/>
      <c r="E10" s="469">
        <v>23.3</v>
      </c>
      <c r="F10" s="469">
        <v>23.3</v>
      </c>
      <c r="G10" s="469">
        <v>23.3</v>
      </c>
      <c r="H10" s="469">
        <v>23.3</v>
      </c>
      <c r="I10" s="469">
        <v>23.3</v>
      </c>
      <c r="J10" s="469">
        <v>23.3</v>
      </c>
      <c r="K10" s="469">
        <v>23.3</v>
      </c>
      <c r="L10" s="469">
        <v>23.3</v>
      </c>
      <c r="M10" s="469">
        <v>23.3</v>
      </c>
      <c r="N10" s="469">
        <v>23.3</v>
      </c>
      <c r="O10" s="469">
        <v>23.3</v>
      </c>
      <c r="P10" s="469">
        <v>23.3</v>
      </c>
    </row>
  </sheetData>
  <mergeCells count="6">
    <mergeCell ref="B1:P1"/>
    <mergeCell ref="A1:A2"/>
    <mergeCell ref="R1:R2"/>
    <mergeCell ref="S1:AH1"/>
    <mergeCell ref="B3:D3"/>
    <mergeCell ref="E3:P3"/>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C175"/>
  <sheetViews>
    <sheetView workbookViewId="0">
      <selection activeCell="E2" sqref="E2"/>
    </sheetView>
  </sheetViews>
  <sheetFormatPr defaultRowHeight="12.5" x14ac:dyDescent="0.25"/>
  <cols>
    <col min="1" max="1" width="11.90625" customWidth="1"/>
    <col min="2" max="2" width="10.08984375" bestFit="1" customWidth="1"/>
    <col min="3" max="3" width="7" bestFit="1" customWidth="1"/>
    <col min="4" max="4" width="10.54296875" bestFit="1" customWidth="1"/>
    <col min="5" max="5" width="6.54296875" customWidth="1"/>
    <col min="6" max="6" width="7.90625" customWidth="1"/>
    <col min="7" max="7" width="10.54296875" bestFit="1" customWidth="1"/>
    <col min="8" max="8" width="6.6328125" customWidth="1"/>
    <col min="9" max="9" width="7" bestFit="1" customWidth="1"/>
    <col min="10" max="10" width="10.54296875" bestFit="1" customWidth="1"/>
    <col min="11" max="11" width="7" customWidth="1"/>
    <col min="15" max="15" width="19.453125" customWidth="1"/>
    <col min="21" max="21" width="6.90625" bestFit="1" customWidth="1"/>
    <col min="22" max="22" width="7" bestFit="1" customWidth="1"/>
    <col min="23" max="23" width="7.08984375" bestFit="1" customWidth="1"/>
    <col min="24" max="24" width="7" bestFit="1" customWidth="1"/>
    <col min="25" max="25" width="6.6328125" bestFit="1" customWidth="1"/>
    <col min="26" max="26" width="7.08984375" bestFit="1" customWidth="1"/>
    <col min="27" max="27" width="7" bestFit="1" customWidth="1"/>
    <col min="28" max="29" width="5.54296875" customWidth="1"/>
    <col min="30" max="30" width="20.08984375" bestFit="1" customWidth="1"/>
    <col min="32" max="32" width="12" bestFit="1" customWidth="1"/>
    <col min="34" max="34" width="9.54296875" bestFit="1" customWidth="1"/>
    <col min="35" max="35" width="8.54296875" bestFit="1" customWidth="1"/>
    <col min="36" max="36" width="12.08984375" bestFit="1" customWidth="1"/>
    <col min="37" max="37" width="12.90625" style="90" customWidth="1"/>
    <col min="40" max="40" width="18.6328125" bestFit="1" customWidth="1"/>
    <col min="41" max="41" width="24.08984375" bestFit="1" customWidth="1"/>
    <col min="42" max="42" width="6.90625" bestFit="1" customWidth="1"/>
    <col min="43" max="43" width="7.08984375" bestFit="1" customWidth="1"/>
    <col min="44" max="44" width="6.90625" bestFit="1" customWidth="1"/>
    <col min="45" max="45" width="6.36328125" bestFit="1" customWidth="1"/>
    <col min="46" max="46" width="7.08984375" bestFit="1" customWidth="1"/>
    <col min="48" max="48" width="7" bestFit="1" customWidth="1"/>
    <col min="49" max="49" width="10.6328125" customWidth="1"/>
    <col min="50" max="50" width="24.453125" bestFit="1" customWidth="1"/>
  </cols>
  <sheetData>
    <row r="1" spans="1:48" x14ac:dyDescent="0.25">
      <c r="A1" s="20" t="s">
        <v>510</v>
      </c>
      <c r="AD1" s="148"/>
    </row>
    <row r="2" spans="1:48" ht="13" x14ac:dyDescent="0.3">
      <c r="A2" s="20" t="s">
        <v>486</v>
      </c>
      <c r="B2" s="148">
        <v>40994</v>
      </c>
      <c r="AP2" s="839" t="s">
        <v>763</v>
      </c>
      <c r="AQ2" s="839"/>
      <c r="AR2" s="839"/>
      <c r="AS2" s="839"/>
      <c r="AT2" s="839"/>
      <c r="AU2" s="839"/>
      <c r="AV2" s="839"/>
    </row>
    <row r="3" spans="1:48" ht="24" customHeight="1" x14ac:dyDescent="0.3">
      <c r="A3" s="933" t="s">
        <v>272</v>
      </c>
      <c r="B3" s="934"/>
      <c r="C3" s="935"/>
      <c r="D3" s="937" t="s">
        <v>273</v>
      </c>
      <c r="E3" s="937"/>
      <c r="F3" s="937"/>
      <c r="G3" s="933" t="s">
        <v>275</v>
      </c>
      <c r="H3" s="934"/>
      <c r="I3" s="935"/>
      <c r="J3" s="933" t="s">
        <v>274</v>
      </c>
      <c r="K3" s="934"/>
      <c r="L3" s="935"/>
      <c r="AD3" s="357" t="s">
        <v>425</v>
      </c>
      <c r="AE3" s="360" t="s">
        <v>170</v>
      </c>
      <c r="AF3" s="360" t="s">
        <v>428</v>
      </c>
      <c r="AG3" s="360" t="s">
        <v>174</v>
      </c>
      <c r="AH3" s="360" t="s">
        <v>427</v>
      </c>
      <c r="AI3" s="360" t="s">
        <v>426</v>
      </c>
      <c r="AJ3" s="360" t="s">
        <v>430</v>
      </c>
      <c r="AK3" s="360" t="s">
        <v>429</v>
      </c>
      <c r="AN3" s="189" t="s">
        <v>20</v>
      </c>
      <c r="AO3" s="189" t="s">
        <v>201</v>
      </c>
      <c r="AP3" s="337">
        <v>40630</v>
      </c>
      <c r="AQ3" s="337">
        <v>40686</v>
      </c>
      <c r="AR3" s="337">
        <v>40710</v>
      </c>
      <c r="AS3" s="337">
        <v>40749</v>
      </c>
      <c r="AT3" s="337">
        <v>40778</v>
      </c>
      <c r="AU3" s="337">
        <v>40812</v>
      </c>
      <c r="AV3" s="338">
        <v>40875</v>
      </c>
    </row>
    <row r="4" spans="1:48" ht="15.5" x14ac:dyDescent="0.35">
      <c r="A4" s="315" t="s">
        <v>170</v>
      </c>
      <c r="B4" s="939"/>
      <c r="C4" s="940"/>
      <c r="D4" s="315" t="s">
        <v>170</v>
      </c>
      <c r="E4" s="939"/>
      <c r="F4" s="940"/>
      <c r="G4" s="340" t="s">
        <v>170</v>
      </c>
      <c r="H4" s="936"/>
      <c r="I4" s="936"/>
      <c r="J4" s="340" t="s">
        <v>170</v>
      </c>
      <c r="K4" s="869"/>
      <c r="L4" s="870"/>
      <c r="AD4" s="926">
        <v>40323</v>
      </c>
      <c r="AE4" s="926"/>
      <c r="AF4" s="926"/>
      <c r="AG4" s="926"/>
      <c r="AH4" s="926"/>
      <c r="AI4" s="926"/>
      <c r="AJ4" s="926"/>
      <c r="AK4" s="926"/>
      <c r="AN4" s="924" t="s">
        <v>277</v>
      </c>
      <c r="AO4" s="623" t="s">
        <v>222</v>
      </c>
      <c r="AP4" s="629">
        <v>367</v>
      </c>
      <c r="AQ4" s="526">
        <v>346</v>
      </c>
      <c r="AR4" s="526">
        <v>325</v>
      </c>
      <c r="AS4" s="526">
        <v>408</v>
      </c>
      <c r="AT4" s="526">
        <v>191</v>
      </c>
      <c r="AU4" s="526">
        <v>729</v>
      </c>
      <c r="AV4" s="707">
        <v>429</v>
      </c>
    </row>
    <row r="5" spans="1:48" ht="15.5" x14ac:dyDescent="0.35">
      <c r="A5" s="482" t="s">
        <v>580</v>
      </c>
      <c r="B5" s="941"/>
      <c r="C5" s="942"/>
      <c r="D5" s="482" t="s">
        <v>580</v>
      </c>
      <c r="E5" s="941"/>
      <c r="F5" s="942"/>
      <c r="G5" s="482" t="s">
        <v>580</v>
      </c>
      <c r="H5" s="862"/>
      <c r="I5" s="862"/>
      <c r="J5" s="482" t="s">
        <v>580</v>
      </c>
      <c r="K5" s="869"/>
      <c r="L5" s="870"/>
      <c r="AD5" s="213" t="s">
        <v>277</v>
      </c>
      <c r="AE5" s="362">
        <v>0.53194444444444444</v>
      </c>
      <c r="AF5" s="363">
        <v>12.5</v>
      </c>
      <c r="AG5" s="363">
        <v>8.35</v>
      </c>
      <c r="AH5" s="363">
        <v>0.82</v>
      </c>
      <c r="AI5" s="363">
        <v>8.57</v>
      </c>
      <c r="AJ5" s="363">
        <v>1.31</v>
      </c>
      <c r="AK5" s="266">
        <v>10</v>
      </c>
      <c r="AN5" s="924"/>
      <c r="AO5" s="623" t="s">
        <v>204</v>
      </c>
      <c r="AP5" s="630">
        <v>206</v>
      </c>
      <c r="AQ5" s="526">
        <v>161</v>
      </c>
      <c r="AR5" s="526">
        <v>213</v>
      </c>
      <c r="AS5" s="526">
        <v>264</v>
      </c>
      <c r="AT5" s="526">
        <v>198</v>
      </c>
      <c r="AU5" s="526">
        <v>147</v>
      </c>
      <c r="AV5" s="707">
        <v>286</v>
      </c>
    </row>
    <row r="6" spans="1:48" ht="15.5" x14ac:dyDescent="0.3">
      <c r="A6" s="316" t="s">
        <v>186</v>
      </c>
      <c r="B6" s="943"/>
      <c r="C6" s="944"/>
      <c r="D6" s="316" t="s">
        <v>186</v>
      </c>
      <c r="E6" s="929"/>
      <c r="F6" s="929"/>
      <c r="G6" s="341" t="s">
        <v>186</v>
      </c>
      <c r="H6" s="929"/>
      <c r="I6" s="929"/>
      <c r="J6" s="341" t="s">
        <v>186</v>
      </c>
      <c r="K6" s="869"/>
      <c r="L6" s="870"/>
      <c r="AD6" s="213" t="s">
        <v>278</v>
      </c>
      <c r="AE6" s="362">
        <v>0.54236111111111118</v>
      </c>
      <c r="AF6" s="363">
        <v>14.6</v>
      </c>
      <c r="AG6" s="363">
        <v>8.31</v>
      </c>
      <c r="AH6" s="363">
        <v>0.82</v>
      </c>
      <c r="AI6" s="363">
        <v>8.1199999999999992</v>
      </c>
      <c r="AJ6" s="363">
        <v>1.01</v>
      </c>
      <c r="AK6" s="266">
        <v>6</v>
      </c>
      <c r="AN6" s="924"/>
      <c r="AO6" s="625" t="s">
        <v>762</v>
      </c>
      <c r="AP6" s="630">
        <v>29</v>
      </c>
      <c r="AQ6" s="526">
        <v>11</v>
      </c>
      <c r="AR6" s="526">
        <v>23</v>
      </c>
      <c r="AS6" s="526">
        <v>16</v>
      </c>
      <c r="AT6" s="526">
        <v>11</v>
      </c>
      <c r="AU6" s="526">
        <v>10</v>
      </c>
      <c r="AV6" s="707">
        <v>15</v>
      </c>
    </row>
    <row r="7" spans="1:48" ht="35" x14ac:dyDescent="0.3">
      <c r="A7" s="313" t="s">
        <v>187</v>
      </c>
      <c r="B7" s="313" t="s">
        <v>188</v>
      </c>
      <c r="C7" s="314" t="s">
        <v>189</v>
      </c>
      <c r="D7" s="313" t="s">
        <v>187</v>
      </c>
      <c r="E7" s="313" t="s">
        <v>188</v>
      </c>
      <c r="F7" s="314" t="s">
        <v>189</v>
      </c>
      <c r="G7" s="313" t="s">
        <v>187</v>
      </c>
      <c r="H7" s="313" t="s">
        <v>188</v>
      </c>
      <c r="I7" s="314" t="s">
        <v>189</v>
      </c>
      <c r="J7" s="313" t="s">
        <v>187</v>
      </c>
      <c r="K7" s="313" t="s">
        <v>188</v>
      </c>
      <c r="L7" s="314" t="s">
        <v>189</v>
      </c>
      <c r="O7" s="20" t="s">
        <v>276</v>
      </c>
      <c r="AD7" s="213" t="s">
        <v>418</v>
      </c>
      <c r="AE7" s="362">
        <v>0.55208333333333337</v>
      </c>
      <c r="AF7" s="363">
        <v>14.9</v>
      </c>
      <c r="AG7" s="363">
        <v>8.24</v>
      </c>
      <c r="AH7" s="363">
        <v>0.8</v>
      </c>
      <c r="AI7" s="363">
        <v>7.74</v>
      </c>
      <c r="AJ7" s="363">
        <v>0.96</v>
      </c>
      <c r="AK7" s="266">
        <v>5</v>
      </c>
      <c r="AN7" s="924"/>
      <c r="AO7" s="623" t="s">
        <v>198</v>
      </c>
      <c r="AP7" s="630">
        <v>6</v>
      </c>
      <c r="AQ7" s="526">
        <v>12</v>
      </c>
      <c r="AR7" s="526">
        <v>15</v>
      </c>
      <c r="AS7" s="526">
        <v>20</v>
      </c>
      <c r="AT7" s="526">
        <v>12</v>
      </c>
      <c r="AU7" s="526">
        <v>121</v>
      </c>
      <c r="AV7" s="707">
        <v>15</v>
      </c>
    </row>
    <row r="8" spans="1:48" ht="15.5" x14ac:dyDescent="0.35">
      <c r="A8" s="152">
        <v>1</v>
      </c>
      <c r="B8" s="132"/>
      <c r="C8" s="321"/>
      <c r="D8" s="152">
        <v>1</v>
      </c>
      <c r="E8" s="132"/>
      <c r="F8" s="82"/>
      <c r="G8" s="152">
        <v>1</v>
      </c>
      <c r="H8" s="132"/>
      <c r="I8" s="82"/>
      <c r="J8" s="152">
        <v>1</v>
      </c>
      <c r="K8" s="132"/>
      <c r="L8" s="82"/>
      <c r="O8" s="189" t="s">
        <v>20</v>
      </c>
      <c r="P8" s="470">
        <v>40568</v>
      </c>
      <c r="Q8" s="470">
        <v>40596</v>
      </c>
      <c r="R8" s="470">
        <v>40630</v>
      </c>
      <c r="S8" s="470">
        <v>40660</v>
      </c>
      <c r="T8" s="337">
        <v>40686</v>
      </c>
      <c r="U8" s="337">
        <v>40710</v>
      </c>
      <c r="V8" s="337">
        <v>40749</v>
      </c>
      <c r="W8" s="337">
        <v>40778</v>
      </c>
      <c r="X8" s="337">
        <v>40812</v>
      </c>
      <c r="Y8" s="337">
        <v>40841</v>
      </c>
      <c r="Z8" s="337">
        <v>40875</v>
      </c>
      <c r="AA8" s="337">
        <v>40905</v>
      </c>
      <c r="AB8" s="89"/>
      <c r="AC8" s="89"/>
      <c r="AD8" s="438" t="s">
        <v>279</v>
      </c>
      <c r="AE8" s="362">
        <v>0.54861111111111105</v>
      </c>
      <c r="AF8" s="363">
        <v>15.2</v>
      </c>
      <c r="AG8" s="363">
        <v>8.09</v>
      </c>
      <c r="AH8" s="363">
        <v>0.88</v>
      </c>
      <c r="AI8" s="363">
        <v>7.64</v>
      </c>
      <c r="AJ8" s="363">
        <v>0.94</v>
      </c>
      <c r="AK8" s="266">
        <v>12</v>
      </c>
      <c r="AN8" s="924"/>
      <c r="AO8" s="624" t="s">
        <v>199</v>
      </c>
      <c r="AP8" s="630">
        <v>6</v>
      </c>
      <c r="AQ8" s="526">
        <v>6</v>
      </c>
      <c r="AR8" s="526">
        <v>6</v>
      </c>
      <c r="AS8" s="526">
        <v>14</v>
      </c>
      <c r="AT8" s="526">
        <v>8</v>
      </c>
      <c r="AU8" s="526">
        <v>6</v>
      </c>
      <c r="AV8" s="707">
        <v>12</v>
      </c>
    </row>
    <row r="9" spans="1:48" ht="15.5" x14ac:dyDescent="0.35">
      <c r="A9" s="152">
        <v>2</v>
      </c>
      <c r="B9" s="132"/>
      <c r="C9" s="321"/>
      <c r="D9" s="152">
        <v>2</v>
      </c>
      <c r="E9" s="132"/>
      <c r="F9" s="132"/>
      <c r="G9" s="152">
        <v>2</v>
      </c>
      <c r="H9" s="132"/>
      <c r="I9" s="132"/>
      <c r="J9" s="152">
        <v>2</v>
      </c>
      <c r="K9" s="132"/>
      <c r="L9" s="132"/>
      <c r="O9" s="189" t="s">
        <v>277</v>
      </c>
      <c r="P9" s="310">
        <v>0.28000000000000003</v>
      </c>
      <c r="Q9" s="310">
        <v>0.53</v>
      </c>
      <c r="R9" s="310">
        <v>0.56999999999999995</v>
      </c>
      <c r="S9" s="310">
        <v>0.44</v>
      </c>
      <c r="T9" s="310">
        <v>1.17</v>
      </c>
      <c r="U9" s="386">
        <v>0.62</v>
      </c>
      <c r="V9" s="386">
        <v>0.36</v>
      </c>
      <c r="W9" s="386">
        <v>0.53</v>
      </c>
      <c r="X9" s="386">
        <v>0.23</v>
      </c>
      <c r="Y9" s="386">
        <v>0.68</v>
      </c>
      <c r="Z9" s="386">
        <v>0.83</v>
      </c>
      <c r="AA9" s="386">
        <v>0.35</v>
      </c>
      <c r="AB9" s="439"/>
      <c r="AC9" s="439"/>
      <c r="AD9" s="932">
        <v>40351</v>
      </c>
      <c r="AE9" s="926"/>
      <c r="AF9" s="926"/>
      <c r="AG9" s="926"/>
      <c r="AH9" s="926"/>
      <c r="AI9" s="926"/>
      <c r="AJ9" s="926"/>
      <c r="AK9" s="926"/>
      <c r="AN9" s="925" t="s">
        <v>278</v>
      </c>
      <c r="AO9" s="626" t="s">
        <v>222</v>
      </c>
      <c r="AP9" s="631">
        <v>280</v>
      </c>
      <c r="AQ9" s="616">
        <v>326</v>
      </c>
      <c r="AR9" s="616">
        <v>188</v>
      </c>
      <c r="AS9" s="616">
        <v>323</v>
      </c>
      <c r="AT9" s="616">
        <v>206</v>
      </c>
      <c r="AU9" s="616">
        <v>126</v>
      </c>
      <c r="AV9" s="616">
        <v>267</v>
      </c>
    </row>
    <row r="10" spans="1:48" ht="15.5" x14ac:dyDescent="0.35">
      <c r="A10" s="152" t="s">
        <v>173</v>
      </c>
      <c r="B10" s="132"/>
      <c r="C10" s="321"/>
      <c r="D10" s="152" t="s">
        <v>173</v>
      </c>
      <c r="E10" s="132"/>
      <c r="F10" s="132"/>
      <c r="G10" s="152" t="s">
        <v>173</v>
      </c>
      <c r="H10" s="132"/>
      <c r="I10" s="132"/>
      <c r="J10" s="152" t="s">
        <v>173</v>
      </c>
      <c r="K10" s="132"/>
      <c r="L10" s="132"/>
      <c r="O10" s="189" t="s">
        <v>278</v>
      </c>
      <c r="P10" s="310">
        <v>0.2</v>
      </c>
      <c r="Q10" s="310">
        <v>0.51</v>
      </c>
      <c r="R10" s="310">
        <v>0.43</v>
      </c>
      <c r="S10" s="310">
        <v>0.38</v>
      </c>
      <c r="T10" s="310">
        <v>0.9</v>
      </c>
      <c r="U10" s="386">
        <v>0.44</v>
      </c>
      <c r="V10" s="386">
        <v>0.28999999999999998</v>
      </c>
      <c r="W10" s="386">
        <v>0.42</v>
      </c>
      <c r="X10" s="386">
        <v>0.2</v>
      </c>
      <c r="Y10" s="386">
        <v>0.41</v>
      </c>
      <c r="Z10" s="386">
        <v>0.63</v>
      </c>
      <c r="AA10" s="386">
        <v>0.21</v>
      </c>
      <c r="AB10" s="439"/>
      <c r="AC10" s="439"/>
      <c r="AD10" s="438" t="s">
        <v>277</v>
      </c>
      <c r="AE10" s="362">
        <v>0.55555555555555558</v>
      </c>
      <c r="AF10" s="363">
        <v>17.899999999999999</v>
      </c>
      <c r="AG10" s="363">
        <v>8.3800000000000008</v>
      </c>
      <c r="AH10" s="363">
        <v>0.83</v>
      </c>
      <c r="AI10" s="363">
        <v>7.48</v>
      </c>
      <c r="AJ10" s="363">
        <v>2.13</v>
      </c>
      <c r="AK10" s="266">
        <v>40</v>
      </c>
      <c r="AN10" s="925"/>
      <c r="AO10" s="626" t="s">
        <v>204</v>
      </c>
      <c r="AP10" s="632">
        <v>144</v>
      </c>
      <c r="AQ10" s="616">
        <v>128</v>
      </c>
      <c r="AR10" s="616">
        <v>69</v>
      </c>
      <c r="AS10" s="616">
        <v>132</v>
      </c>
      <c r="AT10" s="616">
        <v>88</v>
      </c>
      <c r="AU10" s="616">
        <v>53</v>
      </c>
      <c r="AV10" s="616">
        <v>183</v>
      </c>
    </row>
    <row r="11" spans="1:48" ht="15.5" x14ac:dyDescent="0.35">
      <c r="A11" s="152" t="s">
        <v>174</v>
      </c>
      <c r="B11" s="132"/>
      <c r="C11" s="321"/>
      <c r="D11" s="152" t="s">
        <v>174</v>
      </c>
      <c r="E11" s="132"/>
      <c r="F11" s="132"/>
      <c r="G11" s="152" t="s">
        <v>174</v>
      </c>
      <c r="H11" s="132"/>
      <c r="I11" s="132"/>
      <c r="J11" s="152" t="s">
        <v>174</v>
      </c>
      <c r="K11" s="132"/>
      <c r="L11" s="132"/>
      <c r="O11" s="189" t="s">
        <v>418</v>
      </c>
      <c r="P11" s="310">
        <v>0.19</v>
      </c>
      <c r="Q11" s="310">
        <v>0.39</v>
      </c>
      <c r="R11" s="310">
        <v>0.37</v>
      </c>
      <c r="S11" s="310">
        <v>0.27</v>
      </c>
      <c r="T11" s="310">
        <v>0.3</v>
      </c>
      <c r="U11" s="386">
        <v>0.21</v>
      </c>
      <c r="V11" s="386">
        <v>0.16</v>
      </c>
      <c r="W11" s="386">
        <v>0.19</v>
      </c>
      <c r="X11" s="386">
        <v>0.12</v>
      </c>
      <c r="Y11" s="386">
        <v>0.15</v>
      </c>
      <c r="Z11" s="386">
        <v>0.25</v>
      </c>
      <c r="AA11" s="386">
        <v>0.2</v>
      </c>
      <c r="AB11" s="439"/>
      <c r="AC11" s="439"/>
      <c r="AD11" s="438" t="s">
        <v>278</v>
      </c>
      <c r="AE11" s="362">
        <v>0.56597222222222221</v>
      </c>
      <c r="AF11" s="363">
        <v>19</v>
      </c>
      <c r="AG11" s="363">
        <v>8.3000000000000007</v>
      </c>
      <c r="AH11" s="363">
        <v>0.83</v>
      </c>
      <c r="AI11" s="363">
        <v>7.23</v>
      </c>
      <c r="AJ11" s="363">
        <v>2.15</v>
      </c>
      <c r="AK11" s="266">
        <v>40</v>
      </c>
      <c r="AN11" s="925"/>
      <c r="AO11" s="627" t="s">
        <v>762</v>
      </c>
      <c r="AP11" s="632">
        <v>81</v>
      </c>
      <c r="AQ11" s="616">
        <v>14</v>
      </c>
      <c r="AR11" s="616">
        <v>21</v>
      </c>
      <c r="AS11" s="616">
        <v>15</v>
      </c>
      <c r="AT11" s="616">
        <v>10</v>
      </c>
      <c r="AU11" s="616">
        <v>11</v>
      </c>
      <c r="AV11" s="616">
        <v>10</v>
      </c>
    </row>
    <row r="12" spans="1:48" ht="15.5" x14ac:dyDescent="0.35">
      <c r="A12" s="152" t="s">
        <v>171</v>
      </c>
      <c r="B12" s="82"/>
      <c r="C12" s="82"/>
      <c r="D12" s="152" t="s">
        <v>171</v>
      </c>
      <c r="E12" s="82"/>
      <c r="F12" s="82"/>
      <c r="G12" s="152" t="s">
        <v>171</v>
      </c>
      <c r="H12" s="82"/>
      <c r="I12" s="82"/>
      <c r="J12" s="152" t="s">
        <v>171</v>
      </c>
      <c r="K12" s="82"/>
      <c r="L12" s="82"/>
      <c r="O12" s="189" t="s">
        <v>279</v>
      </c>
      <c r="P12" s="310">
        <v>0.1</v>
      </c>
      <c r="Q12" s="310">
        <v>0.22</v>
      </c>
      <c r="R12" s="310">
        <v>0.28000000000000003</v>
      </c>
      <c r="S12" s="310">
        <v>0.19</v>
      </c>
      <c r="T12" s="310">
        <v>0.38</v>
      </c>
      <c r="U12" s="386">
        <v>0.05</v>
      </c>
      <c r="V12" s="386">
        <v>0.12</v>
      </c>
      <c r="W12" s="386">
        <v>0.05</v>
      </c>
      <c r="X12" s="386">
        <v>0.09</v>
      </c>
      <c r="Y12" s="386">
        <v>0.14000000000000001</v>
      </c>
      <c r="Z12" s="386">
        <v>0.16</v>
      </c>
      <c r="AA12" s="386">
        <v>0.24</v>
      </c>
      <c r="AB12" s="439"/>
      <c r="AC12" s="439"/>
      <c r="AD12" s="438" t="s">
        <v>418</v>
      </c>
      <c r="AE12" s="362">
        <v>0.57638888888888895</v>
      </c>
      <c r="AF12" s="363">
        <v>19.100000000000001</v>
      </c>
      <c r="AG12" s="363">
        <v>8.24</v>
      </c>
      <c r="AH12" s="363">
        <v>0.81</v>
      </c>
      <c r="AI12" s="363">
        <v>6.63</v>
      </c>
      <c r="AJ12" s="363">
        <v>2.0699999999999998</v>
      </c>
      <c r="AK12" s="266" t="s">
        <v>495</v>
      </c>
      <c r="AL12" s="20">
        <f>(76+90)/2</f>
        <v>83</v>
      </c>
      <c r="AN12" s="925"/>
      <c r="AO12" s="626" t="s">
        <v>198</v>
      </c>
      <c r="AP12" s="632">
        <v>12</v>
      </c>
      <c r="AQ12" s="616">
        <v>40</v>
      </c>
      <c r="AR12" s="616">
        <v>19</v>
      </c>
      <c r="AS12" s="616">
        <v>25</v>
      </c>
      <c r="AT12" s="616">
        <v>8</v>
      </c>
      <c r="AU12" s="616">
        <v>8</v>
      </c>
      <c r="AV12" s="616">
        <v>8</v>
      </c>
    </row>
    <row r="13" spans="1:48" ht="15.5" x14ac:dyDescent="0.35">
      <c r="A13" s="152" t="s">
        <v>172</v>
      </c>
      <c r="B13" s="82"/>
      <c r="C13" s="82"/>
      <c r="D13" s="152" t="s">
        <v>172</v>
      </c>
      <c r="E13" s="82"/>
      <c r="F13" s="82"/>
      <c r="G13" s="152" t="s">
        <v>172</v>
      </c>
      <c r="H13" s="82"/>
      <c r="I13" s="82"/>
      <c r="J13" s="152" t="s">
        <v>172</v>
      </c>
      <c r="K13" s="82"/>
      <c r="L13" s="82"/>
      <c r="AD13" s="213" t="s">
        <v>279</v>
      </c>
      <c r="AE13" s="362">
        <v>0.57291666666666663</v>
      </c>
      <c r="AF13" s="363">
        <v>21.2</v>
      </c>
      <c r="AG13" s="363">
        <v>8.2200000000000006</v>
      </c>
      <c r="AH13" s="363">
        <v>0.86</v>
      </c>
      <c r="AI13" s="363">
        <v>6.79</v>
      </c>
      <c r="AJ13" s="363">
        <v>2.13</v>
      </c>
      <c r="AK13" s="266">
        <v>38</v>
      </c>
      <c r="AN13" s="925"/>
      <c r="AO13" s="628" t="s">
        <v>199</v>
      </c>
      <c r="AP13" s="632">
        <v>4</v>
      </c>
      <c r="AQ13" s="616">
        <v>7</v>
      </c>
      <c r="AR13" s="616">
        <v>6</v>
      </c>
      <c r="AS13" s="616">
        <v>11</v>
      </c>
      <c r="AT13" s="616">
        <v>9</v>
      </c>
      <c r="AU13" s="616">
        <v>7</v>
      </c>
      <c r="AV13" s="616">
        <v>4</v>
      </c>
    </row>
    <row r="14" spans="1:48" ht="14" x14ac:dyDescent="0.3">
      <c r="A14" s="20"/>
      <c r="AD14" s="926">
        <v>40379</v>
      </c>
      <c r="AE14" s="926"/>
      <c r="AF14" s="926"/>
      <c r="AG14" s="926"/>
      <c r="AH14" s="926"/>
      <c r="AI14" s="926"/>
      <c r="AJ14" s="926"/>
      <c r="AK14" s="926"/>
      <c r="AN14" s="924" t="s">
        <v>418</v>
      </c>
      <c r="AO14" s="623" t="s">
        <v>222</v>
      </c>
      <c r="AP14" s="629">
        <v>417</v>
      </c>
      <c r="AQ14" s="526">
        <v>550</v>
      </c>
      <c r="AR14" s="526">
        <v>252</v>
      </c>
      <c r="AS14" s="526">
        <v>540</v>
      </c>
      <c r="AT14" s="526">
        <v>117</v>
      </c>
      <c r="AU14" s="526">
        <v>119</v>
      </c>
      <c r="AV14" s="707">
        <v>466</v>
      </c>
    </row>
    <row r="15" spans="1:48" ht="14.5" x14ac:dyDescent="0.3">
      <c r="A15" s="20" t="s">
        <v>486</v>
      </c>
      <c r="B15" s="148">
        <v>40568</v>
      </c>
      <c r="AD15" s="213" t="s">
        <v>277</v>
      </c>
      <c r="AE15" s="358">
        <v>0.56458333333333333</v>
      </c>
      <c r="AF15" s="359">
        <v>15.47</v>
      </c>
      <c r="AG15" s="359">
        <v>7.51</v>
      </c>
      <c r="AH15" s="359">
        <v>0.84799999999999998</v>
      </c>
      <c r="AI15" s="359">
        <v>8.09</v>
      </c>
      <c r="AJ15" s="213"/>
      <c r="AK15" s="385" t="s">
        <v>496</v>
      </c>
      <c r="AL15" s="361">
        <f>(80+128)/2</f>
        <v>104</v>
      </c>
      <c r="AN15" s="924"/>
      <c r="AO15" s="623" t="s">
        <v>204</v>
      </c>
      <c r="AP15" s="633">
        <v>287</v>
      </c>
      <c r="AQ15" s="526">
        <v>279</v>
      </c>
      <c r="AR15" s="526">
        <v>141</v>
      </c>
      <c r="AS15" s="526">
        <v>238</v>
      </c>
      <c r="AT15" s="526">
        <v>115</v>
      </c>
      <c r="AU15" s="526">
        <v>56</v>
      </c>
      <c r="AV15" s="707">
        <v>337</v>
      </c>
    </row>
    <row r="16" spans="1:48" ht="14.5" x14ac:dyDescent="0.3">
      <c r="A16" s="933" t="s">
        <v>272</v>
      </c>
      <c r="B16" s="934"/>
      <c r="C16" s="935"/>
      <c r="D16" s="937" t="s">
        <v>273</v>
      </c>
      <c r="E16" s="937"/>
      <c r="F16" s="937"/>
      <c r="G16" s="933" t="s">
        <v>274</v>
      </c>
      <c r="H16" s="934"/>
      <c r="I16" s="935"/>
      <c r="J16" s="933" t="s">
        <v>275</v>
      </c>
      <c r="K16" s="934"/>
      <c r="L16" s="935"/>
      <c r="AD16" s="213" t="s">
        <v>278</v>
      </c>
      <c r="AE16" s="358">
        <v>0.55694444444444446</v>
      </c>
      <c r="AF16" s="359">
        <v>16.16</v>
      </c>
      <c r="AG16" s="359">
        <v>7.64</v>
      </c>
      <c r="AH16" s="359">
        <v>0.84799999999999998</v>
      </c>
      <c r="AI16" s="359">
        <v>7.73</v>
      </c>
      <c r="AJ16" s="213"/>
      <c r="AK16" s="385" t="s">
        <v>497</v>
      </c>
      <c r="AL16" s="361">
        <f>(48+160)/2</f>
        <v>104</v>
      </c>
      <c r="AN16" s="924"/>
      <c r="AO16" s="625" t="s">
        <v>762</v>
      </c>
      <c r="AP16" s="633">
        <v>33</v>
      </c>
      <c r="AQ16" s="526">
        <v>13</v>
      </c>
      <c r="AR16" s="526">
        <v>26</v>
      </c>
      <c r="AS16" s="526">
        <v>18</v>
      </c>
      <c r="AT16" s="526">
        <v>10</v>
      </c>
      <c r="AU16" s="526">
        <v>14</v>
      </c>
      <c r="AV16" s="707">
        <v>9</v>
      </c>
    </row>
    <row r="17" spans="1:55" ht="15.5" x14ac:dyDescent="0.35">
      <c r="A17" s="315" t="s">
        <v>170</v>
      </c>
      <c r="B17" s="939">
        <v>0.38472222222222219</v>
      </c>
      <c r="C17" s="940"/>
      <c r="D17" s="315" t="s">
        <v>170</v>
      </c>
      <c r="E17" s="939">
        <v>0.40347222222222223</v>
      </c>
      <c r="F17" s="940"/>
      <c r="G17" s="340" t="s">
        <v>170</v>
      </c>
      <c r="H17" s="936">
        <v>0.41944444444444445</v>
      </c>
      <c r="I17" s="936"/>
      <c r="J17" s="340" t="s">
        <v>170</v>
      </c>
      <c r="K17" s="931">
        <v>0.41388888888888892</v>
      </c>
      <c r="L17" s="870"/>
      <c r="AD17" s="213" t="s">
        <v>418</v>
      </c>
      <c r="AE17" s="358">
        <v>0.54861111111111105</v>
      </c>
      <c r="AF17" s="359">
        <v>16.829999999999998</v>
      </c>
      <c r="AG17" s="359">
        <v>7.9</v>
      </c>
      <c r="AH17" s="359">
        <v>0.82899999999999996</v>
      </c>
      <c r="AI17" s="359">
        <v>7.32</v>
      </c>
      <c r="AJ17" s="213"/>
      <c r="AK17" s="385" t="s">
        <v>498</v>
      </c>
      <c r="AL17" s="361">
        <f>(128+280)/2</f>
        <v>204</v>
      </c>
      <c r="AN17" s="924"/>
      <c r="AO17" s="623" t="s">
        <v>198</v>
      </c>
      <c r="AP17" s="633">
        <v>21</v>
      </c>
      <c r="AQ17" s="526">
        <v>67</v>
      </c>
      <c r="AR17" s="526">
        <v>39</v>
      </c>
      <c r="AS17" s="526">
        <v>72</v>
      </c>
      <c r="AT17" s="526">
        <v>25</v>
      </c>
      <c r="AU17" s="526">
        <v>17</v>
      </c>
      <c r="AV17" s="707">
        <v>20</v>
      </c>
    </row>
    <row r="18" spans="1:55" ht="15.5" x14ac:dyDescent="0.35">
      <c r="A18" s="315" t="s">
        <v>185</v>
      </c>
      <c r="B18" s="945" t="s">
        <v>514</v>
      </c>
      <c r="C18" s="946"/>
      <c r="D18" s="315" t="s">
        <v>185</v>
      </c>
      <c r="E18" s="945" t="s">
        <v>520</v>
      </c>
      <c r="F18" s="946"/>
      <c r="G18" s="340" t="s">
        <v>185</v>
      </c>
      <c r="H18" s="862" t="s">
        <v>518</v>
      </c>
      <c r="I18" s="862"/>
      <c r="J18" s="340" t="s">
        <v>185</v>
      </c>
      <c r="K18" s="930" t="s">
        <v>519</v>
      </c>
      <c r="L18" s="870"/>
      <c r="AD18" s="213" t="s">
        <v>279</v>
      </c>
      <c r="AE18" s="358">
        <v>0.55277777777777781</v>
      </c>
      <c r="AF18" s="359">
        <v>19.190000000000001</v>
      </c>
      <c r="AG18" s="359">
        <v>7.56</v>
      </c>
      <c r="AH18" s="359">
        <v>0.90500000000000003</v>
      </c>
      <c r="AI18" s="359">
        <v>7.08</v>
      </c>
      <c r="AJ18" s="213"/>
      <c r="AK18" s="385" t="s">
        <v>499</v>
      </c>
      <c r="AL18" s="361">
        <f>(40+64)/2</f>
        <v>52</v>
      </c>
      <c r="AN18" s="924"/>
      <c r="AO18" s="624" t="s">
        <v>199</v>
      </c>
      <c r="AP18" s="633">
        <v>4</v>
      </c>
      <c r="AQ18" s="526">
        <v>8</v>
      </c>
      <c r="AR18" s="526">
        <v>10</v>
      </c>
      <c r="AS18" s="526">
        <v>13</v>
      </c>
      <c r="AT18" s="526">
        <v>10</v>
      </c>
      <c r="AU18" s="526">
        <v>6</v>
      </c>
      <c r="AV18" s="707">
        <v>6</v>
      </c>
    </row>
    <row r="19" spans="1:55" ht="15.5" x14ac:dyDescent="0.3">
      <c r="A19" s="316" t="s">
        <v>186</v>
      </c>
      <c r="B19" s="943" t="s">
        <v>515</v>
      </c>
      <c r="C19" s="944"/>
      <c r="D19" s="316" t="s">
        <v>186</v>
      </c>
      <c r="E19" s="929" t="s">
        <v>516</v>
      </c>
      <c r="F19" s="929"/>
      <c r="G19" s="341" t="s">
        <v>186</v>
      </c>
      <c r="H19" s="929" t="s">
        <v>517</v>
      </c>
      <c r="I19" s="929"/>
      <c r="J19" s="341" t="s">
        <v>186</v>
      </c>
      <c r="K19" s="869" t="s">
        <v>516</v>
      </c>
      <c r="L19" s="870"/>
      <c r="AD19" s="926">
        <v>40414</v>
      </c>
      <c r="AE19" s="926"/>
      <c r="AF19" s="926"/>
      <c r="AG19" s="926"/>
      <c r="AH19" s="926"/>
      <c r="AI19" s="926"/>
      <c r="AJ19" s="926"/>
      <c r="AK19" s="926"/>
      <c r="AN19" s="925" t="s">
        <v>279</v>
      </c>
      <c r="AO19" s="626" t="s">
        <v>222</v>
      </c>
      <c r="AP19" s="631">
        <v>970</v>
      </c>
      <c r="AQ19" s="616">
        <v>311</v>
      </c>
      <c r="AR19" s="616">
        <v>148</v>
      </c>
      <c r="AS19" s="616">
        <v>341</v>
      </c>
      <c r="AT19" s="616">
        <v>278</v>
      </c>
      <c r="AU19" s="616">
        <v>202</v>
      </c>
      <c r="AV19" s="616">
        <v>347</v>
      </c>
    </row>
    <row r="20" spans="1:55" ht="35" x14ac:dyDescent="0.3">
      <c r="A20" s="313" t="s">
        <v>187</v>
      </c>
      <c r="B20" s="313" t="s">
        <v>188</v>
      </c>
      <c r="C20" s="314" t="s">
        <v>189</v>
      </c>
      <c r="D20" s="313" t="s">
        <v>187</v>
      </c>
      <c r="E20" s="313" t="s">
        <v>188</v>
      </c>
      <c r="F20" s="314" t="s">
        <v>189</v>
      </c>
      <c r="G20" s="313" t="s">
        <v>187</v>
      </c>
      <c r="H20" s="313" t="s">
        <v>188</v>
      </c>
      <c r="I20" s="314" t="s">
        <v>189</v>
      </c>
      <c r="J20" s="313" t="s">
        <v>187</v>
      </c>
      <c r="K20" s="313" t="s">
        <v>188</v>
      </c>
      <c r="L20" s="314" t="s">
        <v>189</v>
      </c>
      <c r="AD20" s="213" t="s">
        <v>277</v>
      </c>
      <c r="AE20" s="364">
        <v>0.4680555555555555</v>
      </c>
      <c r="AF20" s="213">
        <v>12.7</v>
      </c>
      <c r="AG20" s="213">
        <v>8.57</v>
      </c>
      <c r="AH20" s="213">
        <v>0.84</v>
      </c>
      <c r="AI20" s="213">
        <v>10.29</v>
      </c>
      <c r="AJ20" s="213"/>
      <c r="AK20" s="225">
        <v>52</v>
      </c>
      <c r="AN20" s="925"/>
      <c r="AO20" s="626" t="s">
        <v>204</v>
      </c>
      <c r="AP20" s="632">
        <v>69</v>
      </c>
      <c r="AQ20" s="616">
        <v>131</v>
      </c>
      <c r="AR20" s="616">
        <v>2</v>
      </c>
      <c r="AS20" s="616">
        <v>21</v>
      </c>
      <c r="AT20" s="616">
        <v>11</v>
      </c>
      <c r="AU20" s="616">
        <v>8</v>
      </c>
      <c r="AV20" s="616">
        <v>122</v>
      </c>
    </row>
    <row r="21" spans="1:55" ht="15.5" x14ac:dyDescent="0.35">
      <c r="A21" s="152">
        <v>1</v>
      </c>
      <c r="B21" s="132">
        <v>0.7</v>
      </c>
      <c r="C21" s="321">
        <v>0.2</v>
      </c>
      <c r="D21" s="152">
        <v>1</v>
      </c>
      <c r="E21" s="132">
        <v>0.28000000000000003</v>
      </c>
      <c r="F21" s="82">
        <v>0.3</v>
      </c>
      <c r="G21" s="152">
        <v>1</v>
      </c>
      <c r="H21" s="132">
        <v>0.28000000000000003</v>
      </c>
      <c r="I21" s="82">
        <v>0.4</v>
      </c>
      <c r="J21" s="152">
        <v>1</v>
      </c>
      <c r="K21" s="132">
        <v>0.32</v>
      </c>
      <c r="L21" s="82">
        <v>0.2</v>
      </c>
      <c r="AD21" s="213" t="s">
        <v>278</v>
      </c>
      <c r="AE21" s="364">
        <v>0.45624999999999999</v>
      </c>
      <c r="AF21" s="213">
        <v>12.7</v>
      </c>
      <c r="AG21" s="213">
        <v>8.41</v>
      </c>
      <c r="AH21" s="213">
        <v>0.84</v>
      </c>
      <c r="AI21" s="213">
        <v>10.02</v>
      </c>
      <c r="AJ21" s="213"/>
      <c r="AK21" s="225">
        <v>236</v>
      </c>
      <c r="AN21" s="925"/>
      <c r="AO21" s="627" t="s">
        <v>762</v>
      </c>
      <c r="AP21" s="632">
        <v>45</v>
      </c>
      <c r="AQ21" s="616">
        <v>14</v>
      </c>
      <c r="AR21" s="616">
        <v>19</v>
      </c>
      <c r="AS21" s="616">
        <v>17</v>
      </c>
      <c r="AT21" s="616">
        <v>11</v>
      </c>
      <c r="AU21" s="616">
        <v>11</v>
      </c>
      <c r="AV21" s="616">
        <v>17</v>
      </c>
    </row>
    <row r="22" spans="1:55" ht="15.5" x14ac:dyDescent="0.35">
      <c r="A22" s="152">
        <v>2</v>
      </c>
      <c r="B22" s="132"/>
      <c r="C22" s="321"/>
      <c r="D22" s="152">
        <v>2</v>
      </c>
      <c r="E22" s="132"/>
      <c r="F22" s="132"/>
      <c r="G22" s="152">
        <v>2</v>
      </c>
      <c r="H22" s="132"/>
      <c r="I22" s="132"/>
      <c r="J22" s="152">
        <v>2</v>
      </c>
      <c r="K22" s="132"/>
      <c r="L22" s="132"/>
      <c r="AD22" s="213" t="s">
        <v>418</v>
      </c>
      <c r="AE22" s="364">
        <v>0.4465277777777778</v>
      </c>
      <c r="AF22" s="213">
        <v>12.5</v>
      </c>
      <c r="AG22" s="213">
        <v>8.34</v>
      </c>
      <c r="AH22" s="213">
        <v>0.81</v>
      </c>
      <c r="AI22" s="213">
        <v>9.52</v>
      </c>
      <c r="AJ22" s="213"/>
      <c r="AK22" s="225">
        <v>32</v>
      </c>
      <c r="AN22" s="925"/>
      <c r="AO22" s="626" t="s">
        <v>198</v>
      </c>
      <c r="AP22" s="632">
        <v>320</v>
      </c>
      <c r="AQ22" s="616">
        <v>34</v>
      </c>
      <c r="AR22" s="616">
        <v>25</v>
      </c>
      <c r="AS22" s="616">
        <v>49</v>
      </c>
      <c r="AT22" s="616">
        <v>93</v>
      </c>
      <c r="AU22" s="616">
        <v>34</v>
      </c>
      <c r="AV22" s="616">
        <v>40</v>
      </c>
    </row>
    <row r="23" spans="1:55" ht="15.5" x14ac:dyDescent="0.35">
      <c r="A23" s="152" t="s">
        <v>173</v>
      </c>
      <c r="B23" s="132">
        <v>-0.1</v>
      </c>
      <c r="C23" s="321"/>
      <c r="D23" s="152" t="s">
        <v>173</v>
      </c>
      <c r="E23" s="132">
        <v>-0.1</v>
      </c>
      <c r="F23" s="132"/>
      <c r="G23" s="152" t="s">
        <v>173</v>
      </c>
      <c r="H23" s="132">
        <v>0</v>
      </c>
      <c r="I23" s="132"/>
      <c r="J23" s="152" t="s">
        <v>173</v>
      </c>
      <c r="K23" s="132">
        <v>0.1</v>
      </c>
      <c r="L23" s="132"/>
      <c r="AD23" s="213" t="s">
        <v>279</v>
      </c>
      <c r="AE23" s="364">
        <v>0.44236111111111115</v>
      </c>
      <c r="AF23" s="213">
        <v>13.5</v>
      </c>
      <c r="AG23" s="213">
        <v>8.26</v>
      </c>
      <c r="AH23" s="213">
        <v>0.86</v>
      </c>
      <c r="AI23" s="213">
        <v>9.69</v>
      </c>
      <c r="AJ23" s="213"/>
      <c r="AK23" s="225">
        <v>36</v>
      </c>
      <c r="AN23" s="925"/>
      <c r="AO23" s="628" t="s">
        <v>199</v>
      </c>
      <c r="AP23" s="632">
        <v>8</v>
      </c>
      <c r="AQ23" s="616">
        <v>10</v>
      </c>
      <c r="AR23" s="616">
        <v>7</v>
      </c>
      <c r="AS23" s="616">
        <v>9</v>
      </c>
      <c r="AT23" s="616">
        <v>8</v>
      </c>
      <c r="AU23" s="616">
        <v>7</v>
      </c>
      <c r="AV23" s="616">
        <v>6</v>
      </c>
    </row>
    <row r="24" spans="1:55" ht="15.5" x14ac:dyDescent="0.35">
      <c r="A24" s="152" t="s">
        <v>174</v>
      </c>
      <c r="B24" s="132">
        <v>8.39</v>
      </c>
      <c r="C24" s="321"/>
      <c r="D24" s="152" t="s">
        <v>174</v>
      </c>
      <c r="E24" s="132">
        <v>7.94</v>
      </c>
      <c r="F24" s="132"/>
      <c r="G24" s="152" t="s">
        <v>174</v>
      </c>
      <c r="H24" s="132">
        <v>7.86</v>
      </c>
      <c r="I24" s="132"/>
      <c r="J24" s="152" t="s">
        <v>174</v>
      </c>
      <c r="K24" s="132">
        <v>7.99</v>
      </c>
      <c r="L24" s="132"/>
      <c r="AD24" s="926">
        <v>40449</v>
      </c>
      <c r="AE24" s="927"/>
      <c r="AF24" s="927"/>
      <c r="AG24" s="927"/>
      <c r="AH24" s="927"/>
      <c r="AI24" s="927"/>
      <c r="AJ24" s="926"/>
      <c r="AK24" s="927"/>
      <c r="AW24" s="202"/>
      <c r="AX24" s="541"/>
      <c r="AY24" s="541"/>
      <c r="AZ24" s="20"/>
      <c r="BA24" s="20"/>
      <c r="BB24" s="20"/>
      <c r="BC24" s="166"/>
    </row>
    <row r="25" spans="1:55" ht="15.5" x14ac:dyDescent="0.35">
      <c r="A25" s="152" t="s">
        <v>171</v>
      </c>
      <c r="B25" s="82">
        <v>0.76700000000000002</v>
      </c>
      <c r="C25" s="82"/>
      <c r="D25" s="152" t="s">
        <v>171</v>
      </c>
      <c r="E25" s="82">
        <v>0.77300000000000002</v>
      </c>
      <c r="F25" s="82"/>
      <c r="G25" s="152" t="s">
        <v>171</v>
      </c>
      <c r="H25" s="82">
        <v>0.80500000000000005</v>
      </c>
      <c r="I25" s="82"/>
      <c r="J25" s="152" t="s">
        <v>171</v>
      </c>
      <c r="K25" s="82">
        <v>0.86699999999999999</v>
      </c>
      <c r="L25" s="82"/>
      <c r="AD25" s="216" t="s">
        <v>277</v>
      </c>
      <c r="AE25" s="358">
        <v>0.56041666666666667</v>
      </c>
      <c r="AF25" s="359">
        <v>12</v>
      </c>
      <c r="AG25" s="359">
        <v>7.77</v>
      </c>
      <c r="AH25" s="359">
        <v>0.84</v>
      </c>
      <c r="AI25" s="359">
        <v>8.34</v>
      </c>
      <c r="AJ25" s="365"/>
      <c r="AK25" s="361">
        <v>16</v>
      </c>
      <c r="AP25" s="839" t="s">
        <v>764</v>
      </c>
      <c r="AQ25" s="839"/>
      <c r="AR25" s="839"/>
      <c r="AS25" s="839"/>
      <c r="AT25" s="839"/>
      <c r="AU25" s="839"/>
      <c r="AV25" s="839"/>
      <c r="AW25" s="202"/>
      <c r="AX25" s="541"/>
      <c r="AY25" s="541"/>
      <c r="AZ25" s="20"/>
      <c r="BA25" s="20"/>
      <c r="BB25" s="168"/>
      <c r="BC25" s="164"/>
    </row>
    <row r="26" spans="1:55" ht="15.5" x14ac:dyDescent="0.35">
      <c r="A26" s="152" t="s">
        <v>172</v>
      </c>
      <c r="B26" s="82">
        <v>10.47</v>
      </c>
      <c r="C26" s="82"/>
      <c r="D26" s="152" t="s">
        <v>172</v>
      </c>
      <c r="E26" s="82">
        <v>9.6300000000000008</v>
      </c>
      <c r="F26" s="82"/>
      <c r="G26" s="152" t="s">
        <v>172</v>
      </c>
      <c r="H26" s="82">
        <v>8.56</v>
      </c>
      <c r="I26" s="82"/>
      <c r="J26" s="152" t="s">
        <v>172</v>
      </c>
      <c r="K26" s="82">
        <v>9.02</v>
      </c>
      <c r="L26" s="82"/>
      <c r="AD26" s="216" t="s">
        <v>278</v>
      </c>
      <c r="AE26" s="358">
        <v>0.57222222222222219</v>
      </c>
      <c r="AF26" s="359">
        <v>14.3</v>
      </c>
      <c r="AG26" s="359">
        <v>7.94</v>
      </c>
      <c r="AH26" s="359">
        <v>0.8</v>
      </c>
      <c r="AI26" s="359">
        <v>7.48</v>
      </c>
      <c r="AJ26" s="365"/>
      <c r="AK26" s="361">
        <v>16</v>
      </c>
      <c r="AN26" s="189" t="s">
        <v>20</v>
      </c>
      <c r="AO26" s="189" t="s">
        <v>201</v>
      </c>
      <c r="AP26" s="337">
        <v>40630</v>
      </c>
      <c r="AQ26" s="337">
        <v>40686</v>
      </c>
      <c r="AR26" s="337">
        <v>40710</v>
      </c>
      <c r="AS26" s="337">
        <v>40749</v>
      </c>
      <c r="AT26" s="337">
        <v>40778</v>
      </c>
      <c r="AU26" s="337">
        <v>40812</v>
      </c>
      <c r="AV26" s="338">
        <v>40875</v>
      </c>
      <c r="AW26" s="202"/>
      <c r="AX26" s="541"/>
      <c r="AY26" s="541"/>
      <c r="AZ26" s="171"/>
      <c r="BA26" s="20"/>
      <c r="BB26" s="168"/>
      <c r="BC26" s="169"/>
    </row>
    <row r="27" spans="1:55" ht="14.5" x14ac:dyDescent="0.3">
      <c r="A27" s="433"/>
      <c r="B27" s="86"/>
      <c r="C27" s="86"/>
      <c r="D27" s="86"/>
      <c r="E27" s="86"/>
      <c r="F27" s="86"/>
      <c r="G27" s="86"/>
      <c r="H27" s="86"/>
      <c r="I27" s="86"/>
      <c r="J27" s="86"/>
      <c r="K27" s="86"/>
      <c r="L27" s="86"/>
      <c r="AD27" s="216" t="s">
        <v>418</v>
      </c>
      <c r="AE27" s="358">
        <v>0.58402777777777781</v>
      </c>
      <c r="AF27" s="359">
        <v>14.5</v>
      </c>
      <c r="AG27" s="359">
        <v>8.1</v>
      </c>
      <c r="AH27" s="359">
        <v>0.83</v>
      </c>
      <c r="AI27" s="359">
        <v>7.46</v>
      </c>
      <c r="AJ27" s="365"/>
      <c r="AK27" s="361">
        <v>20</v>
      </c>
      <c r="AN27" s="924" t="s">
        <v>277</v>
      </c>
      <c r="AO27" s="623" t="s">
        <v>222</v>
      </c>
      <c r="AP27" s="80">
        <f>AP4*0.002723*$R$47</f>
        <v>35.016518897009995</v>
      </c>
      <c r="AQ27" s="80">
        <f>AQ4*0.002723*$T$47</f>
        <v>67.763216118780008</v>
      </c>
      <c r="AR27" s="80">
        <f>AR4*0.002723*$U$47</f>
        <v>32.641240905000004</v>
      </c>
      <c r="AS27" s="80">
        <f>AS4*0.002723*$V$47</f>
        <v>24.586386995519998</v>
      </c>
      <c r="AT27" s="80">
        <f>AT4*0.002723*$W$47</f>
        <v>16.944988804170002</v>
      </c>
      <c r="AU27" s="80">
        <f>AU4*0.002723*$X$47</f>
        <v>27.161076240900005</v>
      </c>
      <c r="AV27" s="80">
        <f>AV4*0.002723*$Z$47</f>
        <v>57.680231508900007</v>
      </c>
      <c r="AW27" s="202"/>
      <c r="AX27" s="541"/>
      <c r="AY27" s="541"/>
      <c r="AZ27" s="190"/>
      <c r="BA27" s="20"/>
      <c r="BB27" s="168"/>
      <c r="BC27" s="164"/>
    </row>
    <row r="28" spans="1:55" ht="14.5" x14ac:dyDescent="0.3">
      <c r="A28" s="20" t="s">
        <v>486</v>
      </c>
      <c r="B28" s="148">
        <v>40596</v>
      </c>
      <c r="AD28" s="216" t="s">
        <v>279</v>
      </c>
      <c r="AE28" s="358">
        <v>0.57986111111111105</v>
      </c>
      <c r="AF28" s="359">
        <v>17.100000000000001</v>
      </c>
      <c r="AG28" s="359">
        <v>8.09</v>
      </c>
      <c r="AH28" s="359">
        <v>0.92</v>
      </c>
      <c r="AI28" s="359">
        <v>6.79</v>
      </c>
      <c r="AJ28" s="365"/>
      <c r="AK28" s="361">
        <v>12</v>
      </c>
      <c r="AN28" s="924"/>
      <c r="AO28" s="623" t="s">
        <v>204</v>
      </c>
      <c r="AP28" s="80">
        <f t="shared" ref="AP28:AP31" si="0">AP5*0.002723*$R$47</f>
        <v>19.655048754180001</v>
      </c>
      <c r="AQ28" s="80">
        <f t="shared" ref="AQ28:AQ31" si="1">AQ5*0.002723*$T$47</f>
        <v>31.531438714230006</v>
      </c>
      <c r="AR28" s="80">
        <f t="shared" ref="AR28:AR31" si="2">AR5*0.002723*$U$47</f>
        <v>21.392567116200002</v>
      </c>
      <c r="AS28" s="80">
        <f t="shared" ref="AS28:AS31" si="3">AS5*0.002723*$V$47</f>
        <v>15.908838644160001</v>
      </c>
      <c r="AT28" s="80">
        <f t="shared" ref="AT28:AT31" si="4">AT5*0.002723*$W$47</f>
        <v>17.566009336260002</v>
      </c>
      <c r="AU28" s="80">
        <f t="shared" ref="AU28:AU31" si="5">AU5*0.002723*$X$47</f>
        <v>5.4769248387000005</v>
      </c>
      <c r="AV28" s="80">
        <f t="shared" ref="AV28:AV46" si="6">AV5*0.002723*$Z$47</f>
        <v>38.453487672600005</v>
      </c>
      <c r="AW28" s="202"/>
      <c r="AX28" s="541"/>
      <c r="AY28" s="541"/>
      <c r="AZ28" s="20"/>
      <c r="BA28" s="20"/>
      <c r="BB28" s="20"/>
      <c r="BC28" s="164"/>
    </row>
    <row r="29" spans="1:55" ht="23.5" x14ac:dyDescent="0.3">
      <c r="A29" s="933" t="s">
        <v>272</v>
      </c>
      <c r="B29" s="934"/>
      <c r="C29" s="935"/>
      <c r="D29" s="937" t="s">
        <v>273</v>
      </c>
      <c r="E29" s="937"/>
      <c r="F29" s="937"/>
      <c r="G29" s="933" t="s">
        <v>274</v>
      </c>
      <c r="H29" s="934"/>
      <c r="I29" s="935"/>
      <c r="J29" s="933" t="s">
        <v>275</v>
      </c>
      <c r="K29" s="934"/>
      <c r="L29" s="935"/>
      <c r="O29" s="135" t="s">
        <v>187</v>
      </c>
      <c r="P29" s="135" t="s">
        <v>188</v>
      </c>
      <c r="Q29" s="136" t="s">
        <v>189</v>
      </c>
      <c r="R29" s="135" t="s">
        <v>190</v>
      </c>
      <c r="S29" s="136" t="s">
        <v>191</v>
      </c>
      <c r="AD29" s="926">
        <v>40477</v>
      </c>
      <c r="AE29" s="927"/>
      <c r="AF29" s="927"/>
      <c r="AG29" s="927"/>
      <c r="AH29" s="927"/>
      <c r="AI29" s="927"/>
      <c r="AJ29" s="926"/>
      <c r="AK29" s="927"/>
      <c r="AN29" s="924"/>
      <c r="AO29" s="625" t="s">
        <v>762</v>
      </c>
      <c r="AP29" s="80">
        <f t="shared" si="0"/>
        <v>2.7669728828700002</v>
      </c>
      <c r="AQ29" s="80">
        <f t="shared" si="1"/>
        <v>2.1543218997300002</v>
      </c>
      <c r="AR29" s="80">
        <f t="shared" si="2"/>
        <v>2.3099955102000003</v>
      </c>
      <c r="AS29" s="80">
        <f t="shared" si="3"/>
        <v>0.96417203904000004</v>
      </c>
      <c r="AT29" s="80">
        <f t="shared" si="4"/>
        <v>0.97588940757000009</v>
      </c>
      <c r="AU29" s="80">
        <f t="shared" si="5"/>
        <v>0.37257992100000009</v>
      </c>
      <c r="AV29" s="80">
        <f t="shared" si="6"/>
        <v>2.0167913115</v>
      </c>
      <c r="AW29" s="202"/>
      <c r="AX29" s="541"/>
      <c r="AY29" s="541"/>
      <c r="AZ29" s="20"/>
      <c r="BA29" s="20"/>
      <c r="BB29" s="20"/>
      <c r="BC29" s="164"/>
    </row>
    <row r="30" spans="1:55" ht="15.5" x14ac:dyDescent="0.35">
      <c r="A30" s="315" t="s">
        <v>170</v>
      </c>
      <c r="B30" s="939">
        <v>0.40625</v>
      </c>
      <c r="C30" s="940"/>
      <c r="D30" s="315" t="s">
        <v>170</v>
      </c>
      <c r="E30" s="939">
        <v>0.4201388888888889</v>
      </c>
      <c r="F30" s="940"/>
      <c r="G30" s="340" t="s">
        <v>170</v>
      </c>
      <c r="H30" s="936">
        <v>0.43888888888888888</v>
      </c>
      <c r="I30" s="936"/>
      <c r="J30" s="340" t="s">
        <v>170</v>
      </c>
      <c r="K30" s="931">
        <v>0.43402777777777773</v>
      </c>
      <c r="L30" s="870"/>
      <c r="O30" s="132">
        <v>0</v>
      </c>
      <c r="P30" s="132">
        <v>0.26</v>
      </c>
      <c r="Q30" s="321">
        <v>0.4</v>
      </c>
      <c r="R30" s="132">
        <f>P30*2</f>
        <v>0.52</v>
      </c>
      <c r="S30" s="133">
        <f t="shared" ref="S30:S35" si="7">Q30*R30</f>
        <v>0.20800000000000002</v>
      </c>
      <c r="U30" s="704"/>
      <c r="AD30" s="216" t="s">
        <v>277</v>
      </c>
      <c r="AE30" s="358">
        <v>0.38541666666666669</v>
      </c>
      <c r="AF30" s="359">
        <v>2.4</v>
      </c>
      <c r="AG30" s="359">
        <v>7.98</v>
      </c>
      <c r="AH30" s="359">
        <v>0.85</v>
      </c>
      <c r="AI30" s="359">
        <v>10.27</v>
      </c>
      <c r="AJ30" s="365"/>
      <c r="AK30" s="361">
        <v>2</v>
      </c>
      <c r="AN30" s="924"/>
      <c r="AO30" s="623" t="s">
        <v>198</v>
      </c>
      <c r="AP30" s="80">
        <f t="shared" si="0"/>
        <v>0.57247714817999995</v>
      </c>
      <c r="AQ30" s="80">
        <f t="shared" si="1"/>
        <v>2.3501693451600003</v>
      </c>
      <c r="AR30" s="80">
        <f t="shared" si="2"/>
        <v>1.5065188110000001</v>
      </c>
      <c r="AS30" s="80">
        <f t="shared" si="3"/>
        <v>1.2052150488</v>
      </c>
      <c r="AT30" s="80">
        <f t="shared" si="4"/>
        <v>1.0646066264400003</v>
      </c>
      <c r="AU30" s="80">
        <f t="shared" si="5"/>
        <v>4.5082170441000011</v>
      </c>
      <c r="AV30" s="80">
        <f t="shared" si="6"/>
        <v>2.0167913115</v>
      </c>
      <c r="AW30" s="202"/>
      <c r="AX30" s="541"/>
      <c r="AY30" s="541"/>
      <c r="AZ30" s="20"/>
      <c r="BA30" s="20"/>
      <c r="BB30" s="168"/>
      <c r="BC30" s="164"/>
    </row>
    <row r="31" spans="1:55" ht="15.5" x14ac:dyDescent="0.35">
      <c r="A31" s="315" t="s">
        <v>185</v>
      </c>
      <c r="B31" s="941">
        <v>2</v>
      </c>
      <c r="C31" s="942"/>
      <c r="D31" s="315" t="s">
        <v>185</v>
      </c>
      <c r="E31" s="941">
        <v>3</v>
      </c>
      <c r="F31" s="942"/>
      <c r="G31" s="340" t="s">
        <v>185</v>
      </c>
      <c r="H31" s="862">
        <v>16</v>
      </c>
      <c r="I31" s="862"/>
      <c r="J31" s="340" t="s">
        <v>185</v>
      </c>
      <c r="K31" s="869">
        <v>10</v>
      </c>
      <c r="L31" s="870"/>
      <c r="O31" s="132">
        <v>2</v>
      </c>
      <c r="P31" s="132">
        <v>0.65</v>
      </c>
      <c r="Q31" s="321">
        <v>0.1</v>
      </c>
      <c r="R31" s="132">
        <f>P31*1.25</f>
        <v>0.8125</v>
      </c>
      <c r="S31" s="133">
        <f t="shared" si="7"/>
        <v>8.1250000000000003E-2</v>
      </c>
      <c r="U31" s="704"/>
      <c r="AD31" s="216" t="s">
        <v>278</v>
      </c>
      <c r="AE31" s="358">
        <v>0.39305555555555555</v>
      </c>
      <c r="AF31" s="359">
        <v>2.1</v>
      </c>
      <c r="AG31" s="359">
        <v>8.0500000000000007</v>
      </c>
      <c r="AH31" s="359">
        <v>0.84</v>
      </c>
      <c r="AI31" s="359">
        <v>9.85</v>
      </c>
      <c r="AJ31" s="365"/>
      <c r="AK31" s="361">
        <v>4</v>
      </c>
      <c r="AN31" s="924"/>
      <c r="AO31" s="624" t="s">
        <v>199</v>
      </c>
      <c r="AP31" s="80">
        <f t="shared" si="0"/>
        <v>0.57247714817999995</v>
      </c>
      <c r="AQ31" s="80">
        <f t="shared" si="1"/>
        <v>1.1750846725800002</v>
      </c>
      <c r="AR31" s="80">
        <f t="shared" si="2"/>
        <v>0.60260752440000009</v>
      </c>
      <c r="AS31" s="80">
        <f t="shared" si="3"/>
        <v>0.84365053416000002</v>
      </c>
      <c r="AT31" s="80">
        <f t="shared" si="4"/>
        <v>0.70973775096000014</v>
      </c>
      <c r="AU31" s="80">
        <f t="shared" si="5"/>
        <v>0.22354795260000007</v>
      </c>
      <c r="AV31" s="80">
        <f t="shared" si="6"/>
        <v>1.6134330492000002</v>
      </c>
      <c r="AW31" s="202"/>
      <c r="AX31" s="541"/>
      <c r="AY31" s="541"/>
      <c r="AZ31" s="171"/>
      <c r="BA31" s="20"/>
      <c r="BB31" s="168"/>
      <c r="BC31" s="169"/>
    </row>
    <row r="32" spans="1:55" ht="15.5" x14ac:dyDescent="0.35">
      <c r="A32" s="316" t="s">
        <v>186</v>
      </c>
      <c r="B32" s="943" t="s">
        <v>540</v>
      </c>
      <c r="C32" s="944"/>
      <c r="D32" s="316" t="s">
        <v>186</v>
      </c>
      <c r="E32" s="929" t="s">
        <v>541</v>
      </c>
      <c r="F32" s="929"/>
      <c r="G32" s="341" t="s">
        <v>186</v>
      </c>
      <c r="H32" s="929" t="s">
        <v>331</v>
      </c>
      <c r="I32" s="929"/>
      <c r="J32" s="341" t="s">
        <v>186</v>
      </c>
      <c r="K32" s="930" t="s">
        <v>540</v>
      </c>
      <c r="L32" s="870"/>
      <c r="O32" s="132">
        <v>4</v>
      </c>
      <c r="P32" s="132"/>
      <c r="Q32" s="321"/>
      <c r="R32" s="132">
        <f>P32*0.95</f>
        <v>0</v>
      </c>
      <c r="S32" s="133">
        <f t="shared" si="7"/>
        <v>0</v>
      </c>
      <c r="U32" s="704"/>
      <c r="AD32" s="216" t="s">
        <v>418</v>
      </c>
      <c r="AE32" s="358">
        <v>0.39999999999999997</v>
      </c>
      <c r="AF32" s="359">
        <v>1.8</v>
      </c>
      <c r="AG32" s="359">
        <v>8.24</v>
      </c>
      <c r="AH32" s="359">
        <v>0.84</v>
      </c>
      <c r="AI32" s="359">
        <v>9.81</v>
      </c>
      <c r="AJ32" s="365"/>
      <c r="AK32" s="361">
        <v>2</v>
      </c>
      <c r="AN32" s="925" t="s">
        <v>278</v>
      </c>
      <c r="AO32" s="626" t="s">
        <v>222</v>
      </c>
      <c r="AP32" s="617">
        <f>AP9*0.002723*$R$48</f>
        <v>20.153873871600002</v>
      </c>
      <c r="AQ32" s="617">
        <f>AQ9*0.002723*$T$48</f>
        <v>49.112513238600009</v>
      </c>
      <c r="AR32" s="617">
        <f>AR9*0.002723*$U$48</f>
        <v>13.399917854400003</v>
      </c>
      <c r="AS32" s="617">
        <f>AS9*0.002723*$V$48</f>
        <v>15.679513002929999</v>
      </c>
      <c r="AT32" s="617">
        <f>AT9*0.002723*$W$48</f>
        <v>14.482667503080002</v>
      </c>
      <c r="AU32" s="617">
        <f>AU9*0.002723*$X$48</f>
        <v>4.0821800040000005</v>
      </c>
      <c r="AV32" s="617">
        <f t="shared" si="6"/>
        <v>35.898885344700005</v>
      </c>
      <c r="AW32" s="202"/>
      <c r="AX32" s="541"/>
      <c r="AY32" s="541"/>
      <c r="AZ32" s="190"/>
      <c r="BA32" s="20"/>
      <c r="BB32" s="168"/>
      <c r="BC32" s="164"/>
    </row>
    <row r="33" spans="1:55" ht="35.5" x14ac:dyDescent="0.35">
      <c r="A33" s="313" t="s">
        <v>187</v>
      </c>
      <c r="B33" s="313" t="s">
        <v>188</v>
      </c>
      <c r="C33" s="314" t="s">
        <v>189</v>
      </c>
      <c r="D33" s="313" t="s">
        <v>187</v>
      </c>
      <c r="E33" s="313" t="s">
        <v>188</v>
      </c>
      <c r="F33" s="314" t="s">
        <v>189</v>
      </c>
      <c r="G33" s="313" t="s">
        <v>187</v>
      </c>
      <c r="H33" s="313" t="s">
        <v>188</v>
      </c>
      <c r="I33" s="314" t="s">
        <v>189</v>
      </c>
      <c r="J33" s="313" t="s">
        <v>187</v>
      </c>
      <c r="K33" s="313" t="s">
        <v>188</v>
      </c>
      <c r="L33" s="314" t="s">
        <v>189</v>
      </c>
      <c r="O33" s="132">
        <v>6</v>
      </c>
      <c r="P33" s="132"/>
      <c r="Q33" s="132"/>
      <c r="R33" s="132">
        <f>P33*3</f>
        <v>0</v>
      </c>
      <c r="S33" s="133">
        <f t="shared" si="7"/>
        <v>0</v>
      </c>
      <c r="U33" s="704"/>
      <c r="AD33" s="216" t="s">
        <v>279</v>
      </c>
      <c r="AE33" s="358">
        <v>0.40277777777777773</v>
      </c>
      <c r="AF33" s="359">
        <v>1.7</v>
      </c>
      <c r="AG33" s="359">
        <v>8</v>
      </c>
      <c r="AH33" s="359">
        <v>0.85</v>
      </c>
      <c r="AI33" s="359">
        <v>9.8000000000000007</v>
      </c>
      <c r="AJ33" s="365"/>
      <c r="AK33" s="361">
        <v>4</v>
      </c>
      <c r="AN33" s="925"/>
      <c r="AO33" s="626" t="s">
        <v>204</v>
      </c>
      <c r="AP33" s="617">
        <f t="shared" ref="AP33:AP36" si="8">AP10*0.002723*$R$48</f>
        <v>10.364849419680002</v>
      </c>
      <c r="AQ33" s="617">
        <f t="shared" ref="AQ33:AQ36" si="9">AQ10*0.002723*$T$48</f>
        <v>19.283440780800003</v>
      </c>
      <c r="AR33" s="617">
        <f t="shared" ref="AR33:AR36" si="10">AR10*0.002723*$U$48</f>
        <v>4.9180549572000007</v>
      </c>
      <c r="AS33" s="617">
        <f t="shared" ref="AS33:AS36" si="11">AS10*0.002723*$V$48</f>
        <v>6.4077266761200002</v>
      </c>
      <c r="AT33" s="617">
        <f t="shared" ref="AT33:AT36" si="12">AT10*0.002723*$W$48</f>
        <v>6.1867705838400004</v>
      </c>
      <c r="AU33" s="617">
        <f t="shared" ref="AU33:AU36" si="13">AU10*0.002723*$X$48</f>
        <v>1.7171074620000002</v>
      </c>
      <c r="AV33" s="617">
        <f t="shared" si="6"/>
        <v>24.604854000300001</v>
      </c>
      <c r="AW33" s="202"/>
      <c r="AX33" s="541"/>
      <c r="AY33" s="541"/>
      <c r="AZ33" s="20"/>
      <c r="BA33" s="20"/>
      <c r="BB33" s="20"/>
      <c r="BC33" s="164"/>
    </row>
    <row r="34" spans="1:55" ht="15.5" x14ac:dyDescent="0.35">
      <c r="A34" s="152">
        <v>1</v>
      </c>
      <c r="B34" s="132">
        <v>0.64</v>
      </c>
      <c r="C34" s="321">
        <v>0.6</v>
      </c>
      <c r="D34" s="152">
        <v>1</v>
      </c>
      <c r="E34" s="132">
        <v>0.43</v>
      </c>
      <c r="F34" s="82">
        <v>0.5</v>
      </c>
      <c r="G34" s="152">
        <v>1</v>
      </c>
      <c r="H34" s="132">
        <v>0.32</v>
      </c>
      <c r="I34" s="82">
        <v>0.9</v>
      </c>
      <c r="J34" s="152">
        <v>1</v>
      </c>
      <c r="K34" s="132">
        <v>0.32</v>
      </c>
      <c r="L34" s="82">
        <v>0.8</v>
      </c>
      <c r="P34" s="132"/>
      <c r="Q34" s="132"/>
      <c r="R34" s="132">
        <f>P34*2</f>
        <v>0</v>
      </c>
      <c r="S34" s="133">
        <f t="shared" si="7"/>
        <v>0</v>
      </c>
      <c r="AD34" s="926">
        <v>40498</v>
      </c>
      <c r="AE34" s="927"/>
      <c r="AF34" s="927"/>
      <c r="AG34" s="927"/>
      <c r="AH34" s="927"/>
      <c r="AI34" s="927"/>
      <c r="AJ34" s="926"/>
      <c r="AK34" s="927"/>
      <c r="AN34" s="925"/>
      <c r="AO34" s="627" t="s">
        <v>762</v>
      </c>
      <c r="AP34" s="617">
        <f t="shared" si="8"/>
        <v>5.8302277985700011</v>
      </c>
      <c r="AQ34" s="617">
        <f t="shared" si="9"/>
        <v>2.1091263354000005</v>
      </c>
      <c r="AR34" s="617">
        <f t="shared" si="10"/>
        <v>1.4967993348000004</v>
      </c>
      <c r="AS34" s="617">
        <f t="shared" si="11"/>
        <v>0.7281507586499999</v>
      </c>
      <c r="AT34" s="617">
        <f t="shared" si="12"/>
        <v>0.70304211180000009</v>
      </c>
      <c r="AU34" s="617">
        <f t="shared" si="13"/>
        <v>0.35638079400000006</v>
      </c>
      <c r="AV34" s="617">
        <f t="shared" si="6"/>
        <v>1.3445275409999999</v>
      </c>
      <c r="AW34" s="202"/>
      <c r="AX34" s="541"/>
      <c r="AY34" s="541"/>
      <c r="AZ34" s="20"/>
      <c r="BA34" s="20"/>
      <c r="BB34" s="20"/>
      <c r="BC34" s="164"/>
    </row>
    <row r="35" spans="1:55" ht="15.5" x14ac:dyDescent="0.35">
      <c r="A35" s="152">
        <v>2</v>
      </c>
      <c r="B35" s="132">
        <v>0.5</v>
      </c>
      <c r="C35" s="321">
        <v>0.3</v>
      </c>
      <c r="D35" s="152">
        <v>2</v>
      </c>
      <c r="E35" s="132">
        <v>0.42</v>
      </c>
      <c r="F35" s="132">
        <v>0.3</v>
      </c>
      <c r="G35" s="152">
        <v>2</v>
      </c>
      <c r="H35" s="132"/>
      <c r="I35" s="132"/>
      <c r="J35" s="152">
        <v>2</v>
      </c>
      <c r="K35" s="132"/>
      <c r="L35" s="132"/>
      <c r="P35" s="132"/>
      <c r="Q35" s="132"/>
      <c r="R35" s="132">
        <f>P35*3</f>
        <v>0</v>
      </c>
      <c r="S35" s="133">
        <f t="shared" si="7"/>
        <v>0</v>
      </c>
      <c r="AD35" s="216" t="s">
        <v>277</v>
      </c>
      <c r="AE35" s="358">
        <v>0.39374999999999999</v>
      </c>
      <c r="AF35" s="359">
        <v>1.5</v>
      </c>
      <c r="AG35" s="359">
        <v>7.66</v>
      </c>
      <c r="AH35" s="359">
        <v>0.83499999999999996</v>
      </c>
      <c r="AI35" s="359">
        <v>9.86</v>
      </c>
      <c r="AJ35" s="365"/>
      <c r="AK35" s="361">
        <v>1</v>
      </c>
      <c r="AN35" s="925"/>
      <c r="AO35" s="626" t="s">
        <v>198</v>
      </c>
      <c r="AP35" s="617">
        <f t="shared" si="8"/>
        <v>0.86373745164000015</v>
      </c>
      <c r="AQ35" s="617">
        <f t="shared" si="9"/>
        <v>6.0260752440000003</v>
      </c>
      <c r="AR35" s="617">
        <f t="shared" si="10"/>
        <v>1.3542470172000003</v>
      </c>
      <c r="AS35" s="617">
        <f t="shared" si="11"/>
        <v>1.2135845977500002</v>
      </c>
      <c r="AT35" s="617">
        <f t="shared" si="12"/>
        <v>0.56243368944000005</v>
      </c>
      <c r="AU35" s="617">
        <f t="shared" si="13"/>
        <v>0.25918603200000007</v>
      </c>
      <c r="AV35" s="617">
        <f t="shared" si="6"/>
        <v>1.0756220328000001</v>
      </c>
      <c r="AW35" s="202"/>
      <c r="AX35" s="541"/>
      <c r="AY35" s="541"/>
      <c r="AZ35" s="20"/>
      <c r="BA35" s="20"/>
      <c r="BB35" s="168"/>
      <c r="BC35" s="164"/>
    </row>
    <row r="36" spans="1:55" ht="15.5" x14ac:dyDescent="0.35">
      <c r="A36" s="152" t="s">
        <v>173</v>
      </c>
      <c r="B36" s="132">
        <v>-0.1</v>
      </c>
      <c r="C36" s="321"/>
      <c r="D36" s="152" t="s">
        <v>173</v>
      </c>
      <c r="E36" s="132">
        <v>0</v>
      </c>
      <c r="F36" s="132"/>
      <c r="G36" s="152" t="s">
        <v>173</v>
      </c>
      <c r="H36" s="132">
        <v>0</v>
      </c>
      <c r="I36" s="132"/>
      <c r="J36" s="152" t="s">
        <v>173</v>
      </c>
      <c r="K36" s="132">
        <v>0.4</v>
      </c>
      <c r="L36" s="132"/>
      <c r="P36" s="134"/>
      <c r="Q36" s="132"/>
      <c r="R36" s="132"/>
      <c r="S36" s="133"/>
      <c r="AD36" s="216" t="s">
        <v>278</v>
      </c>
      <c r="AE36" s="358">
        <v>0.40277777777777773</v>
      </c>
      <c r="AF36" s="359">
        <v>2.2000000000000002</v>
      </c>
      <c r="AG36" s="359">
        <v>7.9</v>
      </c>
      <c r="AH36" s="359">
        <v>0.81899999999999995</v>
      </c>
      <c r="AI36" s="359">
        <v>9.64</v>
      </c>
      <c r="AJ36" s="365"/>
      <c r="AK36" s="361">
        <v>1</v>
      </c>
      <c r="AN36" s="925"/>
      <c r="AO36" s="628" t="s">
        <v>199</v>
      </c>
      <c r="AP36" s="617">
        <f t="shared" si="8"/>
        <v>0.28791248388000007</v>
      </c>
      <c r="AQ36" s="617">
        <f t="shared" si="9"/>
        <v>1.0545631677000002</v>
      </c>
      <c r="AR36" s="617">
        <f t="shared" si="10"/>
        <v>0.4276569528000001</v>
      </c>
      <c r="AS36" s="617">
        <f t="shared" si="11"/>
        <v>0.53397722300999995</v>
      </c>
      <c r="AT36" s="617">
        <f t="shared" si="12"/>
        <v>0.63273790062000002</v>
      </c>
      <c r="AU36" s="617">
        <f t="shared" si="13"/>
        <v>0.22678777800000005</v>
      </c>
      <c r="AV36" s="617">
        <f t="shared" si="6"/>
        <v>0.53781101640000006</v>
      </c>
      <c r="AW36" s="202"/>
      <c r="AX36" s="541"/>
      <c r="AY36" s="541"/>
      <c r="AZ36" s="171"/>
      <c r="BA36" s="20"/>
      <c r="BB36" s="168"/>
      <c r="BC36" s="169"/>
    </row>
    <row r="37" spans="1:55" ht="15.5" x14ac:dyDescent="0.35">
      <c r="A37" s="152" t="s">
        <v>174</v>
      </c>
      <c r="B37" s="132">
        <v>8.57</v>
      </c>
      <c r="C37" s="321"/>
      <c r="D37" s="152" t="s">
        <v>174</v>
      </c>
      <c r="E37" s="132">
        <v>7.92</v>
      </c>
      <c r="F37" s="132"/>
      <c r="G37" s="152" t="s">
        <v>174</v>
      </c>
      <c r="H37" s="132">
        <v>7.81</v>
      </c>
      <c r="I37" s="132"/>
      <c r="J37" s="152" t="s">
        <v>174</v>
      </c>
      <c r="K37" s="132">
        <v>7.64</v>
      </c>
      <c r="L37" s="132"/>
      <c r="P37" s="134"/>
      <c r="Q37" s="132"/>
      <c r="R37" s="132"/>
      <c r="S37" s="133"/>
      <c r="AD37" s="216" t="s">
        <v>418</v>
      </c>
      <c r="AE37" s="358">
        <v>0.45277777777777778</v>
      </c>
      <c r="AF37" s="359">
        <v>2.9</v>
      </c>
      <c r="AG37" s="359">
        <v>7.84</v>
      </c>
      <c r="AH37" s="359">
        <v>0.83899999999999997</v>
      </c>
      <c r="AI37" s="359">
        <v>8.7899999999999991</v>
      </c>
      <c r="AJ37" s="365"/>
      <c r="AK37" s="361">
        <v>3</v>
      </c>
      <c r="AN37" s="924" t="s">
        <v>418</v>
      </c>
      <c r="AO37" s="623" t="s">
        <v>222</v>
      </c>
      <c r="AP37" s="80">
        <f>AP14*0.002723*$R$49</f>
        <v>25.826754149910002</v>
      </c>
      <c r="AQ37" s="80">
        <f>AQ14*0.002723*$T$49</f>
        <v>27.619511535000004</v>
      </c>
      <c r="AR37" s="80">
        <f>AR14*0.002723*$U$49</f>
        <v>8.5725780084000007</v>
      </c>
      <c r="AS37" s="80">
        <f>AS14*0.002723*$V$49</f>
        <v>14.462580585600001</v>
      </c>
      <c r="AT37" s="80">
        <f>AT14*0.002723*$W$49</f>
        <v>3.7211014631700006</v>
      </c>
      <c r="AU37" s="80">
        <f>AU14*0.002723*$X$49</f>
        <v>2.3132353355999999</v>
      </c>
      <c r="AV37" s="80">
        <f t="shared" si="6"/>
        <v>62.654983410599996</v>
      </c>
      <c r="AW37" s="202"/>
      <c r="AX37" s="541"/>
      <c r="AY37" s="541"/>
      <c r="AZ37" s="190"/>
      <c r="BA37" s="20"/>
      <c r="BB37" s="168"/>
      <c r="BC37" s="164"/>
    </row>
    <row r="38" spans="1:55" ht="15.5" x14ac:dyDescent="0.35">
      <c r="A38" s="152" t="s">
        <v>171</v>
      </c>
      <c r="B38" s="82">
        <v>0.877</v>
      </c>
      <c r="C38" s="82"/>
      <c r="D38" s="152" t="s">
        <v>171</v>
      </c>
      <c r="E38" s="82">
        <v>0.88500000000000001</v>
      </c>
      <c r="F38" s="82"/>
      <c r="G38" s="152" t="s">
        <v>171</v>
      </c>
      <c r="H38" s="82">
        <v>0.878</v>
      </c>
      <c r="I38" s="82"/>
      <c r="J38" s="152" t="s">
        <v>171</v>
      </c>
      <c r="K38" s="82">
        <v>0.92400000000000004</v>
      </c>
      <c r="L38" s="82"/>
      <c r="P38" s="134"/>
      <c r="Q38" s="132"/>
      <c r="R38" s="132"/>
      <c r="S38" s="133">
        <f>SUM(S30:S36)</f>
        <v>0.28925000000000001</v>
      </c>
      <c r="AD38" s="216" t="s">
        <v>279</v>
      </c>
      <c r="AE38" s="358">
        <v>0.45694444444444443</v>
      </c>
      <c r="AF38" s="359">
        <v>2.2999999999999998</v>
      </c>
      <c r="AG38" s="359">
        <v>8.0500000000000007</v>
      </c>
      <c r="AH38" s="359">
        <v>0.78600000000000003</v>
      </c>
      <c r="AI38" s="359">
        <v>9.36</v>
      </c>
      <c r="AJ38" s="365"/>
      <c r="AK38" s="361">
        <v>1</v>
      </c>
      <c r="AN38" s="924"/>
      <c r="AO38" s="623" t="s">
        <v>204</v>
      </c>
      <c r="AP38" s="80">
        <f t="shared" ref="AP38:AP41" si="14">AP15*0.002723*$R$49</f>
        <v>17.77524806001</v>
      </c>
      <c r="AQ38" s="80">
        <f t="shared" ref="AQ38:AQ41" si="15">AQ15*0.002723*$T$49</f>
        <v>14.010624942300002</v>
      </c>
      <c r="AR38" s="80">
        <f t="shared" ref="AR38:AR41" si="16">AR15*0.002723*$U$49</f>
        <v>4.7965615047000005</v>
      </c>
      <c r="AS38" s="80">
        <f t="shared" ref="AS38:AS41" si="17">AS15*0.002723*$V$49</f>
        <v>6.3742484803200004</v>
      </c>
      <c r="AT38" s="80">
        <f t="shared" ref="AT38:AT41" si="18">AT15*0.002723*$W$49</f>
        <v>3.6574928911500004</v>
      </c>
      <c r="AU38" s="80">
        <f t="shared" ref="AU38:AU41" si="19">AU15*0.002723*$X$49</f>
        <v>1.0885813344000002</v>
      </c>
      <c r="AV38" s="80">
        <f t="shared" si="6"/>
        <v>45.310578131700005</v>
      </c>
      <c r="AW38" s="202"/>
      <c r="AX38" s="541"/>
      <c r="AY38" s="541"/>
      <c r="AZ38" s="20"/>
      <c r="BA38" s="20"/>
      <c r="BB38" s="20"/>
      <c r="BC38" s="164"/>
    </row>
    <row r="39" spans="1:55" ht="15.5" x14ac:dyDescent="0.35">
      <c r="A39" s="152" t="s">
        <v>172</v>
      </c>
      <c r="B39" s="82">
        <v>7.87</v>
      </c>
      <c r="C39" s="82"/>
      <c r="D39" s="152" t="s">
        <v>172</v>
      </c>
      <c r="E39" s="82">
        <v>10.25</v>
      </c>
      <c r="F39" s="82"/>
      <c r="G39" s="152" t="s">
        <v>172</v>
      </c>
      <c r="H39" s="82">
        <v>10.26</v>
      </c>
      <c r="I39" s="82"/>
      <c r="J39" s="152" t="s">
        <v>172</v>
      </c>
      <c r="K39" s="82">
        <v>10.01</v>
      </c>
      <c r="L39" s="82"/>
      <c r="AD39" s="926">
        <v>40520</v>
      </c>
      <c r="AE39" s="927"/>
      <c r="AF39" s="927"/>
      <c r="AG39" s="927"/>
      <c r="AH39" s="927"/>
      <c r="AI39" s="927"/>
      <c r="AJ39" s="926"/>
      <c r="AK39" s="927"/>
      <c r="AN39" s="924"/>
      <c r="AO39" s="625" t="s">
        <v>762</v>
      </c>
      <c r="AP39" s="80">
        <f t="shared" si="14"/>
        <v>2.0438438535900003</v>
      </c>
      <c r="AQ39" s="80">
        <f t="shared" si="15"/>
        <v>0.65282481810000004</v>
      </c>
      <c r="AR39" s="80">
        <f t="shared" si="16"/>
        <v>0.88447233420000004</v>
      </c>
      <c r="AS39" s="80">
        <f t="shared" si="17"/>
        <v>0.48208601952000002</v>
      </c>
      <c r="AT39" s="80">
        <f t="shared" si="18"/>
        <v>0.31804286010000005</v>
      </c>
      <c r="AU39" s="80">
        <f t="shared" si="19"/>
        <v>0.27214533360000004</v>
      </c>
      <c r="AV39" s="80">
        <f t="shared" si="6"/>
        <v>1.2100747869000001</v>
      </c>
      <c r="AW39" s="202"/>
      <c r="AX39" s="541"/>
      <c r="AY39" s="541"/>
      <c r="AZ39" s="20"/>
      <c r="BA39" s="20"/>
      <c r="BB39" s="20"/>
      <c r="BC39" s="164"/>
    </row>
    <row r="40" spans="1:55" ht="14.5" x14ac:dyDescent="0.3">
      <c r="AD40" s="216" t="s">
        <v>277</v>
      </c>
      <c r="AE40" s="358">
        <v>7.5694444444444439E-2</v>
      </c>
      <c r="AF40" s="359">
        <v>0.9</v>
      </c>
      <c r="AG40" s="359">
        <v>8.3000000000000007</v>
      </c>
      <c r="AH40" s="359">
        <v>0.84799999999999998</v>
      </c>
      <c r="AI40" s="359">
        <v>11.31</v>
      </c>
      <c r="AJ40" s="365"/>
      <c r="AK40" s="361">
        <v>2</v>
      </c>
      <c r="AN40" s="924"/>
      <c r="AO40" s="623" t="s">
        <v>198</v>
      </c>
      <c r="AP40" s="80">
        <f t="shared" si="14"/>
        <v>1.3006279068300002</v>
      </c>
      <c r="AQ40" s="80">
        <f t="shared" si="15"/>
        <v>3.3645586779000003</v>
      </c>
      <c r="AR40" s="80">
        <f t="shared" si="16"/>
        <v>1.3267085013</v>
      </c>
      <c r="AS40" s="80">
        <f t="shared" si="17"/>
        <v>1.9283440780800001</v>
      </c>
      <c r="AT40" s="80">
        <f t="shared" si="18"/>
        <v>0.79510715025000023</v>
      </c>
      <c r="AU40" s="80">
        <f t="shared" si="19"/>
        <v>0.33046219080000006</v>
      </c>
      <c r="AV40" s="80">
        <f t="shared" si="6"/>
        <v>2.6890550819999999</v>
      </c>
      <c r="AW40" s="202"/>
      <c r="AX40" s="541"/>
      <c r="AY40" s="541"/>
      <c r="AZ40" s="20"/>
      <c r="BA40" s="20"/>
      <c r="BB40" s="168"/>
      <c r="BC40" s="164"/>
    </row>
    <row r="41" spans="1:55" ht="14.5" x14ac:dyDescent="0.3">
      <c r="A41" s="20" t="s">
        <v>486</v>
      </c>
      <c r="B41" s="148">
        <v>40630</v>
      </c>
      <c r="AD41" s="216" t="s">
        <v>278</v>
      </c>
      <c r="AE41" s="358">
        <v>8.6805555555555566E-2</v>
      </c>
      <c r="AF41" s="359">
        <v>0.7</v>
      </c>
      <c r="AG41" s="359">
        <v>7.91</v>
      </c>
      <c r="AH41" s="359">
        <v>0.77900000000000003</v>
      </c>
      <c r="AI41" s="359">
        <v>10.55</v>
      </c>
      <c r="AJ41" s="365"/>
      <c r="AK41" s="361">
        <v>2</v>
      </c>
      <c r="AN41" s="924"/>
      <c r="AO41" s="624" t="s">
        <v>199</v>
      </c>
      <c r="AP41" s="80">
        <f t="shared" si="14"/>
        <v>0.24773864892000003</v>
      </c>
      <c r="AQ41" s="80">
        <f t="shared" si="15"/>
        <v>0.40173834960000004</v>
      </c>
      <c r="AR41" s="80">
        <f t="shared" si="16"/>
        <v>0.34018166700000002</v>
      </c>
      <c r="AS41" s="80">
        <f t="shared" si="17"/>
        <v>0.34817323632000002</v>
      </c>
      <c r="AT41" s="80">
        <f t="shared" si="18"/>
        <v>0.31804286010000005</v>
      </c>
      <c r="AU41" s="80">
        <f t="shared" si="19"/>
        <v>0.1166337144</v>
      </c>
      <c r="AV41" s="80">
        <f t="shared" si="6"/>
        <v>0.8067165246000001</v>
      </c>
      <c r="AW41" s="202"/>
      <c r="AX41" s="541"/>
      <c r="AY41" s="541"/>
      <c r="AZ41" s="171"/>
      <c r="BA41" s="20"/>
      <c r="BB41" s="168"/>
      <c r="BC41" s="169"/>
    </row>
    <row r="42" spans="1:55" ht="14.5" x14ac:dyDescent="0.3">
      <c r="A42" s="933" t="s">
        <v>272</v>
      </c>
      <c r="B42" s="934"/>
      <c r="C42" s="935"/>
      <c r="D42" s="937" t="s">
        <v>273</v>
      </c>
      <c r="E42" s="937"/>
      <c r="F42" s="937"/>
      <c r="G42" s="933" t="s">
        <v>274</v>
      </c>
      <c r="H42" s="934"/>
      <c r="I42" s="935"/>
      <c r="J42" s="933" t="s">
        <v>275</v>
      </c>
      <c r="K42" s="934"/>
      <c r="L42" s="935"/>
      <c r="AD42" s="216" t="s">
        <v>418</v>
      </c>
      <c r="AE42" s="358">
        <v>9.7222222222222224E-2</v>
      </c>
      <c r="AF42" s="359">
        <v>0</v>
      </c>
      <c r="AG42" s="359">
        <v>7.91</v>
      </c>
      <c r="AH42" s="359">
        <v>0.78100000000000003</v>
      </c>
      <c r="AI42" s="359">
        <v>10.84</v>
      </c>
      <c r="AJ42" s="365"/>
      <c r="AK42" s="361">
        <v>11</v>
      </c>
      <c r="AN42" s="925" t="s">
        <v>279</v>
      </c>
      <c r="AO42" s="626" t="s">
        <v>222</v>
      </c>
      <c r="AP42" s="617">
        <f>AP19*0.002723*$R$50</f>
        <v>45.46338989640001</v>
      </c>
      <c r="AQ42" s="617">
        <f>AQ19*0.002723*$T$50</f>
        <v>19.782265898220004</v>
      </c>
      <c r="AR42" s="617">
        <f>AR19*0.002723*$U$50</f>
        <v>1.1987353980000002</v>
      </c>
      <c r="AS42" s="617">
        <f>AS19*0.002723*$V$50</f>
        <v>6.8496388606799998</v>
      </c>
      <c r="AT42" s="617">
        <f>AT19*0.002723*$W$50</f>
        <v>2.3267346081000007</v>
      </c>
      <c r="AU42" s="617">
        <f>AU19*0.002723*$X$50</f>
        <v>2.9450012886000003</v>
      </c>
      <c r="AV42" s="617">
        <f t="shared" si="6"/>
        <v>46.655105672700003</v>
      </c>
      <c r="AW42" s="202"/>
      <c r="AX42" s="541"/>
      <c r="AY42" s="541"/>
      <c r="AZ42" s="190"/>
      <c r="BA42" s="20"/>
      <c r="BB42" s="168"/>
      <c r="BC42" s="164"/>
    </row>
    <row r="43" spans="1:55" ht="15.5" x14ac:dyDescent="0.35">
      <c r="A43" s="315" t="s">
        <v>170</v>
      </c>
      <c r="B43" s="939">
        <v>0.5</v>
      </c>
      <c r="C43" s="940"/>
      <c r="D43" s="315" t="s">
        <v>170</v>
      </c>
      <c r="E43" s="939">
        <v>0.5083333333333333</v>
      </c>
      <c r="F43" s="940"/>
      <c r="G43" s="340" t="s">
        <v>170</v>
      </c>
      <c r="H43" s="936">
        <v>0.51944444444444449</v>
      </c>
      <c r="I43" s="936"/>
      <c r="J43" s="340" t="s">
        <v>170</v>
      </c>
      <c r="K43" s="931">
        <v>0.51527777777777783</v>
      </c>
      <c r="L43" s="870"/>
      <c r="AD43" s="216" t="s">
        <v>279</v>
      </c>
      <c r="AE43" s="358">
        <v>9.4444444444444442E-2</v>
      </c>
      <c r="AF43" s="359">
        <v>0.3</v>
      </c>
      <c r="AG43" s="359">
        <v>7.92</v>
      </c>
      <c r="AH43" s="359">
        <v>0.82199999999999995</v>
      </c>
      <c r="AI43" s="359">
        <v>10.28</v>
      </c>
      <c r="AJ43" s="365"/>
      <c r="AK43" s="361">
        <v>6</v>
      </c>
      <c r="AN43" s="925"/>
      <c r="AO43" s="626" t="s">
        <v>204</v>
      </c>
      <c r="AP43" s="617">
        <f t="shared" ref="AP43:AP46" si="20">AP20*0.002723*$R$50</f>
        <v>3.2339937142799999</v>
      </c>
      <c r="AQ43" s="617">
        <f t="shared" ref="AQ43:AQ46" si="21">AQ20*0.002723*$T$50</f>
        <v>8.3327229346200014</v>
      </c>
      <c r="AR43" s="617">
        <f t="shared" ref="AR43:AR46" si="22">AR20*0.002723*$U$50</f>
        <v>1.6199127000000004E-2</v>
      </c>
      <c r="AS43" s="617">
        <f t="shared" ref="AS43:AS46" si="23">AS20*0.002723*$V$50</f>
        <v>0.42182526708000001</v>
      </c>
      <c r="AT43" s="617">
        <f t="shared" ref="AT43:AT46" si="24">AT20*0.002723*$W$50</f>
        <v>9.2065038450000025E-2</v>
      </c>
      <c r="AU43" s="617">
        <f t="shared" ref="AU43:AU46" si="25">AU20*0.002723*$X$50</f>
        <v>0.1166337144</v>
      </c>
      <c r="AV43" s="617">
        <f t="shared" si="6"/>
        <v>16.4032360002</v>
      </c>
      <c r="AW43" s="202"/>
      <c r="AX43" s="541"/>
      <c r="AY43" s="541"/>
      <c r="AZ43" s="20"/>
      <c r="BA43" s="20"/>
      <c r="BB43" s="20"/>
      <c r="BC43" s="164"/>
    </row>
    <row r="44" spans="1:55" ht="28.25" customHeight="1" x14ac:dyDescent="0.35">
      <c r="A44" s="315" t="s">
        <v>185</v>
      </c>
      <c r="B44" s="941" t="s">
        <v>552</v>
      </c>
      <c r="C44" s="942"/>
      <c r="D44" s="315" t="s">
        <v>185</v>
      </c>
      <c r="E44" s="941" t="s">
        <v>553</v>
      </c>
      <c r="F44" s="942"/>
      <c r="G44" s="340" t="s">
        <v>185</v>
      </c>
      <c r="H44" s="862" t="s">
        <v>519</v>
      </c>
      <c r="I44" s="862"/>
      <c r="J44" s="340" t="s">
        <v>185</v>
      </c>
      <c r="K44" s="930">
        <v>14</v>
      </c>
      <c r="L44" s="870"/>
      <c r="P44" t="s">
        <v>500</v>
      </c>
      <c r="AD44" s="486" t="s">
        <v>425</v>
      </c>
      <c r="AE44" s="487" t="s">
        <v>170</v>
      </c>
      <c r="AF44" s="487" t="s">
        <v>428</v>
      </c>
      <c r="AG44" s="487" t="s">
        <v>174</v>
      </c>
      <c r="AH44" s="487" t="s">
        <v>427</v>
      </c>
      <c r="AI44" s="487" t="s">
        <v>426</v>
      </c>
      <c r="AJ44" s="487" t="s">
        <v>429</v>
      </c>
      <c r="AN44" s="925"/>
      <c r="AO44" s="627" t="s">
        <v>762</v>
      </c>
      <c r="AP44" s="617">
        <f t="shared" si="20"/>
        <v>2.1091263354000001</v>
      </c>
      <c r="AQ44" s="617">
        <f t="shared" si="21"/>
        <v>0.89052000828000011</v>
      </c>
      <c r="AR44" s="617">
        <f t="shared" si="22"/>
        <v>0.15389170650000003</v>
      </c>
      <c r="AS44" s="617">
        <f t="shared" si="23"/>
        <v>0.34147759716000003</v>
      </c>
      <c r="AT44" s="617">
        <f t="shared" si="24"/>
        <v>9.2065038450000025E-2</v>
      </c>
      <c r="AU44" s="617">
        <f t="shared" si="25"/>
        <v>0.16037135729999999</v>
      </c>
      <c r="AV44" s="617">
        <f t="shared" si="6"/>
        <v>2.2856968197</v>
      </c>
      <c r="AW44" s="202"/>
      <c r="AX44" s="541"/>
      <c r="AY44" s="541"/>
      <c r="AZ44" s="20"/>
      <c r="BA44" s="20"/>
      <c r="BB44" s="168"/>
      <c r="BC44" s="166"/>
    </row>
    <row r="45" spans="1:55" ht="15.5" x14ac:dyDescent="0.3">
      <c r="A45" s="316" t="s">
        <v>186</v>
      </c>
      <c r="B45" s="943" t="s">
        <v>554</v>
      </c>
      <c r="C45" s="944"/>
      <c r="D45" s="316" t="s">
        <v>186</v>
      </c>
      <c r="E45" s="929" t="s">
        <v>555</v>
      </c>
      <c r="F45" s="929"/>
      <c r="G45" s="341" t="s">
        <v>186</v>
      </c>
      <c r="H45" s="929" t="s">
        <v>555</v>
      </c>
      <c r="I45" s="929"/>
      <c r="J45" s="341" t="s">
        <v>186</v>
      </c>
      <c r="K45" s="930" t="s">
        <v>556</v>
      </c>
      <c r="L45" s="870"/>
      <c r="P45" s="103">
        <v>31</v>
      </c>
      <c r="Q45" s="103">
        <v>28</v>
      </c>
      <c r="R45" s="103">
        <v>31</v>
      </c>
      <c r="S45" s="103">
        <v>30</v>
      </c>
      <c r="T45" s="103">
        <v>31</v>
      </c>
      <c r="U45" s="103">
        <v>30</v>
      </c>
      <c r="V45" s="103">
        <v>31</v>
      </c>
      <c r="W45" s="103">
        <v>31</v>
      </c>
      <c r="X45" s="387">
        <v>30</v>
      </c>
      <c r="Y45" s="387">
        <v>31</v>
      </c>
      <c r="Z45" s="387">
        <v>30</v>
      </c>
      <c r="AA45" s="387">
        <v>31</v>
      </c>
      <c r="AD45" s="926">
        <v>40568</v>
      </c>
      <c r="AE45" s="926"/>
      <c r="AF45" s="926"/>
      <c r="AG45" s="926"/>
      <c r="AH45" s="926"/>
      <c r="AI45" s="926"/>
      <c r="AJ45" s="926"/>
      <c r="AK45" s="483"/>
      <c r="AN45" s="925"/>
      <c r="AO45" s="626" t="s">
        <v>198</v>
      </c>
      <c r="AP45" s="617">
        <f t="shared" si="20"/>
        <v>14.998231718400001</v>
      </c>
      <c r="AQ45" s="617">
        <f t="shared" si="21"/>
        <v>2.1626914486800004</v>
      </c>
      <c r="AR45" s="617">
        <f t="shared" si="22"/>
        <v>0.20248908750000005</v>
      </c>
      <c r="AS45" s="617">
        <f t="shared" si="23"/>
        <v>0.98425895652000017</v>
      </c>
      <c r="AT45" s="617">
        <f t="shared" si="24"/>
        <v>0.77836805235000017</v>
      </c>
      <c r="AU45" s="617">
        <f t="shared" si="25"/>
        <v>0.49569328620000003</v>
      </c>
      <c r="AV45" s="617">
        <f t="shared" si="6"/>
        <v>5.3781101639999997</v>
      </c>
    </row>
    <row r="46" spans="1:55" ht="35" x14ac:dyDescent="0.3">
      <c r="A46" s="313" t="s">
        <v>187</v>
      </c>
      <c r="B46" s="313" t="s">
        <v>188</v>
      </c>
      <c r="C46" s="314" t="s">
        <v>189</v>
      </c>
      <c r="D46" s="313" t="s">
        <v>187</v>
      </c>
      <c r="E46" s="313" t="s">
        <v>188</v>
      </c>
      <c r="F46" s="314" t="s">
        <v>189</v>
      </c>
      <c r="G46" s="313" t="s">
        <v>187</v>
      </c>
      <c r="H46" s="313" t="s">
        <v>188</v>
      </c>
      <c r="I46" s="314" t="s">
        <v>189</v>
      </c>
      <c r="J46" s="313" t="s">
        <v>187</v>
      </c>
      <c r="K46" s="313" t="s">
        <v>188</v>
      </c>
      <c r="L46" s="314" t="s">
        <v>189</v>
      </c>
      <c r="O46" s="189" t="s">
        <v>20</v>
      </c>
      <c r="P46" s="435">
        <v>40568</v>
      </c>
      <c r="Q46" s="435">
        <v>40596</v>
      </c>
      <c r="R46" s="435">
        <v>40630</v>
      </c>
      <c r="S46" s="435">
        <v>40660</v>
      </c>
      <c r="T46" s="491">
        <v>40686</v>
      </c>
      <c r="U46" s="435">
        <v>40710</v>
      </c>
      <c r="V46" s="435">
        <v>40749</v>
      </c>
      <c r="W46" s="435">
        <v>40778</v>
      </c>
      <c r="X46" s="435">
        <v>40812</v>
      </c>
      <c r="Y46" s="491">
        <v>40841</v>
      </c>
      <c r="Z46" s="491">
        <v>40875</v>
      </c>
      <c r="AA46" s="491">
        <v>40905</v>
      </c>
      <c r="AB46" s="387" t="s">
        <v>501</v>
      </c>
      <c r="AC46" s="437"/>
      <c r="AD46" s="471" t="s">
        <v>277</v>
      </c>
      <c r="AE46" s="472">
        <v>0.38472222222222219</v>
      </c>
      <c r="AF46" s="473">
        <v>-0.1</v>
      </c>
      <c r="AG46" s="473">
        <v>8.39</v>
      </c>
      <c r="AH46" s="473">
        <v>0.76700000000000002</v>
      </c>
      <c r="AI46" s="473">
        <v>10.47</v>
      </c>
      <c r="AJ46" s="474">
        <v>6</v>
      </c>
      <c r="AN46" s="925"/>
      <c r="AO46" s="628" t="s">
        <v>199</v>
      </c>
      <c r="AP46" s="617">
        <f t="shared" si="20"/>
        <v>0.37495579296000003</v>
      </c>
      <c r="AQ46" s="617">
        <f t="shared" si="21"/>
        <v>0.63608572020000009</v>
      </c>
      <c r="AR46" s="617">
        <f t="shared" si="22"/>
        <v>5.6696944500000013E-2</v>
      </c>
      <c r="AS46" s="617">
        <f t="shared" si="23"/>
        <v>0.18078225732</v>
      </c>
      <c r="AT46" s="617">
        <f t="shared" si="24"/>
        <v>6.6956391600000012E-2</v>
      </c>
      <c r="AU46" s="617">
        <f t="shared" si="25"/>
        <v>0.1020545001</v>
      </c>
      <c r="AV46" s="617">
        <f t="shared" si="6"/>
        <v>0.8067165246000001</v>
      </c>
    </row>
    <row r="47" spans="1:55" ht="15.5" x14ac:dyDescent="0.35">
      <c r="A47" s="152">
        <v>1</v>
      </c>
      <c r="B47" s="132">
        <v>0.5</v>
      </c>
      <c r="C47" s="321">
        <v>0.9</v>
      </c>
      <c r="D47" s="152">
        <v>1</v>
      </c>
      <c r="E47" s="132">
        <v>0.28000000000000003</v>
      </c>
      <c r="F47" s="82">
        <v>0.7</v>
      </c>
      <c r="G47" s="152">
        <v>1</v>
      </c>
      <c r="H47" s="132">
        <v>0.25</v>
      </c>
      <c r="I47" s="82">
        <v>0.9</v>
      </c>
      <c r="J47" s="152">
        <v>1</v>
      </c>
      <c r="K47" s="132">
        <v>0.57999999999999996</v>
      </c>
      <c r="L47" s="82">
        <v>0.4</v>
      </c>
      <c r="O47" s="189" t="s">
        <v>277</v>
      </c>
      <c r="P47" s="110">
        <f t="shared" ref="P47:AA47" si="26">P9*1.983*P45</f>
        <v>17.212440000000001</v>
      </c>
      <c r="Q47" s="110">
        <f t="shared" si="26"/>
        <v>29.427720000000001</v>
      </c>
      <c r="R47" s="110">
        <f t="shared" si="26"/>
        <v>35.039609999999996</v>
      </c>
      <c r="S47" s="110">
        <f t="shared" si="26"/>
        <v>26.175600000000003</v>
      </c>
      <c r="T47" s="110">
        <f t="shared" si="26"/>
        <v>71.923410000000004</v>
      </c>
      <c r="U47" s="110">
        <f t="shared" si="26"/>
        <v>36.883800000000001</v>
      </c>
      <c r="V47" s="110">
        <f t="shared" si="26"/>
        <v>22.130279999999999</v>
      </c>
      <c r="W47" s="110">
        <f t="shared" si="26"/>
        <v>32.580690000000004</v>
      </c>
      <c r="X47" s="110">
        <f t="shared" si="26"/>
        <v>13.682700000000002</v>
      </c>
      <c r="Y47" s="110">
        <f t="shared" si="26"/>
        <v>41.801640000000006</v>
      </c>
      <c r="Z47" s="110">
        <f t="shared" si="26"/>
        <v>49.3767</v>
      </c>
      <c r="AA47" s="110">
        <f t="shared" si="26"/>
        <v>21.515549999999998</v>
      </c>
      <c r="AB47" s="388">
        <f>SUM(P47:AA47)</f>
        <v>397.75014000000004</v>
      </c>
      <c r="AC47" s="436"/>
      <c r="AD47" s="471" t="s">
        <v>278</v>
      </c>
      <c r="AE47" s="472">
        <v>0.40347222222222223</v>
      </c>
      <c r="AF47" s="473">
        <v>-0.1</v>
      </c>
      <c r="AG47" s="473">
        <v>7.94</v>
      </c>
      <c r="AH47" s="473">
        <v>0.77300000000000002</v>
      </c>
      <c r="AI47" s="473">
        <v>9.6300000000000008</v>
      </c>
      <c r="AJ47" s="474">
        <v>4</v>
      </c>
      <c r="AN47" s="202"/>
      <c r="AO47" s="541"/>
      <c r="AP47" s="541"/>
      <c r="AQ47" s="20"/>
      <c r="AR47" s="20"/>
      <c r="AS47" s="20"/>
      <c r="AT47" s="164"/>
    </row>
    <row r="48" spans="1:55" ht="15.5" x14ac:dyDescent="0.35">
      <c r="A48" s="152">
        <v>2</v>
      </c>
      <c r="B48" s="132">
        <v>0.48</v>
      </c>
      <c r="C48" s="321">
        <v>0.9</v>
      </c>
      <c r="D48" s="152">
        <v>2</v>
      </c>
      <c r="E48" s="132">
        <v>0.38</v>
      </c>
      <c r="F48" s="132">
        <v>0.8</v>
      </c>
      <c r="G48" s="152">
        <v>2</v>
      </c>
      <c r="H48" s="132"/>
      <c r="I48" s="132"/>
      <c r="J48" s="152">
        <v>2</v>
      </c>
      <c r="K48" s="132"/>
      <c r="L48" s="132"/>
      <c r="O48" s="189" t="s">
        <v>278</v>
      </c>
      <c r="P48" s="110">
        <f>P10*1.983*P45</f>
        <v>12.294600000000003</v>
      </c>
      <c r="Q48" s="110">
        <f t="shared" ref="Q48:AA48" si="27">Q10*1.983*Q45</f>
        <v>28.317240000000002</v>
      </c>
      <c r="R48" s="110">
        <f t="shared" si="27"/>
        <v>26.433390000000003</v>
      </c>
      <c r="S48" s="110">
        <f t="shared" si="27"/>
        <v>22.606200000000001</v>
      </c>
      <c r="T48" s="110">
        <f t="shared" si="27"/>
        <v>55.325700000000005</v>
      </c>
      <c r="U48" s="110">
        <f t="shared" si="27"/>
        <v>26.175600000000003</v>
      </c>
      <c r="V48" s="110">
        <f t="shared" si="27"/>
        <v>17.827169999999999</v>
      </c>
      <c r="W48" s="110">
        <f t="shared" si="27"/>
        <v>25.818660000000001</v>
      </c>
      <c r="X48" s="110">
        <f t="shared" si="27"/>
        <v>11.898000000000001</v>
      </c>
      <c r="Y48" s="110">
        <f t="shared" si="27"/>
        <v>25.20393</v>
      </c>
      <c r="Z48" s="110">
        <f t="shared" si="27"/>
        <v>37.478700000000003</v>
      </c>
      <c r="AA48" s="110">
        <f t="shared" si="27"/>
        <v>12.909330000000001</v>
      </c>
      <c r="AB48" s="388">
        <f>SUM(P48:AA48)</f>
        <v>302.28852000000001</v>
      </c>
      <c r="AC48" s="436"/>
      <c r="AD48" s="471" t="s">
        <v>418</v>
      </c>
      <c r="AE48" s="472">
        <v>0.41944444444444445</v>
      </c>
      <c r="AF48" s="473">
        <v>0</v>
      </c>
      <c r="AG48" s="473">
        <v>7.86</v>
      </c>
      <c r="AH48" s="473">
        <v>0.80500000000000005</v>
      </c>
      <c r="AI48" s="473">
        <v>8.56</v>
      </c>
      <c r="AJ48" s="474">
        <v>15</v>
      </c>
      <c r="AN48" s="202"/>
      <c r="AO48" s="541"/>
      <c r="AP48" s="541"/>
      <c r="AQ48" s="20"/>
      <c r="AR48" s="20"/>
      <c r="AS48" s="168"/>
      <c r="AT48" s="164"/>
    </row>
    <row r="49" spans="1:46" ht="15.5" x14ac:dyDescent="0.35">
      <c r="A49" s="152" t="s">
        <v>173</v>
      </c>
      <c r="B49" s="132">
        <v>4.0999999999999996</v>
      </c>
      <c r="C49" s="321"/>
      <c r="D49" s="152" t="s">
        <v>173</v>
      </c>
      <c r="E49" s="132">
        <v>5.3</v>
      </c>
      <c r="F49" s="132"/>
      <c r="G49" s="152" t="s">
        <v>173</v>
      </c>
      <c r="H49" s="132">
        <v>5.7</v>
      </c>
      <c r="I49" s="132"/>
      <c r="J49" s="152" t="s">
        <v>173</v>
      </c>
      <c r="K49" s="132">
        <v>4.9000000000000004</v>
      </c>
      <c r="L49" s="132"/>
      <c r="O49" s="189" t="s">
        <v>418</v>
      </c>
      <c r="P49" s="110">
        <f>P11*1.983*P45</f>
        <v>11.679870000000001</v>
      </c>
      <c r="Q49" s="110">
        <f t="shared" ref="Q49:AA49" si="28">Q11*1.983*Q45</f>
        <v>21.654360000000004</v>
      </c>
      <c r="R49" s="110">
        <f t="shared" si="28"/>
        <v>22.745010000000001</v>
      </c>
      <c r="S49" s="110">
        <f t="shared" si="28"/>
        <v>16.0623</v>
      </c>
      <c r="T49" s="110">
        <f t="shared" si="28"/>
        <v>18.4419</v>
      </c>
      <c r="U49" s="110">
        <f t="shared" si="28"/>
        <v>12.492900000000001</v>
      </c>
      <c r="V49" s="110">
        <f t="shared" si="28"/>
        <v>9.83568</v>
      </c>
      <c r="W49" s="110">
        <f t="shared" si="28"/>
        <v>11.679870000000001</v>
      </c>
      <c r="X49" s="110">
        <f t="shared" si="28"/>
        <v>7.1387999999999998</v>
      </c>
      <c r="Y49" s="110">
        <f t="shared" si="28"/>
        <v>9.2209500000000002</v>
      </c>
      <c r="Z49" s="110">
        <f t="shared" si="28"/>
        <v>14.8725</v>
      </c>
      <c r="AA49" s="110">
        <f t="shared" si="28"/>
        <v>12.294600000000003</v>
      </c>
      <c r="AB49" s="388">
        <f>SUM(P49:AA49)</f>
        <v>168.11874</v>
      </c>
      <c r="AC49" s="436"/>
      <c r="AD49" s="471" t="s">
        <v>279</v>
      </c>
      <c r="AE49" s="472">
        <v>0.41388888888888892</v>
      </c>
      <c r="AF49" s="473">
        <v>0.1</v>
      </c>
      <c r="AG49" s="473">
        <v>7.99</v>
      </c>
      <c r="AH49" s="473">
        <v>0.86699999999999999</v>
      </c>
      <c r="AI49" s="473">
        <v>9.02</v>
      </c>
      <c r="AJ49" s="474">
        <v>12</v>
      </c>
      <c r="AN49" s="202"/>
      <c r="AO49" s="541"/>
      <c r="AP49" s="541"/>
      <c r="AQ49" s="171"/>
      <c r="AR49" s="20"/>
      <c r="AS49" s="168"/>
      <c r="AT49" s="169"/>
    </row>
    <row r="50" spans="1:46" ht="15.5" x14ac:dyDescent="0.35">
      <c r="A50" s="152" t="s">
        <v>174</v>
      </c>
      <c r="B50" s="132">
        <v>7.85</v>
      </c>
      <c r="C50" s="321"/>
      <c r="D50" s="152" t="s">
        <v>174</v>
      </c>
      <c r="E50" s="132">
        <v>7.89</v>
      </c>
      <c r="F50" s="132"/>
      <c r="G50" s="152" t="s">
        <v>174</v>
      </c>
      <c r="H50" s="132">
        <v>7.97</v>
      </c>
      <c r="I50" s="132"/>
      <c r="J50" s="152" t="s">
        <v>174</v>
      </c>
      <c r="K50" s="132">
        <v>7.66</v>
      </c>
      <c r="L50" s="132"/>
      <c r="O50" s="189" t="s">
        <v>279</v>
      </c>
      <c r="P50" s="110">
        <f>P12*1.983*P45</f>
        <v>6.1473000000000013</v>
      </c>
      <c r="Q50" s="110">
        <f t="shared" ref="Q50:AA50" si="29">Q12*1.983*Q45</f>
        <v>12.215280000000002</v>
      </c>
      <c r="R50" s="110">
        <f t="shared" si="29"/>
        <v>17.212440000000001</v>
      </c>
      <c r="S50" s="110">
        <f t="shared" si="29"/>
        <v>11.303100000000001</v>
      </c>
      <c r="T50" s="110">
        <f t="shared" si="29"/>
        <v>23.359740000000002</v>
      </c>
      <c r="U50" s="110">
        <f t="shared" si="29"/>
        <v>2.9745000000000004</v>
      </c>
      <c r="V50" s="110">
        <f t="shared" si="29"/>
        <v>7.37676</v>
      </c>
      <c r="W50" s="110">
        <f t="shared" si="29"/>
        <v>3.0736500000000007</v>
      </c>
      <c r="X50" s="110">
        <f t="shared" si="29"/>
        <v>5.3540999999999999</v>
      </c>
      <c r="Y50" s="110">
        <f t="shared" si="29"/>
        <v>8.6062200000000004</v>
      </c>
      <c r="Z50" s="110">
        <f t="shared" si="29"/>
        <v>9.5183999999999997</v>
      </c>
      <c r="AA50" s="110">
        <f t="shared" si="29"/>
        <v>14.75352</v>
      </c>
      <c r="AB50" s="388">
        <f>SUM(P50:AA50)</f>
        <v>121.89501000000001</v>
      </c>
      <c r="AC50" s="436"/>
      <c r="AD50" s="938">
        <v>40596</v>
      </c>
      <c r="AE50" s="938"/>
      <c r="AF50" s="938"/>
      <c r="AG50" s="938"/>
      <c r="AH50" s="938"/>
      <c r="AI50" s="938"/>
      <c r="AJ50" s="938"/>
      <c r="AK50" s="484"/>
      <c r="AN50" s="202"/>
      <c r="AO50" s="541"/>
      <c r="AP50" s="541"/>
      <c r="AQ50" s="171"/>
      <c r="AR50" s="20"/>
      <c r="AS50" s="168"/>
      <c r="AT50" s="169"/>
    </row>
    <row r="51" spans="1:46" ht="15.5" x14ac:dyDescent="0.35">
      <c r="A51" s="152" t="s">
        <v>171</v>
      </c>
      <c r="B51" s="82">
        <v>0.78900000000000003</v>
      </c>
      <c r="C51" s="82"/>
      <c r="D51" s="152" t="s">
        <v>171</v>
      </c>
      <c r="E51" s="82">
        <v>0.81</v>
      </c>
      <c r="F51" s="82"/>
      <c r="G51" s="152" t="s">
        <v>171</v>
      </c>
      <c r="H51" s="82">
        <v>0.81</v>
      </c>
      <c r="I51" s="82"/>
      <c r="J51" s="152" t="s">
        <v>171</v>
      </c>
      <c r="K51" s="82">
        <v>0.88</v>
      </c>
      <c r="L51" s="82"/>
      <c r="AD51" s="471" t="s">
        <v>277</v>
      </c>
      <c r="AE51" s="472">
        <v>0.40625</v>
      </c>
      <c r="AF51" s="475">
        <v>-0.1</v>
      </c>
      <c r="AG51" s="476">
        <v>8.57</v>
      </c>
      <c r="AH51" s="476">
        <v>0.877</v>
      </c>
      <c r="AI51" s="476">
        <v>7.87</v>
      </c>
      <c r="AJ51" s="474">
        <v>43</v>
      </c>
      <c r="AN51" s="202"/>
      <c r="AO51" s="541"/>
      <c r="AP51" s="541"/>
      <c r="AQ51" s="190"/>
      <c r="AR51" s="20"/>
      <c r="AS51" s="168"/>
      <c r="AT51" s="164"/>
    </row>
    <row r="52" spans="1:46" ht="15.5" x14ac:dyDescent="0.35">
      <c r="A52" s="152" t="s">
        <v>172</v>
      </c>
      <c r="B52" s="82">
        <v>6.91</v>
      </c>
      <c r="C52" s="82"/>
      <c r="D52" s="152" t="s">
        <v>172</v>
      </c>
      <c r="E52" s="82">
        <v>11.52</v>
      </c>
      <c r="F52" s="82"/>
      <c r="G52" s="152" t="s">
        <v>172</v>
      </c>
      <c r="H52" s="82">
        <v>11.37</v>
      </c>
      <c r="I52" s="82"/>
      <c r="J52" s="152" t="s">
        <v>172</v>
      </c>
      <c r="K52" s="82">
        <v>11.28</v>
      </c>
      <c r="L52" s="82"/>
      <c r="AD52" s="471" t="s">
        <v>278</v>
      </c>
      <c r="AE52" s="472">
        <v>0.4201388888888889</v>
      </c>
      <c r="AF52" s="475">
        <v>0</v>
      </c>
      <c r="AG52" s="476">
        <v>7.92</v>
      </c>
      <c r="AH52" s="476">
        <v>0.88500000000000001</v>
      </c>
      <c r="AI52" s="476">
        <v>10.25</v>
      </c>
      <c r="AJ52" s="474">
        <v>25</v>
      </c>
      <c r="AN52" s="202"/>
      <c r="AO52" s="541"/>
      <c r="AP52" s="541"/>
      <c r="AQ52" s="20"/>
      <c r="AR52" s="20"/>
      <c r="AS52" s="20"/>
      <c r="AT52" s="164"/>
    </row>
    <row r="53" spans="1:46" ht="14" customHeight="1" x14ac:dyDescent="0.3">
      <c r="AD53" s="471" t="s">
        <v>418</v>
      </c>
      <c r="AE53" s="472">
        <v>0.43888888888888888</v>
      </c>
      <c r="AF53" s="475">
        <v>0</v>
      </c>
      <c r="AG53" s="476">
        <v>7.81</v>
      </c>
      <c r="AH53" s="476">
        <v>0.878</v>
      </c>
      <c r="AI53" s="476">
        <v>10.26</v>
      </c>
      <c r="AJ53" s="474">
        <v>19</v>
      </c>
      <c r="AN53" s="202"/>
      <c r="AO53" s="541"/>
      <c r="AP53" s="541"/>
      <c r="AQ53" s="171"/>
      <c r="AR53" s="20"/>
      <c r="AS53" s="168"/>
      <c r="AT53" s="169"/>
    </row>
    <row r="54" spans="1:46" ht="14" x14ac:dyDescent="0.3">
      <c r="A54" s="20" t="s">
        <v>486</v>
      </c>
      <c r="B54" s="148">
        <v>40660</v>
      </c>
      <c r="AD54" s="471" t="s">
        <v>279</v>
      </c>
      <c r="AE54" s="472">
        <v>0.43402777777777773</v>
      </c>
      <c r="AF54" s="476">
        <v>0.4</v>
      </c>
      <c r="AG54" s="476">
        <v>7.64</v>
      </c>
      <c r="AH54" s="476">
        <v>0.92400000000000004</v>
      </c>
      <c r="AI54" s="476">
        <v>10.01</v>
      </c>
      <c r="AJ54" s="474">
        <v>20</v>
      </c>
      <c r="AN54" s="202"/>
      <c r="AO54" s="541"/>
      <c r="AP54" s="541"/>
      <c r="AQ54" s="20"/>
      <c r="AR54" s="20"/>
      <c r="AS54" s="168"/>
      <c r="AT54" s="164"/>
    </row>
    <row r="55" spans="1:46" ht="14" x14ac:dyDescent="0.3">
      <c r="A55" s="933" t="s">
        <v>272</v>
      </c>
      <c r="B55" s="934"/>
      <c r="C55" s="935"/>
      <c r="D55" s="937" t="s">
        <v>273</v>
      </c>
      <c r="E55" s="937"/>
      <c r="F55" s="937"/>
      <c r="G55" s="933" t="s">
        <v>274</v>
      </c>
      <c r="H55" s="934"/>
      <c r="I55" s="935"/>
      <c r="J55" s="933" t="s">
        <v>275</v>
      </c>
      <c r="K55" s="934"/>
      <c r="L55" s="935"/>
      <c r="AD55" s="938">
        <v>40630</v>
      </c>
      <c r="AE55" s="938"/>
      <c r="AF55" s="938"/>
      <c r="AG55" s="938"/>
      <c r="AH55" s="938"/>
      <c r="AI55" s="938"/>
      <c r="AJ55" s="938"/>
      <c r="AK55" s="484"/>
      <c r="AN55" s="202"/>
      <c r="AO55" s="541"/>
      <c r="AP55" s="541"/>
      <c r="AQ55" s="171"/>
      <c r="AR55" s="20"/>
      <c r="AS55" s="168"/>
      <c r="AT55" s="169"/>
    </row>
    <row r="56" spans="1:46" ht="15.5" x14ac:dyDescent="0.35">
      <c r="A56" s="315" t="s">
        <v>170</v>
      </c>
      <c r="B56" s="939">
        <v>0.42222222222222222</v>
      </c>
      <c r="C56" s="940"/>
      <c r="D56" s="315" t="s">
        <v>170</v>
      </c>
      <c r="E56" s="939">
        <v>0.43194444444444446</v>
      </c>
      <c r="F56" s="940"/>
      <c r="G56" s="340" t="s">
        <v>170</v>
      </c>
      <c r="H56" s="936">
        <v>0.43958333333333338</v>
      </c>
      <c r="I56" s="936"/>
      <c r="J56" s="340" t="s">
        <v>170</v>
      </c>
      <c r="K56" s="931">
        <v>0.4375</v>
      </c>
      <c r="L56" s="870"/>
      <c r="AD56" s="471" t="s">
        <v>277</v>
      </c>
      <c r="AE56" s="472">
        <v>0.5</v>
      </c>
      <c r="AF56" s="476">
        <v>4.0999999999999996</v>
      </c>
      <c r="AG56" s="476">
        <v>7.85</v>
      </c>
      <c r="AH56" s="476">
        <v>0.78900000000000003</v>
      </c>
      <c r="AI56" s="476">
        <v>6.91</v>
      </c>
      <c r="AJ56" s="474">
        <v>1</v>
      </c>
      <c r="AN56" s="202"/>
      <c r="AO56" s="541"/>
      <c r="AP56" s="541"/>
      <c r="AQ56" s="190"/>
      <c r="AR56" s="20"/>
      <c r="AS56" s="168"/>
      <c r="AT56" s="164"/>
    </row>
    <row r="57" spans="1:46" ht="15.5" x14ac:dyDescent="0.35">
      <c r="A57" s="482" t="s">
        <v>580</v>
      </c>
      <c r="B57" s="941">
        <v>28</v>
      </c>
      <c r="C57" s="942"/>
      <c r="D57" s="315" t="s">
        <v>185</v>
      </c>
      <c r="E57" s="941">
        <v>32</v>
      </c>
      <c r="F57" s="942"/>
      <c r="G57" s="340" t="s">
        <v>185</v>
      </c>
      <c r="H57" s="862">
        <v>18</v>
      </c>
      <c r="I57" s="862"/>
      <c r="J57" s="340" t="s">
        <v>185</v>
      </c>
      <c r="K57" s="869">
        <v>16</v>
      </c>
      <c r="L57" s="870"/>
      <c r="AD57" s="471" t="s">
        <v>278</v>
      </c>
      <c r="AE57" s="472">
        <v>0.5083333333333333</v>
      </c>
      <c r="AF57" s="476">
        <v>5.3</v>
      </c>
      <c r="AG57" s="476">
        <v>7.89</v>
      </c>
      <c r="AH57" s="476">
        <v>0.81</v>
      </c>
      <c r="AI57" s="476">
        <v>11.52</v>
      </c>
      <c r="AJ57" s="474">
        <v>1</v>
      </c>
      <c r="AN57" s="202"/>
      <c r="AO57" s="541"/>
      <c r="AP57" s="541"/>
      <c r="AQ57" s="20"/>
      <c r="AR57" s="20"/>
      <c r="AS57" s="20"/>
      <c r="AT57" s="164"/>
    </row>
    <row r="58" spans="1:46" ht="15.5" x14ac:dyDescent="0.3">
      <c r="A58" s="316" t="s">
        <v>186</v>
      </c>
      <c r="B58" s="943" t="s">
        <v>587</v>
      </c>
      <c r="C58" s="944"/>
      <c r="D58" s="316" t="s">
        <v>186</v>
      </c>
      <c r="E58" s="929" t="s">
        <v>567</v>
      </c>
      <c r="F58" s="929"/>
      <c r="G58" s="341" t="s">
        <v>186</v>
      </c>
      <c r="H58" s="929" t="s">
        <v>581</v>
      </c>
      <c r="I58" s="929"/>
      <c r="J58" s="341" t="s">
        <v>186</v>
      </c>
      <c r="K58" s="869" t="s">
        <v>567</v>
      </c>
      <c r="L58" s="870"/>
      <c r="AD58" s="471" t="s">
        <v>418</v>
      </c>
      <c r="AE58" s="472">
        <v>0.51944444444444449</v>
      </c>
      <c r="AF58" s="476">
        <v>5.7</v>
      </c>
      <c r="AG58" s="476">
        <v>7.97</v>
      </c>
      <c r="AH58" s="476">
        <v>0.81</v>
      </c>
      <c r="AI58" s="476">
        <v>11.37</v>
      </c>
      <c r="AJ58" s="474">
        <v>7</v>
      </c>
      <c r="AN58" s="202"/>
      <c r="AO58" s="541"/>
      <c r="AP58" s="541"/>
      <c r="AQ58" s="171"/>
      <c r="AR58" s="20"/>
      <c r="AS58" s="168"/>
      <c r="AT58" s="169"/>
    </row>
    <row r="59" spans="1:46" ht="35" x14ac:dyDescent="0.3">
      <c r="A59" s="313" t="s">
        <v>187</v>
      </c>
      <c r="B59" s="313" t="s">
        <v>188</v>
      </c>
      <c r="C59" s="314" t="s">
        <v>189</v>
      </c>
      <c r="D59" s="313" t="s">
        <v>187</v>
      </c>
      <c r="E59" s="313" t="s">
        <v>188</v>
      </c>
      <c r="F59" s="314" t="s">
        <v>189</v>
      </c>
      <c r="G59" s="313" t="s">
        <v>187</v>
      </c>
      <c r="H59" s="313" t="s">
        <v>188</v>
      </c>
      <c r="I59" s="314" t="s">
        <v>189</v>
      </c>
      <c r="J59" s="313" t="s">
        <v>187</v>
      </c>
      <c r="K59" s="313" t="s">
        <v>188</v>
      </c>
      <c r="L59" s="314" t="s">
        <v>189</v>
      </c>
      <c r="AD59" s="471" t="s">
        <v>279</v>
      </c>
      <c r="AE59" s="472">
        <v>0.51527777777777783</v>
      </c>
      <c r="AF59" s="477">
        <v>4.9000000000000004</v>
      </c>
      <c r="AG59" s="477">
        <v>7.66</v>
      </c>
      <c r="AH59" s="477">
        <v>0.88</v>
      </c>
      <c r="AI59" s="477">
        <v>11.28</v>
      </c>
      <c r="AJ59" s="474">
        <v>1</v>
      </c>
      <c r="AN59" s="202"/>
      <c r="AO59" s="541"/>
      <c r="AP59" s="541"/>
      <c r="AQ59" s="20"/>
      <c r="AR59" s="20"/>
      <c r="AS59" s="168"/>
      <c r="AT59" s="164"/>
    </row>
    <row r="60" spans="1:46" ht="15.5" x14ac:dyDescent="0.35">
      <c r="A60" s="152">
        <v>1</v>
      </c>
      <c r="B60" s="132">
        <v>0.44</v>
      </c>
      <c r="C60" s="321">
        <v>0.4</v>
      </c>
      <c r="D60" s="152">
        <v>1</v>
      </c>
      <c r="E60" s="132">
        <v>0.2</v>
      </c>
      <c r="F60" s="82">
        <v>0.2</v>
      </c>
      <c r="G60" s="152">
        <v>1</v>
      </c>
      <c r="H60" s="132">
        <v>0.2</v>
      </c>
      <c r="I60" s="82">
        <v>0.9</v>
      </c>
      <c r="J60" s="152">
        <v>1</v>
      </c>
      <c r="K60" s="132">
        <v>0.28000000000000003</v>
      </c>
      <c r="L60" s="82">
        <v>0.5</v>
      </c>
      <c r="AD60" s="926">
        <v>40660</v>
      </c>
      <c r="AE60" s="926"/>
      <c r="AF60" s="926"/>
      <c r="AG60" s="926"/>
      <c r="AH60" s="926"/>
      <c r="AI60" s="926"/>
      <c r="AJ60" s="926"/>
      <c r="AK60" s="483"/>
      <c r="AN60" s="202"/>
      <c r="AO60" s="541"/>
      <c r="AP60" s="541"/>
      <c r="AQ60" s="171"/>
      <c r="AR60" s="20"/>
      <c r="AS60" s="168"/>
      <c r="AT60" s="169"/>
    </row>
    <row r="61" spans="1:46" ht="15.5" x14ac:dyDescent="0.35">
      <c r="A61" s="152">
        <v>2</v>
      </c>
      <c r="B61" s="132">
        <v>0.38</v>
      </c>
      <c r="C61" s="321">
        <v>0.5</v>
      </c>
      <c r="D61" s="152">
        <v>2</v>
      </c>
      <c r="E61" s="132">
        <v>0.3</v>
      </c>
      <c r="F61" s="132">
        <v>0.8</v>
      </c>
      <c r="G61" s="152">
        <v>2</v>
      </c>
      <c r="H61" s="132"/>
      <c r="I61" s="132"/>
      <c r="J61" s="152">
        <v>2</v>
      </c>
      <c r="K61" s="132"/>
      <c r="L61" s="132"/>
      <c r="AD61" s="216" t="s">
        <v>277</v>
      </c>
      <c r="AE61" s="358">
        <v>0.42222222222222222</v>
      </c>
      <c r="AF61" s="359">
        <v>3.9</v>
      </c>
      <c r="AG61" s="359">
        <v>7.6</v>
      </c>
      <c r="AH61" s="359">
        <v>0.84</v>
      </c>
      <c r="AI61" s="359">
        <v>10.89</v>
      </c>
      <c r="AJ61" s="361">
        <v>1</v>
      </c>
      <c r="AN61" s="202"/>
      <c r="AO61" s="541"/>
      <c r="AP61" s="541"/>
      <c r="AQ61" s="190"/>
      <c r="AR61" s="20"/>
      <c r="AS61" s="168"/>
      <c r="AT61" s="164"/>
    </row>
    <row r="62" spans="1:46" ht="15.5" x14ac:dyDescent="0.35">
      <c r="A62" s="152" t="s">
        <v>173</v>
      </c>
      <c r="B62" s="132">
        <v>3.9</v>
      </c>
      <c r="C62" s="321"/>
      <c r="D62" s="152" t="s">
        <v>173</v>
      </c>
      <c r="E62" s="132">
        <v>4.9000000000000004</v>
      </c>
      <c r="F62" s="132"/>
      <c r="G62" s="152" t="s">
        <v>173</v>
      </c>
      <c r="H62" s="132">
        <v>5.6</v>
      </c>
      <c r="I62" s="132"/>
      <c r="J62" s="152" t="s">
        <v>173</v>
      </c>
      <c r="K62" s="132">
        <v>6.1</v>
      </c>
      <c r="L62" s="132"/>
      <c r="AD62" s="216" t="s">
        <v>278</v>
      </c>
      <c r="AE62" s="358">
        <v>0.43194444444444446</v>
      </c>
      <c r="AF62" s="359">
        <v>4.9000000000000004</v>
      </c>
      <c r="AG62" s="359">
        <v>7.72</v>
      </c>
      <c r="AH62" s="359">
        <v>0.83</v>
      </c>
      <c r="AI62" s="359">
        <v>10.91</v>
      </c>
      <c r="AJ62" s="361">
        <v>1</v>
      </c>
      <c r="AN62" s="202"/>
      <c r="AO62" s="541"/>
      <c r="AP62" s="541"/>
      <c r="AQ62" s="190"/>
      <c r="AR62" s="20"/>
      <c r="AS62" s="168"/>
      <c r="AT62" s="164"/>
    </row>
    <row r="63" spans="1:46" ht="15.5" x14ac:dyDescent="0.35">
      <c r="A63" s="152" t="s">
        <v>174</v>
      </c>
      <c r="B63" s="132">
        <v>7.76</v>
      </c>
      <c r="C63" s="321"/>
      <c r="D63" s="152" t="s">
        <v>174</v>
      </c>
      <c r="E63" s="132">
        <v>7.72</v>
      </c>
      <c r="F63" s="132"/>
      <c r="G63" s="152" t="s">
        <v>174</v>
      </c>
      <c r="H63" s="132">
        <v>7.7</v>
      </c>
      <c r="I63" s="132"/>
      <c r="J63" s="152" t="s">
        <v>174</v>
      </c>
      <c r="K63" s="132">
        <v>7.51</v>
      </c>
      <c r="L63" s="132"/>
      <c r="AD63" s="216" t="s">
        <v>418</v>
      </c>
      <c r="AE63" s="358">
        <v>0.43888888888888888</v>
      </c>
      <c r="AF63" s="359">
        <v>5.6</v>
      </c>
      <c r="AG63" s="359">
        <v>7.7</v>
      </c>
      <c r="AH63" s="359">
        <v>0.83</v>
      </c>
      <c r="AI63" s="359">
        <v>10.57</v>
      </c>
      <c r="AJ63" s="361">
        <v>5</v>
      </c>
    </row>
    <row r="64" spans="1:46" ht="15.5" x14ac:dyDescent="0.35">
      <c r="A64" s="152" t="s">
        <v>171</v>
      </c>
      <c r="B64" s="82">
        <v>0.84</v>
      </c>
      <c r="C64" s="82"/>
      <c r="D64" s="152" t="s">
        <v>171</v>
      </c>
      <c r="E64" s="82">
        <v>0.83</v>
      </c>
      <c r="F64" s="82"/>
      <c r="G64" s="152" t="s">
        <v>171</v>
      </c>
      <c r="H64" s="82">
        <v>0.83</v>
      </c>
      <c r="I64" s="82"/>
      <c r="J64" s="152" t="s">
        <v>171</v>
      </c>
      <c r="K64" s="82">
        <v>0.88</v>
      </c>
      <c r="L64" s="82"/>
      <c r="AD64" s="216" t="s">
        <v>279</v>
      </c>
      <c r="AE64" s="358">
        <v>0.4375</v>
      </c>
      <c r="AF64" s="359">
        <v>6.1</v>
      </c>
      <c r="AG64" s="359">
        <v>7.51</v>
      </c>
      <c r="AH64" s="359">
        <v>0.88</v>
      </c>
      <c r="AI64" s="359">
        <v>9.8800000000000008</v>
      </c>
      <c r="AJ64" s="361">
        <v>1</v>
      </c>
    </row>
    <row r="65" spans="1:37" ht="15.5" x14ac:dyDescent="0.35">
      <c r="A65" s="152" t="s">
        <v>172</v>
      </c>
      <c r="B65" s="82">
        <v>10.89</v>
      </c>
      <c r="C65" s="82"/>
      <c r="D65" s="152" t="s">
        <v>172</v>
      </c>
      <c r="E65" s="82">
        <v>10.91</v>
      </c>
      <c r="F65" s="82"/>
      <c r="G65" s="152" t="s">
        <v>172</v>
      </c>
      <c r="H65" s="82">
        <v>10.57</v>
      </c>
      <c r="I65" s="82"/>
      <c r="J65" s="152" t="s">
        <v>172</v>
      </c>
      <c r="K65" s="82">
        <v>9.8800000000000008</v>
      </c>
      <c r="L65" s="82"/>
      <c r="AD65" s="926">
        <v>40686</v>
      </c>
      <c r="AE65" s="926"/>
      <c r="AF65" s="926"/>
      <c r="AG65" s="926"/>
      <c r="AH65" s="926"/>
      <c r="AI65" s="926"/>
      <c r="AJ65" s="926"/>
      <c r="AK65" s="483"/>
    </row>
    <row r="66" spans="1:37" ht="14.5" x14ac:dyDescent="0.35">
      <c r="B66" t="s">
        <v>588</v>
      </c>
      <c r="E66" t="s">
        <v>589</v>
      </c>
      <c r="H66" t="s">
        <v>582</v>
      </c>
      <c r="K66" t="s">
        <v>583</v>
      </c>
      <c r="AD66" s="213" t="s">
        <v>277</v>
      </c>
      <c r="AE66" s="358">
        <v>0.51388888888888895</v>
      </c>
      <c r="AF66" s="359">
        <v>9.3000000000000007</v>
      </c>
      <c r="AG66" s="359">
        <v>8.6300000000000008</v>
      </c>
      <c r="AH66" s="359">
        <v>0.79</v>
      </c>
      <c r="AI66" s="359">
        <v>8.83</v>
      </c>
      <c r="AJ66" s="508">
        <v>19</v>
      </c>
      <c r="AK66" s="485"/>
    </row>
    <row r="67" spans="1:37" ht="14.5" x14ac:dyDescent="0.35">
      <c r="E67" t="s">
        <v>590</v>
      </c>
      <c r="K67" t="s">
        <v>584</v>
      </c>
      <c r="AD67" s="213" t="s">
        <v>278</v>
      </c>
      <c r="AE67" s="358">
        <v>0.52083333333333337</v>
      </c>
      <c r="AF67" s="359">
        <v>9.8000000000000007</v>
      </c>
      <c r="AG67" s="359">
        <v>8.3000000000000007</v>
      </c>
      <c r="AH67" s="359">
        <v>0.77</v>
      </c>
      <c r="AI67" s="359">
        <v>8.39</v>
      </c>
      <c r="AJ67" s="508">
        <v>12</v>
      </c>
      <c r="AK67" s="485"/>
    </row>
    <row r="68" spans="1:37" ht="14.5" x14ac:dyDescent="0.35">
      <c r="K68" t="s">
        <v>585</v>
      </c>
      <c r="AD68" s="213" t="s">
        <v>418</v>
      </c>
      <c r="AE68" s="358">
        <v>0.53472222222222221</v>
      </c>
      <c r="AF68" s="359">
        <v>9.5</v>
      </c>
      <c r="AG68" s="359">
        <v>8.23</v>
      </c>
      <c r="AH68" s="359">
        <v>0.17599999999999999</v>
      </c>
      <c r="AI68" s="359">
        <v>7.11</v>
      </c>
      <c r="AJ68" s="508">
        <v>26</v>
      </c>
      <c r="AK68" s="485"/>
    </row>
    <row r="69" spans="1:37" ht="14.5" x14ac:dyDescent="0.35">
      <c r="K69" t="s">
        <v>586</v>
      </c>
      <c r="AD69" s="213" t="s">
        <v>279</v>
      </c>
      <c r="AE69" s="358">
        <v>0.52916666666666667</v>
      </c>
      <c r="AF69" s="359">
        <v>9.6999999999999993</v>
      </c>
      <c r="AG69" s="359">
        <v>8.0500000000000007</v>
      </c>
      <c r="AH69" s="359">
        <v>0.75</v>
      </c>
      <c r="AI69" s="359">
        <v>8.14</v>
      </c>
      <c r="AJ69" s="508">
        <v>1</v>
      </c>
      <c r="AK69" s="485"/>
    </row>
    <row r="70" spans="1:37" ht="14" x14ac:dyDescent="0.3">
      <c r="AD70" s="926">
        <v>40710</v>
      </c>
      <c r="AE70" s="926"/>
      <c r="AF70" s="926"/>
      <c r="AG70" s="926"/>
      <c r="AH70" s="926"/>
      <c r="AI70" s="927"/>
      <c r="AJ70" s="927"/>
      <c r="AK70" s="483"/>
    </row>
    <row r="71" spans="1:37" ht="14.5" x14ac:dyDescent="0.3">
      <c r="A71" s="20" t="s">
        <v>486</v>
      </c>
      <c r="B71" s="148">
        <v>40686</v>
      </c>
      <c r="AD71" s="213" t="s">
        <v>277</v>
      </c>
      <c r="AE71" s="358">
        <v>0.45833333333333331</v>
      </c>
      <c r="AF71" s="359">
        <v>13.3</v>
      </c>
      <c r="AG71" s="359">
        <v>8.56</v>
      </c>
      <c r="AH71" s="359">
        <v>0.84</v>
      </c>
      <c r="AI71" s="359">
        <v>7.69</v>
      </c>
      <c r="AJ71" s="361">
        <v>11</v>
      </c>
    </row>
    <row r="72" spans="1:37" ht="14.5" x14ac:dyDescent="0.3">
      <c r="A72" s="933" t="s">
        <v>272</v>
      </c>
      <c r="B72" s="934"/>
      <c r="C72" s="935"/>
      <c r="D72" s="937" t="s">
        <v>273</v>
      </c>
      <c r="E72" s="937"/>
      <c r="F72" s="937"/>
      <c r="G72" s="933" t="s">
        <v>275</v>
      </c>
      <c r="H72" s="934"/>
      <c r="I72" s="935"/>
      <c r="J72" s="933" t="s">
        <v>274</v>
      </c>
      <c r="K72" s="934"/>
      <c r="L72" s="935"/>
      <c r="AD72" s="213" t="s">
        <v>278</v>
      </c>
      <c r="AE72" s="358">
        <v>0.46527777777777773</v>
      </c>
      <c r="AF72" s="359">
        <v>14.7</v>
      </c>
      <c r="AG72" s="359">
        <v>8.5</v>
      </c>
      <c r="AH72" s="359">
        <v>0.84</v>
      </c>
      <c r="AI72" s="359">
        <v>7.26</v>
      </c>
      <c r="AJ72" s="361">
        <v>13</v>
      </c>
    </row>
    <row r="73" spans="1:37" ht="15.5" x14ac:dyDescent="0.35">
      <c r="A73" s="315" t="s">
        <v>170</v>
      </c>
      <c r="B73" s="939">
        <v>0.51388888888888895</v>
      </c>
      <c r="C73" s="940"/>
      <c r="D73" s="315" t="s">
        <v>170</v>
      </c>
      <c r="E73" s="939">
        <v>0.52083333333333337</v>
      </c>
      <c r="F73" s="940"/>
      <c r="G73" s="340" t="s">
        <v>170</v>
      </c>
      <c r="H73" s="936">
        <v>0.52916666666666667</v>
      </c>
      <c r="I73" s="936"/>
      <c r="J73" s="340" t="s">
        <v>170</v>
      </c>
      <c r="K73" s="931">
        <v>0.53472222222222221</v>
      </c>
      <c r="L73" s="870"/>
      <c r="AD73" s="213" t="s">
        <v>418</v>
      </c>
      <c r="AE73" s="358">
        <v>0.47638888888888892</v>
      </c>
      <c r="AF73" s="359">
        <v>15.4</v>
      </c>
      <c r="AG73" s="359">
        <v>8.4600000000000009</v>
      </c>
      <c r="AH73" s="359">
        <v>0.83</v>
      </c>
      <c r="AI73" s="359">
        <v>6.46</v>
      </c>
      <c r="AJ73" s="361">
        <v>1</v>
      </c>
    </row>
    <row r="74" spans="1:37" ht="15.5" x14ac:dyDescent="0.35">
      <c r="A74" s="315" t="s">
        <v>185</v>
      </c>
      <c r="B74" s="941">
        <v>3</v>
      </c>
      <c r="C74" s="942"/>
      <c r="D74" s="315" t="s">
        <v>185</v>
      </c>
      <c r="E74" s="941">
        <v>3</v>
      </c>
      <c r="F74" s="942"/>
      <c r="G74" s="340" t="s">
        <v>185</v>
      </c>
      <c r="H74" s="862" t="s">
        <v>519</v>
      </c>
      <c r="I74" s="862"/>
      <c r="J74" s="340" t="s">
        <v>185</v>
      </c>
      <c r="K74" s="930" t="s">
        <v>518</v>
      </c>
      <c r="L74" s="870"/>
      <c r="AD74" s="213" t="s">
        <v>279</v>
      </c>
      <c r="AE74" s="358">
        <v>0.47222222222222227</v>
      </c>
      <c r="AF74" s="359">
        <v>165</v>
      </c>
      <c r="AG74" s="359">
        <v>8.4</v>
      </c>
      <c r="AH74" s="359">
        <v>0.93</v>
      </c>
      <c r="AI74" s="359">
        <v>6.42</v>
      </c>
      <c r="AJ74" s="361">
        <v>3</v>
      </c>
    </row>
    <row r="75" spans="1:37" ht="15.5" x14ac:dyDescent="0.3">
      <c r="A75" s="316" t="s">
        <v>186</v>
      </c>
      <c r="B75" s="943" t="s">
        <v>591</v>
      </c>
      <c r="C75" s="944"/>
      <c r="D75" s="316" t="s">
        <v>186</v>
      </c>
      <c r="E75" s="929" t="s">
        <v>591</v>
      </c>
      <c r="F75" s="929"/>
      <c r="G75" s="341" t="s">
        <v>186</v>
      </c>
      <c r="H75" s="929" t="s">
        <v>541</v>
      </c>
      <c r="I75" s="929"/>
      <c r="J75" s="341" t="s">
        <v>186</v>
      </c>
      <c r="K75" s="930" t="s">
        <v>541</v>
      </c>
      <c r="L75" s="870"/>
      <c r="AD75" s="926">
        <v>40749</v>
      </c>
      <c r="AE75" s="926"/>
      <c r="AF75" s="926"/>
      <c r="AG75" s="926"/>
      <c r="AH75" s="926"/>
      <c r="AI75" s="928"/>
      <c r="AJ75" s="928"/>
    </row>
    <row r="76" spans="1:37" ht="35" x14ac:dyDescent="0.3">
      <c r="A76" s="313" t="s">
        <v>187</v>
      </c>
      <c r="B76" s="313" t="s">
        <v>188</v>
      </c>
      <c r="C76" s="314" t="s">
        <v>189</v>
      </c>
      <c r="D76" s="313" t="s">
        <v>187</v>
      </c>
      <c r="E76" s="313" t="s">
        <v>188</v>
      </c>
      <c r="F76" s="314" t="s">
        <v>189</v>
      </c>
      <c r="G76" s="313" t="s">
        <v>187</v>
      </c>
      <c r="H76" s="313" t="s">
        <v>188</v>
      </c>
      <c r="I76" s="314" t="s">
        <v>189</v>
      </c>
      <c r="J76" s="313" t="s">
        <v>187</v>
      </c>
      <c r="K76" s="313" t="s">
        <v>188</v>
      </c>
      <c r="L76" s="314" t="s">
        <v>189</v>
      </c>
      <c r="AD76" s="213" t="s">
        <v>277</v>
      </c>
      <c r="AE76" s="358">
        <v>0.54097222222222219</v>
      </c>
      <c r="AF76" s="359">
        <v>18.3</v>
      </c>
      <c r="AG76" s="359">
        <v>8.5</v>
      </c>
      <c r="AH76" s="359">
        <v>0.84</v>
      </c>
      <c r="AI76" s="359">
        <v>7.31</v>
      </c>
      <c r="AJ76" s="516">
        <v>10</v>
      </c>
    </row>
    <row r="77" spans="1:37" ht="15.5" x14ac:dyDescent="0.35">
      <c r="A77" s="152">
        <v>1</v>
      </c>
      <c r="B77" s="132">
        <v>0.65</v>
      </c>
      <c r="C77" s="321">
        <v>0.6</v>
      </c>
      <c r="D77" s="152">
        <v>1</v>
      </c>
      <c r="E77" s="132">
        <v>0.3</v>
      </c>
      <c r="F77" s="82">
        <v>1</v>
      </c>
      <c r="G77" s="152">
        <v>1</v>
      </c>
      <c r="H77" s="132">
        <v>0.36</v>
      </c>
      <c r="I77" s="82">
        <v>0.7</v>
      </c>
      <c r="J77" s="152">
        <v>1</v>
      </c>
      <c r="K77" s="132">
        <v>0.25</v>
      </c>
      <c r="L77" s="82">
        <v>0.7</v>
      </c>
      <c r="AD77" s="213" t="s">
        <v>278</v>
      </c>
      <c r="AE77" s="358">
        <v>5.1388888888888894E-2</v>
      </c>
      <c r="AF77" s="359">
        <v>18.5</v>
      </c>
      <c r="AG77" s="359">
        <v>8.4</v>
      </c>
      <c r="AH77" s="359">
        <v>0.83</v>
      </c>
      <c r="AI77" s="359">
        <v>7.05</v>
      </c>
      <c r="AJ77" s="516">
        <v>2</v>
      </c>
    </row>
    <row r="78" spans="1:37" ht="15.5" x14ac:dyDescent="0.35">
      <c r="A78" s="152">
        <v>2</v>
      </c>
      <c r="B78" s="132"/>
      <c r="C78" s="321"/>
      <c r="D78" s="152">
        <v>2</v>
      </c>
      <c r="E78" s="132"/>
      <c r="F78" s="132"/>
      <c r="G78" s="152">
        <v>2</v>
      </c>
      <c r="H78" s="132"/>
      <c r="I78" s="132"/>
      <c r="J78" s="152">
        <v>2</v>
      </c>
      <c r="K78" s="132"/>
      <c r="L78" s="132"/>
      <c r="AD78" s="213" t="s">
        <v>418</v>
      </c>
      <c r="AE78" s="358">
        <v>6.3888888888888884E-2</v>
      </c>
      <c r="AF78" s="359">
        <v>19.100000000000001</v>
      </c>
      <c r="AG78" s="359">
        <v>8.2799999999999994</v>
      </c>
      <c r="AH78" s="359">
        <v>0.87</v>
      </c>
      <c r="AI78" s="359">
        <v>6.36</v>
      </c>
      <c r="AJ78" s="516">
        <v>2</v>
      </c>
    </row>
    <row r="79" spans="1:37" ht="15.5" x14ac:dyDescent="0.35">
      <c r="A79" s="152" t="s">
        <v>173</v>
      </c>
      <c r="B79" s="132">
        <v>9.3000000000000007</v>
      </c>
      <c r="C79" s="321"/>
      <c r="D79" s="152" t="s">
        <v>173</v>
      </c>
      <c r="E79" s="132">
        <v>9.8000000000000007</v>
      </c>
      <c r="F79" s="132"/>
      <c r="G79" s="152" t="s">
        <v>173</v>
      </c>
      <c r="H79" s="132">
        <v>9.6999999999999993</v>
      </c>
      <c r="I79" s="132"/>
      <c r="J79" s="152" t="s">
        <v>173</v>
      </c>
      <c r="K79" s="132">
        <v>9.5</v>
      </c>
      <c r="L79" s="132"/>
      <c r="AD79" s="213" t="s">
        <v>279</v>
      </c>
      <c r="AE79" s="358">
        <v>6.0416666666666667E-2</v>
      </c>
      <c r="AF79" s="359">
        <v>21.4</v>
      </c>
      <c r="AG79" s="359">
        <v>8.27</v>
      </c>
      <c r="AH79" s="359">
        <v>0.85</v>
      </c>
      <c r="AI79" s="359">
        <v>6.14</v>
      </c>
      <c r="AJ79" s="516">
        <v>2</v>
      </c>
    </row>
    <row r="80" spans="1:37" ht="15.5" x14ac:dyDescent="0.35">
      <c r="A80" s="152" t="s">
        <v>174</v>
      </c>
      <c r="B80" s="132">
        <v>8.6300000000000008</v>
      </c>
      <c r="C80" s="321"/>
      <c r="D80" s="152" t="s">
        <v>174</v>
      </c>
      <c r="E80" s="132">
        <v>8.3000000000000007</v>
      </c>
      <c r="F80" s="132"/>
      <c r="G80" s="152" t="s">
        <v>174</v>
      </c>
      <c r="H80" s="132">
        <v>8.0500000000000007</v>
      </c>
      <c r="I80" s="132"/>
      <c r="J80" s="152" t="s">
        <v>174</v>
      </c>
      <c r="K80" s="132">
        <v>8.23</v>
      </c>
      <c r="L80" s="132"/>
      <c r="AD80" s="926">
        <v>40778</v>
      </c>
      <c r="AE80" s="926"/>
      <c r="AF80" s="926"/>
      <c r="AG80" s="926"/>
      <c r="AH80" s="926"/>
      <c r="AI80" s="926"/>
      <c r="AJ80" s="926"/>
    </row>
    <row r="81" spans="1:36" ht="15.5" x14ac:dyDescent="0.35">
      <c r="A81" s="152" t="s">
        <v>171</v>
      </c>
      <c r="B81" s="82">
        <v>0.79</v>
      </c>
      <c r="C81" s="82"/>
      <c r="D81" s="152" t="s">
        <v>171</v>
      </c>
      <c r="E81" s="82">
        <v>0.77</v>
      </c>
      <c r="F81" s="82"/>
      <c r="G81" s="152" t="s">
        <v>171</v>
      </c>
      <c r="H81" s="82">
        <v>0.75</v>
      </c>
      <c r="I81" s="82"/>
      <c r="J81" s="152" t="s">
        <v>171</v>
      </c>
      <c r="K81" s="82">
        <v>0.17599999999999999</v>
      </c>
      <c r="L81" s="82"/>
      <c r="AD81" s="213" t="s">
        <v>277</v>
      </c>
      <c r="AE81" s="358">
        <v>0.4826388888888889</v>
      </c>
      <c r="AF81" s="359">
        <v>14.9</v>
      </c>
      <c r="AG81" s="359">
        <v>8.34</v>
      </c>
      <c r="AH81" s="359">
        <v>0.69</v>
      </c>
      <c r="AI81" s="359">
        <v>7.72</v>
      </c>
      <c r="AJ81" s="516">
        <v>44</v>
      </c>
    </row>
    <row r="82" spans="1:36" ht="15.5" x14ac:dyDescent="0.35">
      <c r="A82" s="152" t="s">
        <v>172</v>
      </c>
      <c r="B82" s="82">
        <v>8.83</v>
      </c>
      <c r="C82" s="82"/>
      <c r="D82" s="152" t="s">
        <v>172</v>
      </c>
      <c r="E82" s="82">
        <v>8.39</v>
      </c>
      <c r="F82" s="82"/>
      <c r="G82" s="152" t="s">
        <v>172</v>
      </c>
      <c r="H82" s="82">
        <v>8.14</v>
      </c>
      <c r="I82" s="82"/>
      <c r="J82" s="152" t="s">
        <v>172</v>
      </c>
      <c r="K82" s="82">
        <v>7.11</v>
      </c>
      <c r="L82" s="82"/>
      <c r="AD82" s="213" t="s">
        <v>278</v>
      </c>
      <c r="AE82" s="358">
        <v>0.4916666666666667</v>
      </c>
      <c r="AF82" s="132">
        <v>15.5</v>
      </c>
      <c r="AG82" s="132">
        <v>8.3000000000000007</v>
      </c>
      <c r="AH82" s="82">
        <v>0.7</v>
      </c>
      <c r="AI82" s="82">
        <v>6.93</v>
      </c>
      <c r="AJ82" s="516">
        <v>15</v>
      </c>
    </row>
    <row r="83" spans="1:36" ht="15.5" x14ac:dyDescent="0.35">
      <c r="AD83" s="213" t="s">
        <v>418</v>
      </c>
      <c r="AE83" s="358">
        <v>0.50347222222222221</v>
      </c>
      <c r="AF83" s="132">
        <v>16.600000000000001</v>
      </c>
      <c r="AG83" s="132">
        <v>8.27</v>
      </c>
      <c r="AH83" s="82">
        <v>0.7</v>
      </c>
      <c r="AI83" s="82">
        <v>7.19</v>
      </c>
      <c r="AJ83" s="516">
        <v>1</v>
      </c>
    </row>
    <row r="84" spans="1:36" ht="15.5" x14ac:dyDescent="0.35">
      <c r="A84" s="20" t="s">
        <v>486</v>
      </c>
      <c r="B84" s="148">
        <v>40710</v>
      </c>
      <c r="AD84" s="213" t="s">
        <v>279</v>
      </c>
      <c r="AE84" s="358">
        <v>0.5</v>
      </c>
      <c r="AF84" s="132">
        <v>17.5</v>
      </c>
      <c r="AG84" s="132">
        <v>8.25</v>
      </c>
      <c r="AH84" s="82">
        <v>0.127</v>
      </c>
      <c r="AI84" s="82">
        <v>6.77</v>
      </c>
      <c r="AJ84" s="516">
        <v>8</v>
      </c>
    </row>
    <row r="85" spans="1:36" ht="14" x14ac:dyDescent="0.3">
      <c r="A85" s="933" t="s">
        <v>272</v>
      </c>
      <c r="B85" s="934"/>
      <c r="C85" s="935"/>
      <c r="D85" s="937" t="s">
        <v>273</v>
      </c>
      <c r="E85" s="937"/>
      <c r="F85" s="937"/>
      <c r="G85" s="933" t="s">
        <v>275</v>
      </c>
      <c r="H85" s="934"/>
      <c r="I85" s="935"/>
      <c r="J85" s="933" t="s">
        <v>274</v>
      </c>
      <c r="K85" s="934"/>
      <c r="L85" s="935"/>
      <c r="AD85" s="926">
        <v>40812</v>
      </c>
      <c r="AE85" s="926"/>
      <c r="AF85" s="926"/>
      <c r="AG85" s="926"/>
      <c r="AH85" s="926"/>
      <c r="AI85" s="926"/>
      <c r="AJ85" s="927"/>
    </row>
    <row r="86" spans="1:36" ht="15.5" x14ac:dyDescent="0.35">
      <c r="A86" s="315" t="s">
        <v>170</v>
      </c>
      <c r="B86" s="939">
        <v>0.45833333333333331</v>
      </c>
      <c r="C86" s="940"/>
      <c r="D86" s="315" t="s">
        <v>170</v>
      </c>
      <c r="E86" s="939">
        <v>0.46527777777777773</v>
      </c>
      <c r="F86" s="940"/>
      <c r="G86" s="340" t="s">
        <v>170</v>
      </c>
      <c r="H86" s="936">
        <v>0.47222222222222227</v>
      </c>
      <c r="I86" s="936"/>
      <c r="J86" s="340" t="s">
        <v>170</v>
      </c>
      <c r="K86" s="931">
        <v>0.47638888888888892</v>
      </c>
      <c r="L86" s="870"/>
      <c r="AD86" s="213" t="s">
        <v>277</v>
      </c>
      <c r="AE86" s="358">
        <v>4.5138888888888888E-2</v>
      </c>
      <c r="AF86" s="359">
        <v>11.8</v>
      </c>
      <c r="AG86" s="359">
        <v>8.2200000000000006</v>
      </c>
      <c r="AH86" s="359">
        <v>0.83</v>
      </c>
      <c r="AI86" s="634">
        <v>8.1999999999999993</v>
      </c>
      <c r="AJ86" s="361">
        <v>20</v>
      </c>
    </row>
    <row r="87" spans="1:36" ht="15.5" x14ac:dyDescent="0.35">
      <c r="A87" s="315" t="s">
        <v>185</v>
      </c>
      <c r="B87" s="941">
        <v>30</v>
      </c>
      <c r="C87" s="942"/>
      <c r="D87" s="315" t="s">
        <v>185</v>
      </c>
      <c r="E87" s="941">
        <v>20</v>
      </c>
      <c r="F87" s="942"/>
      <c r="G87" s="340" t="s">
        <v>185</v>
      </c>
      <c r="H87" s="862">
        <v>14</v>
      </c>
      <c r="I87" s="862"/>
      <c r="J87" s="340" t="s">
        <v>185</v>
      </c>
      <c r="K87" s="869">
        <v>16</v>
      </c>
      <c r="L87" s="870"/>
      <c r="AD87" s="213" t="s">
        <v>278</v>
      </c>
      <c r="AE87" s="358">
        <v>5.4166666666666669E-2</v>
      </c>
      <c r="AF87" s="359">
        <v>13.3</v>
      </c>
      <c r="AG87" s="359">
        <v>8.1199999999999992</v>
      </c>
      <c r="AH87" s="359">
        <v>0.82</v>
      </c>
      <c r="AI87" s="634">
        <v>7.97</v>
      </c>
      <c r="AJ87" s="361">
        <v>112</v>
      </c>
    </row>
    <row r="88" spans="1:36" ht="15.5" x14ac:dyDescent="0.3">
      <c r="A88" s="316" t="s">
        <v>186</v>
      </c>
      <c r="B88" s="943" t="s">
        <v>607</v>
      </c>
      <c r="C88" s="944"/>
      <c r="D88" s="316" t="s">
        <v>186</v>
      </c>
      <c r="E88" s="929" t="s">
        <v>541</v>
      </c>
      <c r="F88" s="929"/>
      <c r="G88" s="341" t="s">
        <v>186</v>
      </c>
      <c r="H88" s="929" t="s">
        <v>608</v>
      </c>
      <c r="I88" s="929"/>
      <c r="J88" s="341" t="s">
        <v>186</v>
      </c>
      <c r="K88" s="869" t="s">
        <v>541</v>
      </c>
      <c r="L88" s="870"/>
      <c r="AD88" s="213" t="s">
        <v>418</v>
      </c>
      <c r="AE88" s="358">
        <v>6.5277777777777782E-2</v>
      </c>
      <c r="AF88" s="359">
        <v>15.7</v>
      </c>
      <c r="AG88" s="359">
        <v>8.1300000000000008</v>
      </c>
      <c r="AH88" s="359">
        <v>0.78</v>
      </c>
      <c r="AI88" s="634">
        <v>6.53</v>
      </c>
      <c r="AJ88" s="361">
        <v>4</v>
      </c>
    </row>
    <row r="89" spans="1:36" ht="17.399999999999999" customHeight="1" x14ac:dyDescent="0.3">
      <c r="A89" s="313" t="s">
        <v>187</v>
      </c>
      <c r="B89" s="313" t="s">
        <v>188</v>
      </c>
      <c r="C89" s="314" t="s">
        <v>189</v>
      </c>
      <c r="D89" s="313" t="s">
        <v>187</v>
      </c>
      <c r="E89" s="313" t="s">
        <v>188</v>
      </c>
      <c r="F89" s="314" t="s">
        <v>189</v>
      </c>
      <c r="G89" s="313" t="s">
        <v>187</v>
      </c>
      <c r="H89" s="313" t="s">
        <v>188</v>
      </c>
      <c r="I89" s="314" t="s">
        <v>189</v>
      </c>
      <c r="J89" s="313" t="s">
        <v>187</v>
      </c>
      <c r="K89" s="313" t="s">
        <v>188</v>
      </c>
      <c r="L89" s="314" t="s">
        <v>189</v>
      </c>
      <c r="AD89" s="213" t="s">
        <v>279</v>
      </c>
      <c r="AE89" s="358">
        <v>6.25E-2</v>
      </c>
      <c r="AF89" s="359">
        <v>13.6</v>
      </c>
      <c r="AG89" s="359">
        <v>8.09</v>
      </c>
      <c r="AH89" s="359">
        <v>0.49099999999999999</v>
      </c>
      <c r="AI89" s="634">
        <v>7.47</v>
      </c>
      <c r="AJ89" s="361">
        <v>4</v>
      </c>
    </row>
    <row r="90" spans="1:36" ht="15.5" x14ac:dyDescent="0.35">
      <c r="A90" s="152">
        <v>1</v>
      </c>
      <c r="B90" s="132">
        <v>0.42</v>
      </c>
      <c r="C90" s="321">
        <v>0.4</v>
      </c>
      <c r="D90" s="152">
        <v>1</v>
      </c>
      <c r="E90" s="132">
        <v>0.2</v>
      </c>
      <c r="F90" s="82">
        <v>1.3</v>
      </c>
      <c r="G90" s="152">
        <v>1</v>
      </c>
      <c r="H90" s="132">
        <v>0.2</v>
      </c>
      <c r="I90" s="82">
        <v>0.2</v>
      </c>
      <c r="J90" s="152">
        <v>1</v>
      </c>
      <c r="K90" s="132">
        <v>0.2</v>
      </c>
      <c r="L90" s="82">
        <v>0.8</v>
      </c>
      <c r="AD90" s="926">
        <v>40841</v>
      </c>
      <c r="AE90" s="926"/>
      <c r="AF90" s="926"/>
      <c r="AG90" s="926"/>
      <c r="AH90" s="926"/>
      <c r="AI90" s="926"/>
      <c r="AJ90" s="928"/>
    </row>
    <row r="91" spans="1:36" ht="15.5" x14ac:dyDescent="0.35">
      <c r="A91" s="152">
        <v>2</v>
      </c>
      <c r="B91" s="132"/>
      <c r="C91" s="321"/>
      <c r="D91" s="152">
        <v>2</v>
      </c>
      <c r="E91" s="132"/>
      <c r="F91" s="132"/>
      <c r="G91" s="152">
        <v>2</v>
      </c>
      <c r="H91" s="132"/>
      <c r="I91" s="132"/>
      <c r="J91" s="152">
        <v>2</v>
      </c>
      <c r="K91" s="132"/>
      <c r="L91" s="132"/>
      <c r="AD91" s="213" t="s">
        <v>277</v>
      </c>
      <c r="AE91" s="358">
        <v>0.41319444444444442</v>
      </c>
      <c r="AF91" s="359">
        <v>4.3</v>
      </c>
      <c r="AG91" s="359">
        <v>8.39</v>
      </c>
      <c r="AH91" s="359">
        <v>0.76200000000000001</v>
      </c>
      <c r="AI91" s="359">
        <v>10.61</v>
      </c>
      <c r="AJ91" s="225">
        <v>6</v>
      </c>
    </row>
    <row r="92" spans="1:36" ht="15.5" x14ac:dyDescent="0.35">
      <c r="A92" s="152" t="s">
        <v>173</v>
      </c>
      <c r="B92" s="132">
        <v>13.3</v>
      </c>
      <c r="C92" s="321"/>
      <c r="D92" s="152" t="s">
        <v>173</v>
      </c>
      <c r="E92" s="132">
        <v>14.7</v>
      </c>
      <c r="F92" s="132"/>
      <c r="G92" s="152" t="s">
        <v>173</v>
      </c>
      <c r="H92" s="132">
        <v>16.5</v>
      </c>
      <c r="I92" s="132"/>
      <c r="J92" s="152" t="s">
        <v>173</v>
      </c>
      <c r="K92" s="132">
        <v>15.4</v>
      </c>
      <c r="L92" s="132"/>
      <c r="AD92" s="213" t="s">
        <v>278</v>
      </c>
      <c r="AE92" s="358">
        <v>0.4236111111111111</v>
      </c>
      <c r="AF92" s="359">
        <v>5</v>
      </c>
      <c r="AG92" s="359">
        <v>8.65</v>
      </c>
      <c r="AH92" s="359">
        <v>0.77700000000000002</v>
      </c>
      <c r="AI92" s="359">
        <v>10.050000000000001</v>
      </c>
      <c r="AJ92" s="225">
        <v>1</v>
      </c>
    </row>
    <row r="93" spans="1:36" ht="15.5" x14ac:dyDescent="0.35">
      <c r="A93" s="152" t="s">
        <v>174</v>
      </c>
      <c r="B93" s="132">
        <v>8.56</v>
      </c>
      <c r="C93" s="321"/>
      <c r="D93" s="152" t="s">
        <v>174</v>
      </c>
      <c r="E93" s="132">
        <v>8.5</v>
      </c>
      <c r="F93" s="132"/>
      <c r="G93" s="152" t="s">
        <v>174</v>
      </c>
      <c r="H93" s="132">
        <v>8.4</v>
      </c>
      <c r="I93" s="132"/>
      <c r="J93" s="152" t="s">
        <v>174</v>
      </c>
      <c r="K93" s="132">
        <v>8.4600000000000009</v>
      </c>
      <c r="L93" s="132"/>
      <c r="AD93" s="213" t="s">
        <v>418</v>
      </c>
      <c r="AE93" s="358">
        <v>0.43263888888888885</v>
      </c>
      <c r="AF93" s="359">
        <v>5.3</v>
      </c>
      <c r="AG93" s="359">
        <v>8.4700000000000006</v>
      </c>
      <c r="AH93" s="359">
        <v>0.78600000000000003</v>
      </c>
      <c r="AI93" s="359">
        <v>9.51</v>
      </c>
      <c r="AJ93" s="225">
        <v>7</v>
      </c>
    </row>
    <row r="94" spans="1:36" ht="15.5" x14ac:dyDescent="0.35">
      <c r="A94" s="152" t="s">
        <v>171</v>
      </c>
      <c r="B94" s="82">
        <v>0.84</v>
      </c>
      <c r="C94" s="82"/>
      <c r="D94" s="152" t="s">
        <v>171</v>
      </c>
      <c r="E94" s="82">
        <v>0.89</v>
      </c>
      <c r="F94" s="82"/>
      <c r="G94" s="152" t="s">
        <v>171</v>
      </c>
      <c r="H94" s="82">
        <v>0.93</v>
      </c>
      <c r="I94" s="82"/>
      <c r="J94" s="152" t="s">
        <v>171</v>
      </c>
      <c r="K94" s="82">
        <v>0.83</v>
      </c>
      <c r="L94" s="82"/>
      <c r="AD94" s="213" t="s">
        <v>279</v>
      </c>
      <c r="AE94" s="358">
        <v>0.4291666666666667</v>
      </c>
      <c r="AF94" s="359">
        <v>5.3</v>
      </c>
      <c r="AG94" s="359">
        <v>8.51</v>
      </c>
      <c r="AH94" s="359">
        <v>0.77300000000000002</v>
      </c>
      <c r="AI94" s="359">
        <v>9.49</v>
      </c>
      <c r="AJ94" s="225">
        <v>1</v>
      </c>
    </row>
    <row r="95" spans="1:36" ht="15.5" x14ac:dyDescent="0.35">
      <c r="A95" s="152" t="s">
        <v>172</v>
      </c>
      <c r="B95" s="82">
        <v>7.69</v>
      </c>
      <c r="C95" s="82"/>
      <c r="D95" s="152" t="s">
        <v>172</v>
      </c>
      <c r="E95" s="82">
        <v>7.26</v>
      </c>
      <c r="F95" s="82"/>
      <c r="G95" s="152" t="s">
        <v>172</v>
      </c>
      <c r="H95" s="82">
        <v>6.42</v>
      </c>
      <c r="I95" s="82"/>
      <c r="J95" s="152" t="s">
        <v>172</v>
      </c>
      <c r="K95" s="82">
        <v>6.46</v>
      </c>
      <c r="L95" s="82"/>
      <c r="AD95" s="926">
        <v>40875</v>
      </c>
      <c r="AE95" s="926"/>
      <c r="AF95" s="926"/>
      <c r="AG95" s="926"/>
      <c r="AH95" s="926"/>
      <c r="AI95" s="926"/>
      <c r="AJ95" s="926"/>
    </row>
    <row r="96" spans="1:36" ht="14.5" x14ac:dyDescent="0.3">
      <c r="AD96" s="213" t="s">
        <v>277</v>
      </c>
      <c r="AE96" s="358">
        <v>0.5083333333333333</v>
      </c>
      <c r="AF96" s="359">
        <v>2.2000000000000002</v>
      </c>
      <c r="AG96" s="359">
        <v>8.43</v>
      </c>
      <c r="AH96" s="359">
        <v>0.83199999999999996</v>
      </c>
      <c r="AI96" s="359">
        <v>12.08</v>
      </c>
      <c r="AJ96" s="516">
        <v>1</v>
      </c>
    </row>
    <row r="97" spans="1:39" ht="14.5" x14ac:dyDescent="0.3">
      <c r="A97" s="20" t="s">
        <v>486</v>
      </c>
      <c r="B97" s="148">
        <v>40749</v>
      </c>
      <c r="AD97" s="213" t="s">
        <v>278</v>
      </c>
      <c r="AE97" s="358">
        <v>0.52083333333333337</v>
      </c>
      <c r="AF97" s="359">
        <v>1.9</v>
      </c>
      <c r="AG97" s="359">
        <v>8.07</v>
      </c>
      <c r="AH97" s="359">
        <v>0.81799999999999995</v>
      </c>
      <c r="AI97" s="359">
        <v>11.7</v>
      </c>
      <c r="AJ97" s="516">
        <v>1</v>
      </c>
    </row>
    <row r="98" spans="1:39" ht="14.5" x14ac:dyDescent="0.3">
      <c r="A98" s="933" t="s">
        <v>272</v>
      </c>
      <c r="B98" s="934"/>
      <c r="C98" s="935"/>
      <c r="D98" s="937" t="s">
        <v>273</v>
      </c>
      <c r="E98" s="937"/>
      <c r="F98" s="937"/>
      <c r="G98" s="933" t="s">
        <v>275</v>
      </c>
      <c r="H98" s="934"/>
      <c r="I98" s="935"/>
      <c r="J98" s="933" t="s">
        <v>274</v>
      </c>
      <c r="K98" s="934"/>
      <c r="L98" s="935"/>
      <c r="AD98" s="213" t="s">
        <v>418</v>
      </c>
      <c r="AE98" s="358">
        <v>0.53402777777777777</v>
      </c>
      <c r="AF98" s="359">
        <v>0.1</v>
      </c>
      <c r="AG98" s="359">
        <v>7.99</v>
      </c>
      <c r="AH98" s="359">
        <v>0.80300000000000005</v>
      </c>
      <c r="AI98" s="359">
        <v>11.62</v>
      </c>
      <c r="AJ98" s="516">
        <v>7</v>
      </c>
    </row>
    <row r="99" spans="1:39" ht="15.5" x14ac:dyDescent="0.35">
      <c r="A99" s="315" t="s">
        <v>170</v>
      </c>
      <c r="B99" s="939">
        <v>0.54097222222222219</v>
      </c>
      <c r="C99" s="940"/>
      <c r="D99" s="315" t="s">
        <v>170</v>
      </c>
      <c r="E99" s="939">
        <v>5.1388888888888894E-2</v>
      </c>
      <c r="F99" s="940"/>
      <c r="G99" s="340" t="s">
        <v>170</v>
      </c>
      <c r="H99" s="936">
        <v>6.0416666666666667E-2</v>
      </c>
      <c r="I99" s="936"/>
      <c r="J99" s="340" t="s">
        <v>170</v>
      </c>
      <c r="K99" s="931">
        <v>6.3888888888888884E-2</v>
      </c>
      <c r="L99" s="870"/>
      <c r="AD99" s="213" t="s">
        <v>279</v>
      </c>
      <c r="AE99" s="358">
        <v>0.53055555555555556</v>
      </c>
      <c r="AF99" s="359">
        <v>2.2999999999999998</v>
      </c>
      <c r="AG99" s="359">
        <v>7.97</v>
      </c>
      <c r="AH99" s="359">
        <v>0.83599999999999997</v>
      </c>
      <c r="AI99" s="359">
        <v>11.17</v>
      </c>
      <c r="AJ99" s="516">
        <v>6</v>
      </c>
    </row>
    <row r="100" spans="1:39" ht="15.5" x14ac:dyDescent="0.35">
      <c r="A100" s="482" t="s">
        <v>580</v>
      </c>
      <c r="B100" s="941">
        <v>34</v>
      </c>
      <c r="C100" s="942"/>
      <c r="D100" s="482" t="s">
        <v>580</v>
      </c>
      <c r="E100" s="941">
        <v>26</v>
      </c>
      <c r="F100" s="942"/>
      <c r="G100" s="482" t="s">
        <v>580</v>
      </c>
      <c r="H100" s="862">
        <v>12</v>
      </c>
      <c r="I100" s="862"/>
      <c r="J100" s="482" t="s">
        <v>580</v>
      </c>
      <c r="K100" s="869">
        <v>12</v>
      </c>
      <c r="L100" s="870"/>
      <c r="AD100" s="926">
        <v>40905</v>
      </c>
      <c r="AE100" s="926"/>
      <c r="AF100" s="926"/>
      <c r="AG100" s="926"/>
      <c r="AH100" s="926"/>
      <c r="AI100" s="926"/>
      <c r="AJ100" s="926"/>
    </row>
    <row r="101" spans="1:39" ht="15.5" x14ac:dyDescent="0.3">
      <c r="A101" s="316" t="s">
        <v>186</v>
      </c>
      <c r="B101" s="943" t="s">
        <v>639</v>
      </c>
      <c r="C101" s="944"/>
      <c r="D101" s="316" t="s">
        <v>186</v>
      </c>
      <c r="E101" s="929" t="s">
        <v>640</v>
      </c>
      <c r="F101" s="929"/>
      <c r="G101" s="341" t="s">
        <v>186</v>
      </c>
      <c r="H101" s="929" t="s">
        <v>540</v>
      </c>
      <c r="I101" s="929"/>
      <c r="J101" s="341" t="s">
        <v>186</v>
      </c>
      <c r="K101" s="869" t="s">
        <v>540</v>
      </c>
      <c r="L101" s="870"/>
      <c r="AD101" s="213" t="s">
        <v>277</v>
      </c>
      <c r="AE101" s="367">
        <v>0.55555555555555558</v>
      </c>
      <c r="AF101" s="540">
        <v>1.2</v>
      </c>
      <c r="AG101" s="540">
        <v>8.19</v>
      </c>
      <c r="AH101" s="540">
        <v>0.83299999999999996</v>
      </c>
      <c r="AI101" s="540">
        <v>10.8</v>
      </c>
      <c r="AJ101" s="516">
        <v>1</v>
      </c>
    </row>
    <row r="102" spans="1:39" ht="35" x14ac:dyDescent="0.3">
      <c r="A102" s="313" t="s">
        <v>187</v>
      </c>
      <c r="B102" s="313" t="s">
        <v>188</v>
      </c>
      <c r="C102" s="314" t="s">
        <v>189</v>
      </c>
      <c r="D102" s="313" t="s">
        <v>187</v>
      </c>
      <c r="E102" s="313" t="s">
        <v>188</v>
      </c>
      <c r="F102" s="314" t="s">
        <v>189</v>
      </c>
      <c r="G102" s="313" t="s">
        <v>187</v>
      </c>
      <c r="H102" s="313" t="s">
        <v>188</v>
      </c>
      <c r="I102" s="314" t="s">
        <v>189</v>
      </c>
      <c r="J102" s="313" t="s">
        <v>187</v>
      </c>
      <c r="K102" s="313" t="s">
        <v>188</v>
      </c>
      <c r="L102" s="314" t="s">
        <v>189</v>
      </c>
      <c r="AD102" s="213" t="s">
        <v>278</v>
      </c>
      <c r="AE102" s="367">
        <v>0.56597222222222221</v>
      </c>
      <c r="AF102" s="540">
        <v>0.7</v>
      </c>
      <c r="AG102" s="540">
        <v>8.1</v>
      </c>
      <c r="AH102" s="540">
        <v>0.82</v>
      </c>
      <c r="AI102" s="540">
        <v>10.98</v>
      </c>
      <c r="AJ102" s="516">
        <v>1</v>
      </c>
    </row>
    <row r="103" spans="1:39" ht="15.5" x14ac:dyDescent="0.35">
      <c r="A103" s="152">
        <v>1</v>
      </c>
      <c r="B103" s="132">
        <v>0.48</v>
      </c>
      <c r="C103" s="321">
        <v>0.2</v>
      </c>
      <c r="D103" s="152">
        <v>1</v>
      </c>
      <c r="E103" s="132">
        <v>0.26</v>
      </c>
      <c r="F103" s="82">
        <v>0.8</v>
      </c>
      <c r="G103" s="152">
        <v>1</v>
      </c>
      <c r="H103" s="132">
        <v>0.3</v>
      </c>
      <c r="I103" s="82">
        <v>0.4</v>
      </c>
      <c r="J103" s="152">
        <v>1</v>
      </c>
      <c r="K103" s="132">
        <v>0.26</v>
      </c>
      <c r="L103" s="82">
        <v>0.6</v>
      </c>
      <c r="AD103" s="213" t="s">
        <v>418</v>
      </c>
      <c r="AE103" s="367">
        <v>0.58124999999999993</v>
      </c>
      <c r="AF103" s="540">
        <v>0</v>
      </c>
      <c r="AG103" s="540">
        <v>8.3800000000000008</v>
      </c>
      <c r="AH103" s="540">
        <v>0.82599999999999996</v>
      </c>
      <c r="AI103" s="540">
        <v>10.75</v>
      </c>
      <c r="AJ103" s="516">
        <v>1</v>
      </c>
    </row>
    <row r="104" spans="1:39" ht="15.5" x14ac:dyDescent="0.35">
      <c r="A104" s="152">
        <v>2</v>
      </c>
      <c r="B104" s="132">
        <v>0.4</v>
      </c>
      <c r="C104" s="321">
        <v>0.4</v>
      </c>
      <c r="D104" s="152">
        <v>2</v>
      </c>
      <c r="E104" s="132">
        <v>0.2</v>
      </c>
      <c r="F104" s="132">
        <v>0.8</v>
      </c>
      <c r="G104" s="152">
        <v>2</v>
      </c>
      <c r="H104" s="132"/>
      <c r="I104" s="132"/>
      <c r="J104" s="152">
        <v>2</v>
      </c>
      <c r="K104" s="132"/>
      <c r="L104" s="132"/>
      <c r="AD104" s="708" t="s">
        <v>279</v>
      </c>
      <c r="AE104" s="709">
        <v>0.57708333333333328</v>
      </c>
      <c r="AF104" s="702">
        <v>0.6</v>
      </c>
      <c r="AG104" s="702">
        <v>8.23</v>
      </c>
      <c r="AH104" s="702">
        <v>0.82499999999999996</v>
      </c>
      <c r="AI104" s="702">
        <v>10.92</v>
      </c>
      <c r="AJ104" s="710">
        <v>1</v>
      </c>
    </row>
    <row r="105" spans="1:39" ht="15.5" x14ac:dyDescent="0.35">
      <c r="A105" s="152" t="s">
        <v>173</v>
      </c>
      <c r="B105" s="132">
        <v>18.3</v>
      </c>
      <c r="C105" s="321"/>
      <c r="D105" s="152" t="s">
        <v>173</v>
      </c>
      <c r="E105" s="132">
        <v>18.5</v>
      </c>
      <c r="F105" s="132"/>
      <c r="G105" s="152" t="s">
        <v>173</v>
      </c>
      <c r="H105" s="132">
        <v>21.4</v>
      </c>
      <c r="I105" s="132"/>
      <c r="J105" s="152" t="s">
        <v>173</v>
      </c>
      <c r="K105" s="132">
        <v>19.100000000000001</v>
      </c>
      <c r="L105" s="132"/>
      <c r="AD105" s="923" t="s">
        <v>874</v>
      </c>
      <c r="AE105" s="923"/>
      <c r="AF105" s="923"/>
      <c r="AG105" s="923"/>
      <c r="AH105" s="923"/>
      <c r="AI105" s="923"/>
      <c r="AJ105" s="923"/>
      <c r="AK105" s="923"/>
      <c r="AL105" s="923"/>
      <c r="AM105" s="923"/>
    </row>
    <row r="106" spans="1:39" ht="15.5" x14ac:dyDescent="0.35">
      <c r="A106" s="152" t="s">
        <v>174</v>
      </c>
      <c r="B106" s="132">
        <v>8.5</v>
      </c>
      <c r="C106" s="321"/>
      <c r="D106" s="152" t="s">
        <v>174</v>
      </c>
      <c r="E106" s="132">
        <v>8.4</v>
      </c>
      <c r="F106" s="132"/>
      <c r="G106" s="152" t="s">
        <v>174</v>
      </c>
      <c r="H106" s="132">
        <v>8.27</v>
      </c>
      <c r="I106" s="132"/>
      <c r="J106" s="152" t="s">
        <v>174</v>
      </c>
      <c r="K106" s="132">
        <v>8.2799999999999994</v>
      </c>
      <c r="L106" s="132"/>
      <c r="AD106" s="492" t="s">
        <v>425</v>
      </c>
      <c r="AE106" s="701">
        <v>2010</v>
      </c>
      <c r="AF106" s="913">
        <v>2011</v>
      </c>
      <c r="AG106" s="913"/>
      <c r="AH106" s="913"/>
      <c r="AI106" s="913"/>
      <c r="AJ106" s="913"/>
      <c r="AK106" s="913"/>
      <c r="AL106" s="913"/>
      <c r="AM106" s="913"/>
    </row>
    <row r="107" spans="1:39" ht="15.5" x14ac:dyDescent="0.35">
      <c r="A107" s="152" t="s">
        <v>171</v>
      </c>
      <c r="B107" s="82">
        <v>0.84</v>
      </c>
      <c r="C107" s="82"/>
      <c r="D107" s="152" t="s">
        <v>171</v>
      </c>
      <c r="E107" s="82">
        <v>0.83</v>
      </c>
      <c r="F107" s="82"/>
      <c r="G107" s="152" t="s">
        <v>171</v>
      </c>
      <c r="H107" s="82">
        <v>0.85</v>
      </c>
      <c r="I107" s="82"/>
      <c r="J107" s="152" t="s">
        <v>171</v>
      </c>
      <c r="K107" s="82">
        <v>0.87</v>
      </c>
      <c r="L107" s="82"/>
      <c r="AD107" s="492"/>
      <c r="AE107" s="659" t="s">
        <v>877</v>
      </c>
      <c r="AF107" s="659" t="s">
        <v>875</v>
      </c>
      <c r="AG107" s="703" t="s">
        <v>882</v>
      </c>
      <c r="AH107" s="703" t="s">
        <v>883</v>
      </c>
      <c r="AI107" s="703" t="s">
        <v>884</v>
      </c>
      <c r="AJ107" s="703" t="s">
        <v>885</v>
      </c>
      <c r="AK107" s="703" t="s">
        <v>886</v>
      </c>
      <c r="AL107" s="703" t="s">
        <v>887</v>
      </c>
      <c r="AM107" s="703" t="s">
        <v>876</v>
      </c>
    </row>
    <row r="108" spans="1:39" ht="15.5" x14ac:dyDescent="0.35">
      <c r="A108" s="152" t="s">
        <v>172</v>
      </c>
      <c r="B108" s="82">
        <v>7.31</v>
      </c>
      <c r="C108" s="82"/>
      <c r="D108" s="152" t="s">
        <v>172</v>
      </c>
      <c r="E108" s="82">
        <v>7.05</v>
      </c>
      <c r="F108" s="82"/>
      <c r="G108" s="152" t="s">
        <v>172</v>
      </c>
      <c r="H108" s="82">
        <v>6.14</v>
      </c>
      <c r="I108" s="82"/>
      <c r="J108" s="152" t="s">
        <v>172</v>
      </c>
      <c r="K108" s="82">
        <v>6.36</v>
      </c>
      <c r="L108" s="82"/>
      <c r="AD108" s="82"/>
      <c r="AE108" s="712" t="s">
        <v>878</v>
      </c>
      <c r="AF108" s="712" t="s">
        <v>879</v>
      </c>
      <c r="AG108" s="712" t="s">
        <v>880</v>
      </c>
      <c r="AH108" s="712" t="s">
        <v>880</v>
      </c>
      <c r="AI108" s="712" t="s">
        <v>880</v>
      </c>
      <c r="AJ108" s="712" t="s">
        <v>880</v>
      </c>
      <c r="AK108" s="712" t="s">
        <v>880</v>
      </c>
      <c r="AL108" s="712" t="s">
        <v>880</v>
      </c>
      <c r="AM108" s="712" t="s">
        <v>888</v>
      </c>
    </row>
    <row r="109" spans="1:39" ht="13" x14ac:dyDescent="0.3">
      <c r="AD109" s="179" t="s">
        <v>881</v>
      </c>
      <c r="AE109" s="711"/>
      <c r="AF109" s="82"/>
      <c r="AG109" s="713">
        <f>GEOMEAN(AJ46:AJ49,AJ51:AJ54)</f>
        <v>14.316421489448254</v>
      </c>
      <c r="AH109" s="713">
        <f>GEOMEAN(AJ56:AJ59,AJ61:AJ64)</f>
        <v>1.5595830465537215</v>
      </c>
      <c r="AI109" s="713">
        <f>GEOMEAN(AJ66:AJ69,AJ71:AJ74)</f>
        <v>6.31932491835828</v>
      </c>
      <c r="AJ109" s="713">
        <f>GEOMEAN(AJ76:AJ79,AJ81:AJ84)</f>
        <v>5.0491176306749272</v>
      </c>
      <c r="AK109" s="713">
        <f>GEOMEAN(AJ86:AJ89,AJ91:AJ94)</f>
        <v>5.9183706659697988</v>
      </c>
      <c r="AL109" s="713">
        <f>GEOMEAN(AJ96:AJ99,AJ101:AJ104)</f>
        <v>1.5955343603388272</v>
      </c>
      <c r="AM109" s="713">
        <f>GEOMEAN(AJ66:AJ69,AJ71:AJ74,AJ76:AJ79,AJ81:AJ84,AJ86:AJ89,AJ91:AJ94)</f>
        <v>5.7371487737596247</v>
      </c>
    </row>
    <row r="110" spans="1:39" ht="13" x14ac:dyDescent="0.3">
      <c r="A110" s="20" t="s">
        <v>486</v>
      </c>
      <c r="B110" s="148">
        <v>40778</v>
      </c>
      <c r="AD110" s="179" t="s">
        <v>277</v>
      </c>
      <c r="AE110" s="204">
        <f>GEOMEAN(AK5,AK10,AL15,AK20,AK25,AK30,AK35,AK40)</f>
        <v>10.415007356230323</v>
      </c>
      <c r="AF110" s="204">
        <f>GEOMEAN(AJ46,AJ51,AJ56,AJ61,AJ66,AJ71,AJ76,AJ81,AJ86,AJ91,AJ96,AJ101)</f>
        <v>6.1357359213452263</v>
      </c>
      <c r="AG110" s="388"/>
      <c r="AH110" s="82"/>
      <c r="AI110" s="82"/>
      <c r="AJ110" s="82"/>
      <c r="AK110" s="540"/>
      <c r="AL110" s="82"/>
      <c r="AM110" s="92">
        <f>GEOMEAN(AJ66,AJ71,AJ76,AJ81,AJ86,AJ91)</f>
        <v>14.92095777788087</v>
      </c>
    </row>
    <row r="111" spans="1:39" ht="13" x14ac:dyDescent="0.3">
      <c r="A111" s="933" t="s">
        <v>272</v>
      </c>
      <c r="B111" s="934"/>
      <c r="C111" s="935"/>
      <c r="D111" s="937" t="s">
        <v>273</v>
      </c>
      <c r="E111" s="937"/>
      <c r="F111" s="937"/>
      <c r="G111" s="933" t="s">
        <v>275</v>
      </c>
      <c r="H111" s="934"/>
      <c r="I111" s="935"/>
      <c r="J111" s="933" t="s">
        <v>274</v>
      </c>
      <c r="K111" s="934"/>
      <c r="L111" s="935"/>
      <c r="AD111" s="179" t="s">
        <v>278</v>
      </c>
      <c r="AE111" s="204">
        <f>GEOMEAN(AK6,AK11,AL16,AK21,AK26,AK31,AK36,AK41)</f>
        <v>12.872734712745171</v>
      </c>
      <c r="AF111" s="204">
        <f>GEOMEAN(AJ47,AJ52,AJ57,AJ62,AJ67,AJ72,AJ77,AJ82,AJ87,AJ92,AJ97,AJ102)</f>
        <v>4.3983385639622687</v>
      </c>
      <c r="AG111" s="388"/>
      <c r="AH111" s="82"/>
      <c r="AI111" s="82"/>
      <c r="AJ111" s="82"/>
      <c r="AK111" s="540"/>
      <c r="AL111" s="82"/>
      <c r="AM111" s="92">
        <f t="shared" ref="AM111:AM113" si="30">GEOMEAN(AJ67,AJ72,AJ77,AJ82,AJ87,AJ92)</f>
        <v>8.9793309645192245</v>
      </c>
    </row>
    <row r="112" spans="1:39" ht="15.5" x14ac:dyDescent="0.35">
      <c r="A112" s="315" t="s">
        <v>170</v>
      </c>
      <c r="B112" s="939">
        <v>0.4826388888888889</v>
      </c>
      <c r="C112" s="940"/>
      <c r="D112" s="315" t="s">
        <v>170</v>
      </c>
      <c r="E112" s="939">
        <v>0.4916666666666667</v>
      </c>
      <c r="F112" s="940"/>
      <c r="G112" s="340" t="s">
        <v>170</v>
      </c>
      <c r="H112" s="936">
        <v>0.5</v>
      </c>
      <c r="I112" s="936"/>
      <c r="J112" s="340" t="s">
        <v>170</v>
      </c>
      <c r="K112" s="931">
        <v>0.50347222222222221</v>
      </c>
      <c r="L112" s="870"/>
      <c r="AD112" s="179" t="s">
        <v>418</v>
      </c>
      <c r="AE112" s="204">
        <f>GEOMEAN(AK7,AL12,AL17,AK22,AK27,AK32,AK37,AK42)</f>
        <v>15.637786219907868</v>
      </c>
      <c r="AF112" s="204">
        <f>GEOMEAN(AJ48,AJ53,AJ58,AJ63,AJ68,AJ73,AJ78,AJ83,AJ88,AJ93,AJ98,AJ103)</f>
        <v>4.6479811698183386</v>
      </c>
      <c r="AG112" s="388"/>
      <c r="AH112" s="82"/>
      <c r="AI112" s="82"/>
      <c r="AJ112" s="82"/>
      <c r="AK112" s="540"/>
      <c r="AL112" s="82"/>
      <c r="AM112" s="92">
        <f t="shared" si="30"/>
        <v>3.3666158403052355</v>
      </c>
    </row>
    <row r="113" spans="1:39" ht="15.5" x14ac:dyDescent="0.35">
      <c r="A113" s="482" t="s">
        <v>580</v>
      </c>
      <c r="B113" s="941">
        <v>32</v>
      </c>
      <c r="C113" s="942"/>
      <c r="D113" s="482" t="s">
        <v>580</v>
      </c>
      <c r="E113" s="941">
        <v>20</v>
      </c>
      <c r="F113" s="942"/>
      <c r="G113" s="482" t="s">
        <v>580</v>
      </c>
      <c r="H113" s="862">
        <v>14</v>
      </c>
      <c r="I113" s="862"/>
      <c r="J113" s="482" t="s">
        <v>580</v>
      </c>
      <c r="K113" s="869">
        <v>14</v>
      </c>
      <c r="L113" s="870"/>
      <c r="AD113" s="179" t="s">
        <v>279</v>
      </c>
      <c r="AE113" s="204">
        <f>GEOMEAN(AK8,AK13,AL18,AK23,AK28,AK33,AK38,AK43)</f>
        <v>11.190072410860243</v>
      </c>
      <c r="AF113" s="204">
        <f>GEOMEAN(AJ49,AJ54,AJ59,AJ64,AJ69,AJ74,AJ79,AJ84,AJ89,AJ94,AJ99,AJ104)</f>
        <v>2.841004860513197</v>
      </c>
      <c r="AG113" s="82"/>
      <c r="AH113" s="82"/>
      <c r="AI113" s="82"/>
      <c r="AJ113" s="82"/>
      <c r="AK113" s="540"/>
      <c r="AL113" s="82"/>
      <c r="AM113" s="92">
        <f t="shared" si="30"/>
        <v>2.4018739103520055</v>
      </c>
    </row>
    <row r="114" spans="1:39" ht="15.5" x14ac:dyDescent="0.3">
      <c r="A114" s="316" t="s">
        <v>186</v>
      </c>
      <c r="B114" s="943" t="s">
        <v>641</v>
      </c>
      <c r="C114" s="944"/>
      <c r="D114" s="316" t="s">
        <v>186</v>
      </c>
      <c r="E114" s="929" t="s">
        <v>329</v>
      </c>
      <c r="F114" s="929"/>
      <c r="G114" s="341" t="s">
        <v>186</v>
      </c>
      <c r="H114" s="929" t="s">
        <v>329</v>
      </c>
      <c r="I114" s="929"/>
      <c r="J114" s="341" t="s">
        <v>186</v>
      </c>
      <c r="K114" s="869" t="s">
        <v>329</v>
      </c>
      <c r="L114" s="870"/>
      <c r="AD114" s="543"/>
      <c r="AE114" s="714"/>
      <c r="AF114" s="714"/>
    </row>
    <row r="115" spans="1:39" ht="34.5" x14ac:dyDescent="0.25">
      <c r="A115" s="313" t="s">
        <v>187</v>
      </c>
      <c r="B115" s="313" t="s">
        <v>188</v>
      </c>
      <c r="C115" s="314" t="s">
        <v>189</v>
      </c>
      <c r="D115" s="313" t="s">
        <v>187</v>
      </c>
      <c r="E115" s="313" t="s">
        <v>188</v>
      </c>
      <c r="F115" s="314" t="s">
        <v>189</v>
      </c>
      <c r="G115" s="313" t="s">
        <v>187</v>
      </c>
      <c r="H115" s="313" t="s">
        <v>188</v>
      </c>
      <c r="I115" s="314" t="s">
        <v>189</v>
      </c>
      <c r="J115" s="313" t="s">
        <v>187</v>
      </c>
      <c r="K115" s="313" t="s">
        <v>188</v>
      </c>
      <c r="L115" s="314" t="s">
        <v>189</v>
      </c>
    </row>
    <row r="116" spans="1:39" ht="15.5" x14ac:dyDescent="0.35">
      <c r="A116" s="152">
        <v>1</v>
      </c>
      <c r="B116" s="132">
        <v>0.62</v>
      </c>
      <c r="C116" s="321">
        <v>0.4</v>
      </c>
      <c r="D116" s="152">
        <v>1</v>
      </c>
      <c r="E116" s="132">
        <v>0.2</v>
      </c>
      <c r="F116" s="82">
        <v>1.3</v>
      </c>
      <c r="G116" s="152">
        <v>1</v>
      </c>
      <c r="H116" s="132">
        <v>0.25</v>
      </c>
      <c r="I116" s="82">
        <v>0.2</v>
      </c>
      <c r="J116" s="152">
        <v>1</v>
      </c>
      <c r="K116" s="132">
        <v>0.2</v>
      </c>
      <c r="L116" s="82">
        <v>0.8</v>
      </c>
    </row>
    <row r="117" spans="1:39" ht="15.5" x14ac:dyDescent="0.35">
      <c r="A117" s="152">
        <v>2</v>
      </c>
      <c r="B117" s="132">
        <v>0.52</v>
      </c>
      <c r="C117" s="321">
        <v>0.3</v>
      </c>
      <c r="D117" s="152">
        <v>2</v>
      </c>
      <c r="E117" s="132"/>
      <c r="F117" s="132"/>
      <c r="G117" s="152">
        <v>2</v>
      </c>
      <c r="H117" s="132"/>
      <c r="I117" s="132"/>
      <c r="J117" s="152">
        <v>2</v>
      </c>
      <c r="K117" s="132"/>
      <c r="L117" s="132"/>
    </row>
    <row r="118" spans="1:39" ht="15.5" x14ac:dyDescent="0.35">
      <c r="A118" s="152" t="s">
        <v>173</v>
      </c>
      <c r="B118" s="132">
        <v>14.9</v>
      </c>
      <c r="C118" s="321"/>
      <c r="D118" s="152" t="s">
        <v>173</v>
      </c>
      <c r="E118" s="132">
        <v>15.5</v>
      </c>
      <c r="F118" s="132"/>
      <c r="G118" s="152" t="s">
        <v>173</v>
      </c>
      <c r="H118" s="132">
        <v>17.5</v>
      </c>
      <c r="I118" s="132"/>
      <c r="J118" s="152" t="s">
        <v>173</v>
      </c>
      <c r="K118" s="132">
        <v>16.600000000000001</v>
      </c>
      <c r="L118" s="132"/>
    </row>
    <row r="119" spans="1:39" ht="15.5" x14ac:dyDescent="0.35">
      <c r="A119" s="152" t="s">
        <v>174</v>
      </c>
      <c r="B119" s="132">
        <v>8.34</v>
      </c>
      <c r="C119" s="321"/>
      <c r="D119" s="152" t="s">
        <v>174</v>
      </c>
      <c r="E119" s="132">
        <v>8.3000000000000007</v>
      </c>
      <c r="F119" s="132"/>
      <c r="G119" s="152" t="s">
        <v>174</v>
      </c>
      <c r="H119" s="132">
        <v>8.25</v>
      </c>
      <c r="I119" s="132"/>
      <c r="J119" s="152" t="s">
        <v>174</v>
      </c>
      <c r="K119" s="132">
        <v>8.27</v>
      </c>
      <c r="L119" s="132"/>
    </row>
    <row r="120" spans="1:39" ht="15.5" x14ac:dyDescent="0.35">
      <c r="A120" s="152" t="s">
        <v>171</v>
      </c>
      <c r="B120" s="82">
        <v>0.69</v>
      </c>
      <c r="C120" s="82"/>
      <c r="D120" s="152" t="s">
        <v>171</v>
      </c>
      <c r="E120" s="82">
        <v>0.7</v>
      </c>
      <c r="F120" s="82"/>
      <c r="G120" s="152" t="s">
        <v>171</v>
      </c>
      <c r="H120" s="82">
        <v>0.127</v>
      </c>
      <c r="I120" s="82"/>
      <c r="J120" s="152" t="s">
        <v>171</v>
      </c>
      <c r="K120" s="82">
        <v>0.7</v>
      </c>
      <c r="L120" s="82"/>
    </row>
    <row r="121" spans="1:39" ht="15.5" x14ac:dyDescent="0.35">
      <c r="A121" s="152" t="s">
        <v>172</v>
      </c>
      <c r="B121" s="82">
        <v>7.72</v>
      </c>
      <c r="C121" s="82"/>
      <c r="D121" s="152" t="s">
        <v>172</v>
      </c>
      <c r="E121" s="82" t="s">
        <v>642</v>
      </c>
      <c r="F121" s="82"/>
      <c r="G121" s="152" t="s">
        <v>172</v>
      </c>
      <c r="H121" s="82">
        <v>6.77</v>
      </c>
      <c r="I121" s="82"/>
      <c r="J121" s="152" t="s">
        <v>172</v>
      </c>
      <c r="K121" s="82">
        <v>7.19</v>
      </c>
      <c r="L121" s="82"/>
    </row>
    <row r="123" spans="1:39" x14ac:dyDescent="0.25">
      <c r="A123" s="20" t="s">
        <v>486</v>
      </c>
      <c r="B123" s="148">
        <v>40812</v>
      </c>
    </row>
    <row r="124" spans="1:39" ht="13" x14ac:dyDescent="0.3">
      <c r="A124" s="933" t="s">
        <v>272</v>
      </c>
      <c r="B124" s="934"/>
      <c r="C124" s="935"/>
      <c r="D124" s="937" t="s">
        <v>273</v>
      </c>
      <c r="E124" s="937"/>
      <c r="F124" s="937"/>
      <c r="G124" s="933" t="s">
        <v>275</v>
      </c>
      <c r="H124" s="934"/>
      <c r="I124" s="935"/>
      <c r="J124" s="933" t="s">
        <v>274</v>
      </c>
      <c r="K124" s="934"/>
      <c r="L124" s="935"/>
    </row>
    <row r="125" spans="1:39" ht="15.5" x14ac:dyDescent="0.35">
      <c r="A125" s="315" t="s">
        <v>170</v>
      </c>
      <c r="B125" s="939">
        <v>4.5138888888888888E-2</v>
      </c>
      <c r="C125" s="940"/>
      <c r="D125" s="315" t="s">
        <v>170</v>
      </c>
      <c r="E125" s="939">
        <v>5.4166666666666669E-2</v>
      </c>
      <c r="F125" s="940"/>
      <c r="G125" s="340" t="s">
        <v>170</v>
      </c>
      <c r="H125" s="936">
        <v>6.25E-2</v>
      </c>
      <c r="I125" s="936"/>
      <c r="J125" s="340" t="s">
        <v>170</v>
      </c>
      <c r="K125" s="931">
        <v>6.5277777777777782E-2</v>
      </c>
      <c r="L125" s="870"/>
    </row>
    <row r="126" spans="1:39" ht="15.5" x14ac:dyDescent="0.35">
      <c r="A126" s="482" t="s">
        <v>580</v>
      </c>
      <c r="B126" s="941">
        <v>30</v>
      </c>
      <c r="C126" s="942"/>
      <c r="D126" s="482" t="s">
        <v>580</v>
      </c>
      <c r="E126" s="941">
        <v>20</v>
      </c>
      <c r="F126" s="942"/>
      <c r="G126" s="482" t="s">
        <v>580</v>
      </c>
      <c r="H126" s="862">
        <v>18</v>
      </c>
      <c r="I126" s="862"/>
      <c r="J126" s="482" t="s">
        <v>580</v>
      </c>
      <c r="K126" s="869">
        <v>18</v>
      </c>
      <c r="L126" s="870"/>
    </row>
    <row r="127" spans="1:39" ht="15.5" x14ac:dyDescent="0.25">
      <c r="A127" s="316" t="s">
        <v>186</v>
      </c>
      <c r="B127" s="943"/>
      <c r="C127" s="944"/>
      <c r="D127" s="316" t="s">
        <v>186</v>
      </c>
      <c r="E127" s="929"/>
      <c r="F127" s="929"/>
      <c r="G127" s="341" t="s">
        <v>186</v>
      </c>
      <c r="H127" s="929"/>
      <c r="I127" s="929"/>
      <c r="J127" s="341" t="s">
        <v>186</v>
      </c>
      <c r="K127" s="869"/>
      <c r="L127" s="870"/>
    </row>
    <row r="128" spans="1:39" ht="34.5" x14ac:dyDescent="0.25">
      <c r="A128" s="313" t="s">
        <v>187</v>
      </c>
      <c r="B128" s="313" t="s">
        <v>188</v>
      </c>
      <c r="C128" s="314" t="s">
        <v>189</v>
      </c>
      <c r="D128" s="313" t="s">
        <v>187</v>
      </c>
      <c r="E128" s="313" t="s">
        <v>188</v>
      </c>
      <c r="F128" s="314" t="s">
        <v>189</v>
      </c>
      <c r="G128" s="313" t="s">
        <v>187</v>
      </c>
      <c r="H128" s="313" t="s">
        <v>188</v>
      </c>
      <c r="I128" s="314" t="s">
        <v>189</v>
      </c>
      <c r="J128" s="313" t="s">
        <v>187</v>
      </c>
      <c r="K128" s="313" t="s">
        <v>188</v>
      </c>
      <c r="L128" s="314" t="s">
        <v>189</v>
      </c>
    </row>
    <row r="129" spans="1:12" ht="15.5" x14ac:dyDescent="0.35">
      <c r="A129" s="152">
        <v>1</v>
      </c>
      <c r="B129" s="132">
        <v>0.61</v>
      </c>
      <c r="C129" s="321">
        <v>0.2</v>
      </c>
      <c r="D129" s="152">
        <v>1</v>
      </c>
      <c r="E129" s="132">
        <v>0.25</v>
      </c>
      <c r="F129" s="82">
        <v>0.5</v>
      </c>
      <c r="G129" s="152">
        <v>1</v>
      </c>
      <c r="H129" s="132">
        <v>0.25</v>
      </c>
      <c r="I129" s="82">
        <v>0.3</v>
      </c>
      <c r="J129" s="152">
        <v>1</v>
      </c>
      <c r="K129" s="132">
        <v>0.2</v>
      </c>
      <c r="L129" s="82">
        <v>0.4</v>
      </c>
    </row>
    <row r="130" spans="1:12" ht="15.5" x14ac:dyDescent="0.35">
      <c r="A130" s="152">
        <v>2</v>
      </c>
      <c r="B130" s="132">
        <v>0.65</v>
      </c>
      <c r="C130" s="321">
        <v>0.1</v>
      </c>
      <c r="D130" s="152">
        <v>2</v>
      </c>
      <c r="E130" s="132"/>
      <c r="F130" s="132"/>
      <c r="G130" s="152">
        <v>2</v>
      </c>
      <c r="H130" s="132"/>
      <c r="I130" s="132"/>
      <c r="J130" s="152">
        <v>2</v>
      </c>
      <c r="K130" s="132"/>
      <c r="L130" s="132"/>
    </row>
    <row r="131" spans="1:12" ht="15.5" x14ac:dyDescent="0.35">
      <c r="A131" s="152" t="s">
        <v>173</v>
      </c>
      <c r="B131" s="132">
        <v>11.8</v>
      </c>
      <c r="C131" s="321"/>
      <c r="D131" s="152" t="s">
        <v>173</v>
      </c>
      <c r="E131" s="132">
        <v>13.3</v>
      </c>
      <c r="F131" s="132"/>
      <c r="G131" s="152" t="s">
        <v>173</v>
      </c>
      <c r="H131" s="132">
        <v>15.7</v>
      </c>
      <c r="I131" s="132"/>
      <c r="J131" s="152" t="s">
        <v>173</v>
      </c>
      <c r="K131" s="132">
        <v>13.6</v>
      </c>
      <c r="L131" s="132"/>
    </row>
    <row r="132" spans="1:12" ht="15.5" x14ac:dyDescent="0.35">
      <c r="A132" s="152" t="s">
        <v>174</v>
      </c>
      <c r="B132" s="132">
        <v>8.2200000000000006</v>
      </c>
      <c r="C132" s="321"/>
      <c r="D132" s="152" t="s">
        <v>174</v>
      </c>
      <c r="E132" s="132">
        <v>8.1199999999999992</v>
      </c>
      <c r="F132" s="132"/>
      <c r="G132" s="152" t="s">
        <v>174</v>
      </c>
      <c r="H132" s="132">
        <v>8.1300000000000008</v>
      </c>
      <c r="I132" s="132"/>
      <c r="J132" s="152" t="s">
        <v>174</v>
      </c>
      <c r="K132" s="132">
        <v>8.09</v>
      </c>
      <c r="L132" s="132"/>
    </row>
    <row r="133" spans="1:12" ht="15.5" x14ac:dyDescent="0.35">
      <c r="A133" s="152" t="s">
        <v>171</v>
      </c>
      <c r="B133" s="82">
        <v>0.83</v>
      </c>
      <c r="C133" s="82"/>
      <c r="D133" s="152" t="s">
        <v>171</v>
      </c>
      <c r="E133" s="82">
        <v>0.82</v>
      </c>
      <c r="F133" s="82"/>
      <c r="G133" s="152" t="s">
        <v>171</v>
      </c>
      <c r="H133" s="82">
        <v>0.78</v>
      </c>
      <c r="I133" s="82"/>
      <c r="J133" s="152" t="s">
        <v>171</v>
      </c>
      <c r="K133" s="82">
        <v>0.49099999999999999</v>
      </c>
      <c r="L133" s="82"/>
    </row>
    <row r="134" spans="1:12" ht="15.5" x14ac:dyDescent="0.35">
      <c r="A134" s="152" t="s">
        <v>172</v>
      </c>
      <c r="B134" s="82">
        <v>8.1999999999999993</v>
      </c>
      <c r="C134" s="82"/>
      <c r="D134" s="152" t="s">
        <v>172</v>
      </c>
      <c r="E134" s="82">
        <v>7.97</v>
      </c>
      <c r="F134" s="82"/>
      <c r="G134" s="152" t="s">
        <v>172</v>
      </c>
      <c r="H134" s="82">
        <v>6.53</v>
      </c>
      <c r="I134" s="82"/>
      <c r="J134" s="152" t="s">
        <v>172</v>
      </c>
      <c r="K134" s="82">
        <v>7.47</v>
      </c>
      <c r="L134" s="82"/>
    </row>
    <row r="136" spans="1:12" x14ac:dyDescent="0.25">
      <c r="A136" s="20" t="s">
        <v>486</v>
      </c>
      <c r="B136" s="148">
        <v>40841</v>
      </c>
    </row>
    <row r="137" spans="1:12" ht="13" x14ac:dyDescent="0.3">
      <c r="A137" s="933" t="s">
        <v>272</v>
      </c>
      <c r="B137" s="934"/>
      <c r="C137" s="935"/>
      <c r="D137" s="937" t="s">
        <v>273</v>
      </c>
      <c r="E137" s="937"/>
      <c r="F137" s="937"/>
      <c r="G137" s="933" t="s">
        <v>275</v>
      </c>
      <c r="H137" s="934"/>
      <c r="I137" s="935"/>
      <c r="J137" s="933" t="s">
        <v>274</v>
      </c>
      <c r="K137" s="934"/>
      <c r="L137" s="935"/>
    </row>
    <row r="138" spans="1:12" ht="15.5" x14ac:dyDescent="0.35">
      <c r="A138" s="315" t="s">
        <v>170</v>
      </c>
      <c r="B138" s="939">
        <v>0.41319444444444442</v>
      </c>
      <c r="C138" s="940"/>
      <c r="D138" s="315" t="s">
        <v>170</v>
      </c>
      <c r="E138" s="939">
        <v>0.4236111111111111</v>
      </c>
      <c r="F138" s="940"/>
      <c r="G138" s="340" t="s">
        <v>170</v>
      </c>
      <c r="H138" s="936">
        <v>0.4291666666666667</v>
      </c>
      <c r="I138" s="936"/>
      <c r="J138" s="340" t="s">
        <v>170</v>
      </c>
      <c r="K138" s="931">
        <v>0.43263888888888885</v>
      </c>
      <c r="L138" s="870"/>
    </row>
    <row r="139" spans="1:12" ht="15.5" x14ac:dyDescent="0.35">
      <c r="A139" s="482" t="s">
        <v>580</v>
      </c>
      <c r="B139" s="941">
        <v>30</v>
      </c>
      <c r="C139" s="942"/>
      <c r="D139" s="482" t="s">
        <v>580</v>
      </c>
      <c r="E139" s="941">
        <v>20</v>
      </c>
      <c r="F139" s="942"/>
      <c r="G139" s="482" t="s">
        <v>580</v>
      </c>
      <c r="H139" s="862">
        <v>16</v>
      </c>
      <c r="I139" s="862"/>
      <c r="J139" s="482" t="s">
        <v>580</v>
      </c>
      <c r="K139" s="869">
        <v>16</v>
      </c>
      <c r="L139" s="870"/>
    </row>
    <row r="140" spans="1:12" ht="15.5" x14ac:dyDescent="0.25">
      <c r="A140" s="316" t="s">
        <v>186</v>
      </c>
      <c r="B140" s="943" t="s">
        <v>752</v>
      </c>
      <c r="C140" s="944"/>
      <c r="D140" s="316" t="s">
        <v>186</v>
      </c>
      <c r="E140" s="929" t="s">
        <v>640</v>
      </c>
      <c r="F140" s="929"/>
      <c r="G140" s="341" t="s">
        <v>186</v>
      </c>
      <c r="H140" s="929" t="s">
        <v>541</v>
      </c>
      <c r="I140" s="929"/>
      <c r="J140" s="341" t="s">
        <v>186</v>
      </c>
      <c r="K140" s="869" t="s">
        <v>753</v>
      </c>
      <c r="L140" s="870"/>
    </row>
    <row r="141" spans="1:12" ht="34.5" x14ac:dyDescent="0.25">
      <c r="A141" s="313" t="s">
        <v>187</v>
      </c>
      <c r="B141" s="313" t="s">
        <v>188</v>
      </c>
      <c r="C141" s="314" t="s">
        <v>189</v>
      </c>
      <c r="D141" s="313" t="s">
        <v>187</v>
      </c>
      <c r="E141" s="313" t="s">
        <v>188</v>
      </c>
      <c r="F141" s="314" t="s">
        <v>189</v>
      </c>
      <c r="G141" s="313" t="s">
        <v>187</v>
      </c>
      <c r="H141" s="313" t="s">
        <v>188</v>
      </c>
      <c r="I141" s="314" t="s">
        <v>189</v>
      </c>
      <c r="J141" s="313" t="s">
        <v>187</v>
      </c>
      <c r="K141" s="313" t="s">
        <v>188</v>
      </c>
      <c r="L141" s="314" t="s">
        <v>189</v>
      </c>
    </row>
    <row r="142" spans="1:12" ht="15.5" x14ac:dyDescent="0.35">
      <c r="A142" s="152">
        <v>1</v>
      </c>
      <c r="B142" s="132">
        <v>0.3</v>
      </c>
      <c r="C142" s="321">
        <v>0.9</v>
      </c>
      <c r="D142" s="152">
        <v>1</v>
      </c>
      <c r="E142" s="132">
        <v>0.2</v>
      </c>
      <c r="F142" s="82">
        <v>1.2</v>
      </c>
      <c r="G142" s="152">
        <v>1</v>
      </c>
      <c r="H142" s="132">
        <v>0.53</v>
      </c>
      <c r="I142" s="82">
        <v>0.2</v>
      </c>
      <c r="J142" s="152">
        <v>1</v>
      </c>
      <c r="K142" s="132">
        <v>0.25</v>
      </c>
      <c r="L142" s="82">
        <v>0.4</v>
      </c>
    </row>
    <row r="143" spans="1:12" ht="15.5" x14ac:dyDescent="0.35">
      <c r="A143" s="152">
        <v>2</v>
      </c>
      <c r="B143" s="132"/>
      <c r="C143" s="321"/>
      <c r="D143" s="152">
        <v>2</v>
      </c>
      <c r="E143" s="132"/>
      <c r="F143" s="132"/>
      <c r="G143" s="152">
        <v>2</v>
      </c>
      <c r="H143" s="132"/>
      <c r="I143" s="132"/>
      <c r="J143" s="152">
        <v>2</v>
      </c>
      <c r="K143" s="132"/>
      <c r="L143" s="132"/>
    </row>
    <row r="144" spans="1:12" ht="15.5" x14ac:dyDescent="0.35">
      <c r="A144" s="152" t="s">
        <v>173</v>
      </c>
      <c r="B144" s="132">
        <v>4.3</v>
      </c>
      <c r="C144" s="321"/>
      <c r="D144" s="152" t="s">
        <v>173</v>
      </c>
      <c r="E144" s="132">
        <v>5</v>
      </c>
      <c r="F144" s="132"/>
      <c r="G144" s="152" t="s">
        <v>173</v>
      </c>
      <c r="H144" s="132">
        <v>5.3</v>
      </c>
      <c r="I144" s="132"/>
      <c r="J144" s="152" t="s">
        <v>173</v>
      </c>
      <c r="K144" s="132">
        <v>5.3</v>
      </c>
      <c r="L144" s="132"/>
    </row>
    <row r="145" spans="1:12" ht="15.5" x14ac:dyDescent="0.35">
      <c r="A145" s="152" t="s">
        <v>174</v>
      </c>
      <c r="B145" s="132">
        <v>8.39</v>
      </c>
      <c r="C145" s="321"/>
      <c r="D145" s="152" t="s">
        <v>174</v>
      </c>
      <c r="E145" s="132">
        <v>8.65</v>
      </c>
      <c r="F145" s="132"/>
      <c r="G145" s="152" t="s">
        <v>174</v>
      </c>
      <c r="H145" s="132">
        <v>8.61</v>
      </c>
      <c r="I145" s="132"/>
      <c r="J145" s="152" t="s">
        <v>174</v>
      </c>
      <c r="K145" s="132">
        <v>8.4700000000000006</v>
      </c>
      <c r="L145" s="132"/>
    </row>
    <row r="146" spans="1:12" ht="15.5" x14ac:dyDescent="0.35">
      <c r="A146" s="152" t="s">
        <v>171</v>
      </c>
      <c r="B146" s="82">
        <v>0.76200000000000001</v>
      </c>
      <c r="C146" s="82"/>
      <c r="D146" s="152" t="s">
        <v>171</v>
      </c>
      <c r="E146" s="82">
        <v>0.77700000000000002</v>
      </c>
      <c r="F146" s="82"/>
      <c r="G146" s="152" t="s">
        <v>171</v>
      </c>
      <c r="H146" s="82">
        <v>0.77300000000000002</v>
      </c>
      <c r="I146" s="82"/>
      <c r="J146" s="152" t="s">
        <v>171</v>
      </c>
      <c r="K146" s="82">
        <v>0.78600000000000003</v>
      </c>
      <c r="L146" s="82"/>
    </row>
    <row r="147" spans="1:12" ht="15.5" x14ac:dyDescent="0.35">
      <c r="A147" s="152" t="s">
        <v>172</v>
      </c>
      <c r="B147" s="82">
        <v>10.61</v>
      </c>
      <c r="C147" s="82"/>
      <c r="D147" s="152" t="s">
        <v>172</v>
      </c>
      <c r="E147" s="82">
        <v>10.050000000000001</v>
      </c>
      <c r="F147" s="82"/>
      <c r="G147" s="152" t="s">
        <v>172</v>
      </c>
      <c r="H147" s="82">
        <v>9.49</v>
      </c>
      <c r="I147" s="82"/>
      <c r="J147" s="152" t="s">
        <v>172</v>
      </c>
      <c r="K147" s="82" t="s">
        <v>754</v>
      </c>
      <c r="L147" s="82"/>
    </row>
    <row r="149" spans="1:12" x14ac:dyDescent="0.25">
      <c r="A149" s="20" t="s">
        <v>486</v>
      </c>
      <c r="B149" s="148">
        <v>40905</v>
      </c>
    </row>
    <row r="150" spans="1:12" ht="13" x14ac:dyDescent="0.3">
      <c r="A150" s="933" t="s">
        <v>272</v>
      </c>
      <c r="B150" s="934"/>
      <c r="C150" s="935"/>
      <c r="D150" s="937" t="s">
        <v>273</v>
      </c>
      <c r="E150" s="937"/>
      <c r="F150" s="937"/>
      <c r="G150" s="933" t="s">
        <v>275</v>
      </c>
      <c r="H150" s="934"/>
      <c r="I150" s="935"/>
      <c r="J150" s="933" t="s">
        <v>274</v>
      </c>
      <c r="K150" s="934"/>
      <c r="L150" s="935"/>
    </row>
    <row r="151" spans="1:12" ht="15.5" x14ac:dyDescent="0.35">
      <c r="A151" s="315" t="s">
        <v>170</v>
      </c>
      <c r="B151" s="939">
        <v>0.55555555555555558</v>
      </c>
      <c r="C151" s="940"/>
      <c r="D151" s="315" t="s">
        <v>170</v>
      </c>
      <c r="E151" s="939">
        <v>0.56597222222222221</v>
      </c>
      <c r="F151" s="940"/>
      <c r="G151" s="340" t="s">
        <v>170</v>
      </c>
      <c r="H151" s="936">
        <v>0.57708333333333328</v>
      </c>
      <c r="I151" s="936"/>
      <c r="J151" s="340" t="s">
        <v>170</v>
      </c>
      <c r="K151" s="869">
        <v>0.58124999999999993</v>
      </c>
      <c r="L151" s="870"/>
    </row>
    <row r="152" spans="1:12" ht="15.5" x14ac:dyDescent="0.35">
      <c r="A152" s="482" t="s">
        <v>580</v>
      </c>
      <c r="B152" s="941">
        <v>29</v>
      </c>
      <c r="C152" s="942"/>
      <c r="D152" s="482" t="s">
        <v>580</v>
      </c>
      <c r="E152" s="941">
        <v>24</v>
      </c>
      <c r="F152" s="942"/>
      <c r="G152" s="482" t="s">
        <v>580</v>
      </c>
      <c r="H152" s="862">
        <v>25</v>
      </c>
      <c r="I152" s="862"/>
      <c r="J152" s="482" t="s">
        <v>580</v>
      </c>
      <c r="K152" s="869">
        <v>26</v>
      </c>
      <c r="L152" s="870"/>
    </row>
    <row r="153" spans="1:12" ht="15.5" x14ac:dyDescent="0.25">
      <c r="A153" s="316" t="s">
        <v>186</v>
      </c>
      <c r="B153" s="943"/>
      <c r="C153" s="944"/>
      <c r="D153" s="316" t="s">
        <v>186</v>
      </c>
      <c r="E153" s="929"/>
      <c r="F153" s="929"/>
      <c r="G153" s="341" t="s">
        <v>186</v>
      </c>
      <c r="H153" s="929"/>
      <c r="I153" s="929"/>
      <c r="J153" s="341" t="s">
        <v>186</v>
      </c>
      <c r="K153" s="869"/>
      <c r="L153" s="870"/>
    </row>
    <row r="154" spans="1:12" ht="34.5" x14ac:dyDescent="0.25">
      <c r="A154" s="313" t="s">
        <v>187</v>
      </c>
      <c r="B154" s="313" t="s">
        <v>188</v>
      </c>
      <c r="C154" s="314" t="s">
        <v>189</v>
      </c>
      <c r="D154" s="313" t="s">
        <v>187</v>
      </c>
      <c r="E154" s="313" t="s">
        <v>188</v>
      </c>
      <c r="F154" s="314" t="s">
        <v>189</v>
      </c>
      <c r="G154" s="313" t="s">
        <v>187</v>
      </c>
      <c r="H154" s="313" t="s">
        <v>188</v>
      </c>
      <c r="I154" s="314" t="s">
        <v>189</v>
      </c>
      <c r="J154" s="313" t="s">
        <v>187</v>
      </c>
      <c r="K154" s="313" t="s">
        <v>188</v>
      </c>
      <c r="L154" s="314" t="s">
        <v>189</v>
      </c>
    </row>
    <row r="155" spans="1:12" ht="15.5" x14ac:dyDescent="0.35">
      <c r="A155" s="152">
        <v>1</v>
      </c>
      <c r="B155" s="132">
        <v>0.57999999999999996</v>
      </c>
      <c r="C155" s="321">
        <v>0.2</v>
      </c>
      <c r="D155" s="152">
        <v>1</v>
      </c>
      <c r="E155" s="132">
        <v>0.26</v>
      </c>
      <c r="F155" s="82">
        <v>0.2</v>
      </c>
      <c r="G155" s="152">
        <v>1</v>
      </c>
      <c r="H155" s="132">
        <v>0.6</v>
      </c>
      <c r="I155" s="82">
        <v>0.4</v>
      </c>
      <c r="J155" s="152">
        <v>1</v>
      </c>
      <c r="K155" s="132">
        <v>0.3</v>
      </c>
      <c r="L155" s="82">
        <v>0.3</v>
      </c>
    </row>
    <row r="156" spans="1:12" ht="15.5" x14ac:dyDescent="0.35">
      <c r="A156" s="152">
        <v>2</v>
      </c>
      <c r="B156" s="132"/>
      <c r="C156" s="321"/>
      <c r="D156" s="152">
        <v>2</v>
      </c>
      <c r="E156" s="132"/>
      <c r="F156" s="132"/>
      <c r="G156" s="152">
        <v>2</v>
      </c>
      <c r="H156" s="132"/>
      <c r="I156" s="132"/>
      <c r="J156" s="152">
        <v>2</v>
      </c>
      <c r="K156" s="132"/>
      <c r="L156" s="132"/>
    </row>
    <row r="157" spans="1:12" ht="15.5" x14ac:dyDescent="0.35">
      <c r="A157" s="152" t="s">
        <v>173</v>
      </c>
      <c r="B157" s="132">
        <v>1.2</v>
      </c>
      <c r="C157" s="321"/>
      <c r="D157" s="152" t="s">
        <v>173</v>
      </c>
      <c r="E157" s="132">
        <v>0.7</v>
      </c>
      <c r="F157" s="132"/>
      <c r="G157" s="152" t="s">
        <v>173</v>
      </c>
      <c r="H157" s="132">
        <v>0.6</v>
      </c>
      <c r="I157" s="132"/>
      <c r="J157" s="152" t="s">
        <v>173</v>
      </c>
      <c r="K157" s="132">
        <v>0</v>
      </c>
      <c r="L157" s="132"/>
    </row>
    <row r="158" spans="1:12" ht="15.5" x14ac:dyDescent="0.35">
      <c r="A158" s="152" t="s">
        <v>174</v>
      </c>
      <c r="B158" s="132">
        <v>8.19</v>
      </c>
      <c r="C158" s="321"/>
      <c r="D158" s="152" t="s">
        <v>174</v>
      </c>
      <c r="E158" s="132">
        <v>8.1</v>
      </c>
      <c r="F158" s="132"/>
      <c r="G158" s="152" t="s">
        <v>174</v>
      </c>
      <c r="H158" s="132">
        <v>8.23</v>
      </c>
      <c r="I158" s="132"/>
      <c r="J158" s="152" t="s">
        <v>174</v>
      </c>
      <c r="K158" s="132">
        <v>8.3800000000000008</v>
      </c>
      <c r="L158" s="132"/>
    </row>
    <row r="159" spans="1:12" ht="15.5" x14ac:dyDescent="0.35">
      <c r="A159" s="152" t="s">
        <v>171</v>
      </c>
      <c r="B159" s="82">
        <v>0.83299999999999996</v>
      </c>
      <c r="C159" s="82"/>
      <c r="D159" s="152" t="s">
        <v>171</v>
      </c>
      <c r="E159" s="82">
        <v>0.82</v>
      </c>
      <c r="F159" s="82"/>
      <c r="G159" s="152" t="s">
        <v>171</v>
      </c>
      <c r="H159" s="82">
        <v>0.82499999999999996</v>
      </c>
      <c r="I159" s="82"/>
      <c r="J159" s="152" t="s">
        <v>171</v>
      </c>
      <c r="K159" s="82">
        <v>0.82599999999999996</v>
      </c>
      <c r="L159" s="82"/>
    </row>
    <row r="160" spans="1:12" ht="15.5" x14ac:dyDescent="0.35">
      <c r="A160" s="152" t="s">
        <v>172</v>
      </c>
      <c r="B160" s="82">
        <v>10.8</v>
      </c>
      <c r="C160" s="82"/>
      <c r="D160" s="152" t="s">
        <v>172</v>
      </c>
      <c r="E160" s="82">
        <v>10.98</v>
      </c>
      <c r="F160" s="82"/>
      <c r="G160" s="152" t="s">
        <v>172</v>
      </c>
      <c r="H160" s="82">
        <v>10.92</v>
      </c>
      <c r="I160" s="82"/>
      <c r="J160" s="152" t="s">
        <v>172</v>
      </c>
      <c r="K160" s="82">
        <v>10.75</v>
      </c>
      <c r="L160" s="82"/>
    </row>
    <row r="163" spans="1:12" ht="14.5" x14ac:dyDescent="0.35">
      <c r="A163" s="696"/>
      <c r="B163" s="696"/>
      <c r="C163" s="696"/>
      <c r="D163" s="696" t="s">
        <v>174</v>
      </c>
      <c r="E163" s="697" t="s">
        <v>173</v>
      </c>
      <c r="F163" s="696" t="s">
        <v>172</v>
      </c>
      <c r="G163" s="696" t="s">
        <v>855</v>
      </c>
      <c r="H163" s="695" t="s">
        <v>856</v>
      </c>
      <c r="I163" s="695" t="s">
        <v>857</v>
      </c>
      <c r="J163" s="695" t="s">
        <v>858</v>
      </c>
      <c r="K163" s="695" t="s">
        <v>859</v>
      </c>
      <c r="L163" s="695" t="s">
        <v>860</v>
      </c>
    </row>
    <row r="164" spans="1:12" ht="14.5" x14ac:dyDescent="0.35">
      <c r="A164" s="696" t="s">
        <v>2</v>
      </c>
      <c r="B164" s="696" t="s">
        <v>168</v>
      </c>
      <c r="C164" s="696" t="s">
        <v>432</v>
      </c>
      <c r="D164" s="696" t="s">
        <v>861</v>
      </c>
      <c r="E164" s="697" t="s">
        <v>862</v>
      </c>
      <c r="F164" s="696" t="s">
        <v>863</v>
      </c>
      <c r="G164" s="696" t="s">
        <v>864</v>
      </c>
      <c r="H164" s="695" t="s">
        <v>865</v>
      </c>
      <c r="I164" s="695" t="s">
        <v>866</v>
      </c>
      <c r="J164" s="695" t="s">
        <v>866</v>
      </c>
      <c r="K164" s="695" t="s">
        <v>866</v>
      </c>
      <c r="L164" s="695" t="s">
        <v>867</v>
      </c>
    </row>
    <row r="166" spans="1:12" x14ac:dyDescent="0.25">
      <c r="A166">
        <v>52</v>
      </c>
      <c r="B166" s="698">
        <v>40905</v>
      </c>
      <c r="C166" s="699">
        <v>0.55555555555555558</v>
      </c>
      <c r="D166" s="90">
        <v>8.19</v>
      </c>
      <c r="E166" s="90">
        <v>1.2</v>
      </c>
      <c r="F166" s="90">
        <v>10.8</v>
      </c>
      <c r="G166" s="90">
        <v>0.83299999999999996</v>
      </c>
      <c r="H166" s="90" t="s">
        <v>868</v>
      </c>
      <c r="I166" s="90" t="s">
        <v>868</v>
      </c>
      <c r="J166" s="90" t="s">
        <v>868</v>
      </c>
      <c r="K166" s="90" t="s">
        <v>868</v>
      </c>
      <c r="L166" s="90">
        <v>1</v>
      </c>
    </row>
    <row r="167" spans="1:12" x14ac:dyDescent="0.25">
      <c r="A167">
        <v>53</v>
      </c>
      <c r="B167" s="698">
        <v>40905</v>
      </c>
      <c r="C167" s="699">
        <v>0.56597222222222221</v>
      </c>
      <c r="D167" s="90">
        <v>8.1</v>
      </c>
      <c r="E167" s="90">
        <v>0.7</v>
      </c>
      <c r="F167" s="90">
        <v>10.98</v>
      </c>
      <c r="G167" s="90">
        <v>0.82</v>
      </c>
      <c r="H167" s="90" t="s">
        <v>868</v>
      </c>
      <c r="I167" s="90" t="s">
        <v>868</v>
      </c>
      <c r="J167" s="90" t="s">
        <v>868</v>
      </c>
      <c r="K167" s="90" t="s">
        <v>868</v>
      </c>
      <c r="L167" s="90">
        <v>1</v>
      </c>
    </row>
    <row r="168" spans="1:12" x14ac:dyDescent="0.25">
      <c r="A168">
        <v>54</v>
      </c>
      <c r="B168" s="698">
        <v>40905</v>
      </c>
      <c r="C168" s="699">
        <v>0.58124999999999993</v>
      </c>
      <c r="D168" s="90">
        <v>8.3800000000000008</v>
      </c>
      <c r="E168" s="90">
        <v>0</v>
      </c>
      <c r="F168" s="90">
        <v>10.75</v>
      </c>
      <c r="G168" s="90">
        <v>0.82599999999999996</v>
      </c>
      <c r="H168" s="90" t="s">
        <v>868</v>
      </c>
      <c r="I168" s="90" t="s">
        <v>868</v>
      </c>
      <c r="J168" s="90" t="s">
        <v>868</v>
      </c>
      <c r="K168" s="90" t="s">
        <v>868</v>
      </c>
      <c r="L168" s="90">
        <v>1</v>
      </c>
    </row>
    <row r="169" spans="1:12" x14ac:dyDescent="0.25">
      <c r="A169">
        <v>55</v>
      </c>
      <c r="B169" s="698">
        <v>40905</v>
      </c>
      <c r="C169" s="699">
        <v>0.57708333333333328</v>
      </c>
      <c r="D169" s="90">
        <v>8.23</v>
      </c>
      <c r="E169" s="90">
        <v>0.6</v>
      </c>
      <c r="F169" s="90">
        <v>10.92</v>
      </c>
      <c r="G169" s="90">
        <v>0.82499999999999996</v>
      </c>
      <c r="H169" s="90" t="s">
        <v>868</v>
      </c>
      <c r="I169" s="90" t="s">
        <v>868</v>
      </c>
      <c r="J169" s="90" t="s">
        <v>868</v>
      </c>
      <c r="K169" s="90" t="s">
        <v>868</v>
      </c>
      <c r="L169" s="90">
        <v>1</v>
      </c>
    </row>
    <row r="171" spans="1:12" ht="14.5" x14ac:dyDescent="0.35">
      <c r="B171" s="704" t="s">
        <v>869</v>
      </c>
    </row>
    <row r="172" spans="1:12" ht="14.5" x14ac:dyDescent="0.35">
      <c r="B172" s="704" t="s">
        <v>870</v>
      </c>
    </row>
    <row r="173" spans="1:12" ht="14.5" x14ac:dyDescent="0.35">
      <c r="B173" s="704" t="s">
        <v>871</v>
      </c>
    </row>
    <row r="174" spans="1:12" ht="14.5" x14ac:dyDescent="0.35">
      <c r="B174" s="704" t="s">
        <v>872</v>
      </c>
    </row>
    <row r="175" spans="1:12" ht="14.5" x14ac:dyDescent="0.35">
      <c r="B175" s="704" t="s">
        <v>873</v>
      </c>
    </row>
  </sheetData>
  <mergeCells count="224">
    <mergeCell ref="K127:L127"/>
    <mergeCell ref="B127:C127"/>
    <mergeCell ref="E127:F127"/>
    <mergeCell ref="H125:I125"/>
    <mergeCell ref="H127:I127"/>
    <mergeCell ref="AD100:AJ100"/>
    <mergeCell ref="B140:C140"/>
    <mergeCell ref="E140:F140"/>
    <mergeCell ref="H140:I140"/>
    <mergeCell ref="K140:L140"/>
    <mergeCell ref="A137:C137"/>
    <mergeCell ref="D137:F137"/>
    <mergeCell ref="G137:I137"/>
    <mergeCell ref="J137:L137"/>
    <mergeCell ref="B138:C138"/>
    <mergeCell ref="E138:F138"/>
    <mergeCell ref="H138:I138"/>
    <mergeCell ref="K138:L138"/>
    <mergeCell ref="B139:C139"/>
    <mergeCell ref="E139:F139"/>
    <mergeCell ref="H139:I139"/>
    <mergeCell ref="K139:L139"/>
    <mergeCell ref="A124:C124"/>
    <mergeCell ref="D124:F124"/>
    <mergeCell ref="B153:C153"/>
    <mergeCell ref="E153:F153"/>
    <mergeCell ref="H153:I153"/>
    <mergeCell ref="K153:L153"/>
    <mergeCell ref="A150:C150"/>
    <mergeCell ref="D150:F150"/>
    <mergeCell ref="G150:I150"/>
    <mergeCell ref="J150:L150"/>
    <mergeCell ref="B151:C151"/>
    <mergeCell ref="E151:F151"/>
    <mergeCell ref="H151:I151"/>
    <mergeCell ref="K151:L151"/>
    <mergeCell ref="B152:C152"/>
    <mergeCell ref="E152:F152"/>
    <mergeCell ref="H152:I152"/>
    <mergeCell ref="K152:L152"/>
    <mergeCell ref="A111:C111"/>
    <mergeCell ref="D111:F111"/>
    <mergeCell ref="G111:I111"/>
    <mergeCell ref="J111:L111"/>
    <mergeCell ref="B112:C112"/>
    <mergeCell ref="E112:F112"/>
    <mergeCell ref="H112:I112"/>
    <mergeCell ref="K112:L112"/>
    <mergeCell ref="B113:C113"/>
    <mergeCell ref="E113:F113"/>
    <mergeCell ref="H113:I113"/>
    <mergeCell ref="K113:L113"/>
    <mergeCell ref="B114:C114"/>
    <mergeCell ref="E114:F114"/>
    <mergeCell ref="H114:I114"/>
    <mergeCell ref="K114:L114"/>
    <mergeCell ref="K125:L125"/>
    <mergeCell ref="B126:C126"/>
    <mergeCell ref="E126:F126"/>
    <mergeCell ref="H126:I126"/>
    <mergeCell ref="K126:L126"/>
    <mergeCell ref="E125:F125"/>
    <mergeCell ref="G124:I124"/>
    <mergeCell ref="J124:L124"/>
    <mergeCell ref="B125:C125"/>
    <mergeCell ref="B99:C99"/>
    <mergeCell ref="E99:F99"/>
    <mergeCell ref="H99:I99"/>
    <mergeCell ref="K99:L99"/>
    <mergeCell ref="B100:C100"/>
    <mergeCell ref="E100:F100"/>
    <mergeCell ref="H100:I100"/>
    <mergeCell ref="K100:L100"/>
    <mergeCell ref="B101:C101"/>
    <mergeCell ref="E101:F101"/>
    <mergeCell ref="H101:I101"/>
    <mergeCell ref="K101:L101"/>
    <mergeCell ref="B87:C87"/>
    <mergeCell ref="E87:F87"/>
    <mergeCell ref="H87:I87"/>
    <mergeCell ref="K87:L87"/>
    <mergeCell ref="B88:C88"/>
    <mergeCell ref="E88:F88"/>
    <mergeCell ref="H88:I88"/>
    <mergeCell ref="K88:L88"/>
    <mergeCell ref="A98:C98"/>
    <mergeCell ref="D98:F98"/>
    <mergeCell ref="G98:I98"/>
    <mergeCell ref="J98:L98"/>
    <mergeCell ref="A85:C85"/>
    <mergeCell ref="D85:F85"/>
    <mergeCell ref="G85:I85"/>
    <mergeCell ref="J85:L85"/>
    <mergeCell ref="AD80:AJ80"/>
    <mergeCell ref="AD85:AJ85"/>
    <mergeCell ref="B75:C75"/>
    <mergeCell ref="E75:F75"/>
    <mergeCell ref="B86:C86"/>
    <mergeCell ref="E86:F86"/>
    <mergeCell ref="H86:I86"/>
    <mergeCell ref="K86:L86"/>
    <mergeCell ref="A72:C72"/>
    <mergeCell ref="D72:F72"/>
    <mergeCell ref="G72:I72"/>
    <mergeCell ref="J72:L72"/>
    <mergeCell ref="B73:C73"/>
    <mergeCell ref="E73:F73"/>
    <mergeCell ref="H73:I73"/>
    <mergeCell ref="K73:L73"/>
    <mergeCell ref="B74:C74"/>
    <mergeCell ref="E74:F74"/>
    <mergeCell ref="H74:I74"/>
    <mergeCell ref="K74:L74"/>
    <mergeCell ref="B43:C43"/>
    <mergeCell ref="E43:F43"/>
    <mergeCell ref="H43:I43"/>
    <mergeCell ref="K43:L43"/>
    <mergeCell ref="B44:C44"/>
    <mergeCell ref="E44:F44"/>
    <mergeCell ref="H44:I44"/>
    <mergeCell ref="K44:L44"/>
    <mergeCell ref="B45:C45"/>
    <mergeCell ref="B18:C18"/>
    <mergeCell ref="E18:F18"/>
    <mergeCell ref="H18:I18"/>
    <mergeCell ref="K18:L18"/>
    <mergeCell ref="A16:C16"/>
    <mergeCell ref="D16:F16"/>
    <mergeCell ref="G16:I16"/>
    <mergeCell ref="B17:C17"/>
    <mergeCell ref="E17:F17"/>
    <mergeCell ref="H17:I17"/>
    <mergeCell ref="A3:C3"/>
    <mergeCell ref="D3:F3"/>
    <mergeCell ref="J3:L3"/>
    <mergeCell ref="B6:C6"/>
    <mergeCell ref="E6:F6"/>
    <mergeCell ref="E4:F4"/>
    <mergeCell ref="E5:F5"/>
    <mergeCell ref="B4:C4"/>
    <mergeCell ref="B5:C5"/>
    <mergeCell ref="K6:L6"/>
    <mergeCell ref="A42:C42"/>
    <mergeCell ref="D42:F42"/>
    <mergeCell ref="G42:I42"/>
    <mergeCell ref="J42:L42"/>
    <mergeCell ref="B19:C19"/>
    <mergeCell ref="E19:F19"/>
    <mergeCell ref="H19:I19"/>
    <mergeCell ref="K19:L19"/>
    <mergeCell ref="A29:C29"/>
    <mergeCell ref="D29:F29"/>
    <mergeCell ref="G29:I29"/>
    <mergeCell ref="J29:L29"/>
    <mergeCell ref="B30:C30"/>
    <mergeCell ref="E30:F30"/>
    <mergeCell ref="H30:I30"/>
    <mergeCell ref="K30:L30"/>
    <mergeCell ref="B31:C31"/>
    <mergeCell ref="E31:F31"/>
    <mergeCell ref="H31:I31"/>
    <mergeCell ref="K31:L31"/>
    <mergeCell ref="B32:C32"/>
    <mergeCell ref="E32:F32"/>
    <mergeCell ref="H32:I32"/>
    <mergeCell ref="K32:L32"/>
    <mergeCell ref="B57:C57"/>
    <mergeCell ref="E57:F57"/>
    <mergeCell ref="H57:I57"/>
    <mergeCell ref="K57:L57"/>
    <mergeCell ref="B58:C58"/>
    <mergeCell ref="E58:F58"/>
    <mergeCell ref="H58:I58"/>
    <mergeCell ref="K58:L58"/>
    <mergeCell ref="AD60:AJ60"/>
    <mergeCell ref="A55:C55"/>
    <mergeCell ref="D55:F55"/>
    <mergeCell ref="G55:I55"/>
    <mergeCell ref="J55:L55"/>
    <mergeCell ref="AD55:AJ55"/>
    <mergeCell ref="AD45:AJ45"/>
    <mergeCell ref="AD50:AJ50"/>
    <mergeCell ref="B56:C56"/>
    <mergeCell ref="E56:F56"/>
    <mergeCell ref="H56:I56"/>
    <mergeCell ref="K56:L56"/>
    <mergeCell ref="AP2:AV2"/>
    <mergeCell ref="AP25:AV25"/>
    <mergeCell ref="AD95:AJ95"/>
    <mergeCell ref="E45:F45"/>
    <mergeCell ref="H45:I45"/>
    <mergeCell ref="K45:L45"/>
    <mergeCell ref="K17:L17"/>
    <mergeCell ref="AD19:AK19"/>
    <mergeCell ref="AD24:AK24"/>
    <mergeCell ref="H75:I75"/>
    <mergeCell ref="K75:L75"/>
    <mergeCell ref="AD65:AJ65"/>
    <mergeCell ref="AD70:AJ70"/>
    <mergeCell ref="AD75:AJ75"/>
    <mergeCell ref="AD4:AK4"/>
    <mergeCell ref="AD9:AK9"/>
    <mergeCell ref="AD14:AK14"/>
    <mergeCell ref="G3:I3"/>
    <mergeCell ref="K4:L4"/>
    <mergeCell ref="K5:L5"/>
    <mergeCell ref="H4:I4"/>
    <mergeCell ref="H5:I5"/>
    <mergeCell ref="H6:I6"/>
    <mergeCell ref="J16:L16"/>
    <mergeCell ref="AF106:AM106"/>
    <mergeCell ref="AD105:AM105"/>
    <mergeCell ref="AN4:AN8"/>
    <mergeCell ref="AN9:AN13"/>
    <mergeCell ref="AN14:AN18"/>
    <mergeCell ref="AN19:AN23"/>
    <mergeCell ref="AN27:AN31"/>
    <mergeCell ref="AN32:AN36"/>
    <mergeCell ref="AN37:AN41"/>
    <mergeCell ref="AN42:AN46"/>
    <mergeCell ref="AD29:AK29"/>
    <mergeCell ref="AD39:AK39"/>
    <mergeCell ref="AD34:AK34"/>
    <mergeCell ref="AD90:AJ90"/>
  </mergeCells>
  <pageMargins left="0.7" right="0.7" top="0.53" bottom="0.75" header="0.3" footer="0.3"/>
  <pageSetup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86"/>
  <sheetViews>
    <sheetView zoomScaleNormal="100" workbookViewId="0">
      <selection activeCell="G8" sqref="G8"/>
    </sheetView>
  </sheetViews>
  <sheetFormatPr defaultRowHeight="12.5" x14ac:dyDescent="0.25"/>
  <cols>
    <col min="1" max="1" width="14.90625" customWidth="1"/>
    <col min="4" max="4" width="10.6328125" customWidth="1"/>
    <col min="7" max="7" width="10.08984375" bestFit="1" customWidth="1"/>
    <col min="8" max="8" width="12.36328125" bestFit="1" customWidth="1"/>
    <col min="9" max="9" width="12.90625" bestFit="1" customWidth="1"/>
    <col min="15" max="15" width="16.36328125" bestFit="1" customWidth="1"/>
    <col min="17" max="17" width="9.36328125" bestFit="1" customWidth="1"/>
    <col min="18" max="18" width="9.08984375" bestFit="1" customWidth="1"/>
    <col min="19" max="19" width="5" bestFit="1" customWidth="1"/>
    <col min="20" max="20" width="16.36328125" bestFit="1" customWidth="1"/>
    <col min="21" max="21" width="8.90625" bestFit="1" customWidth="1"/>
  </cols>
  <sheetData>
    <row r="1" spans="1:22" ht="14" x14ac:dyDescent="0.3">
      <c r="A1" s="129" t="s">
        <v>505</v>
      </c>
    </row>
    <row r="2" spans="1:22" ht="17.25" customHeight="1" x14ac:dyDescent="0.3">
      <c r="A2" s="1" t="s">
        <v>168</v>
      </c>
      <c r="B2" s="148">
        <v>40567</v>
      </c>
      <c r="I2" s="1"/>
      <c r="J2" s="29"/>
      <c r="K2" s="160"/>
      <c r="L2" s="1"/>
      <c r="M2" s="1"/>
      <c r="N2" s="8"/>
      <c r="O2" s="159"/>
      <c r="T2" s="274" t="s">
        <v>246</v>
      </c>
      <c r="U2" s="462">
        <v>40566</v>
      </c>
      <c r="V2" s="463">
        <v>40562</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418">
        <v>1</v>
      </c>
      <c r="V3" s="82">
        <v>1</v>
      </c>
    </row>
    <row r="4" spans="1:22" ht="13" x14ac:dyDescent="0.3">
      <c r="A4" s="91" t="s">
        <v>213</v>
      </c>
      <c r="B4" s="137">
        <v>0.39930555555555558</v>
      </c>
      <c r="C4" s="82">
        <v>1.42</v>
      </c>
      <c r="D4" s="82">
        <v>11.58</v>
      </c>
      <c r="E4" s="82">
        <v>1.7</v>
      </c>
      <c r="F4" s="82">
        <v>7.89</v>
      </c>
      <c r="G4" s="89"/>
      <c r="I4" s="168"/>
      <c r="J4" s="169"/>
      <c r="K4" s="163"/>
      <c r="L4" s="11"/>
      <c r="M4" s="165"/>
      <c r="N4" s="166"/>
      <c r="O4" s="170"/>
      <c r="T4" s="82" t="s">
        <v>257</v>
      </c>
      <c r="U4" s="419"/>
      <c r="V4" s="82"/>
    </row>
    <row r="5" spans="1:22" ht="13" x14ac:dyDescent="0.3">
      <c r="A5" s="91" t="s">
        <v>214</v>
      </c>
      <c r="B5" s="137">
        <v>0.41666666666666669</v>
      </c>
      <c r="C5" s="82">
        <v>0.39800000000000002</v>
      </c>
      <c r="D5" s="82">
        <v>12.31</v>
      </c>
      <c r="E5" s="82">
        <v>0.8</v>
      </c>
      <c r="F5" s="82">
        <v>8.52</v>
      </c>
      <c r="G5" s="89"/>
      <c r="I5" s="168"/>
      <c r="J5" s="169"/>
      <c r="K5" s="172"/>
      <c r="L5" s="173"/>
      <c r="M5" s="174"/>
      <c r="N5" s="175"/>
      <c r="O5" s="170"/>
      <c r="T5" s="179" t="s">
        <v>247</v>
      </c>
      <c r="U5" s="419">
        <v>29</v>
      </c>
      <c r="V5" s="82">
        <v>6</v>
      </c>
    </row>
    <row r="6" spans="1:22" ht="13" x14ac:dyDescent="0.3">
      <c r="A6" s="91" t="s">
        <v>215</v>
      </c>
      <c r="B6" s="137">
        <v>0.4375</v>
      </c>
      <c r="C6" s="82">
        <v>0.44400000000000001</v>
      </c>
      <c r="D6" s="82">
        <v>11.1</v>
      </c>
      <c r="E6" s="82">
        <v>2.9</v>
      </c>
      <c r="F6" s="82">
        <v>8.32</v>
      </c>
      <c r="G6" s="89"/>
      <c r="I6" s="20"/>
      <c r="J6" s="162"/>
      <c r="K6" s="163"/>
      <c r="L6" s="28"/>
      <c r="M6" s="165"/>
      <c r="N6" s="166"/>
      <c r="O6" s="167"/>
      <c r="T6" s="446" t="s">
        <v>537</v>
      </c>
      <c r="U6" s="419">
        <v>8</v>
      </c>
      <c r="V6" s="82"/>
    </row>
    <row r="7" spans="1:22" ht="14" x14ac:dyDescent="0.3">
      <c r="A7" s="91" t="s">
        <v>208</v>
      </c>
      <c r="B7" s="222" t="s">
        <v>539</v>
      </c>
      <c r="C7" s="223"/>
      <c r="D7" s="223"/>
      <c r="E7" s="223"/>
      <c r="F7" s="224"/>
      <c r="G7" s="188" t="s">
        <v>184</v>
      </c>
      <c r="H7" s="189" t="s">
        <v>195</v>
      </c>
      <c r="I7" s="168"/>
      <c r="J7" s="169"/>
      <c r="K7" s="163"/>
      <c r="L7" s="11"/>
      <c r="M7" s="165"/>
      <c r="N7" s="166"/>
      <c r="O7" s="170"/>
      <c r="T7" s="446" t="s">
        <v>538</v>
      </c>
      <c r="U7" s="419">
        <v>3</v>
      </c>
      <c r="V7" s="82"/>
    </row>
    <row r="8" spans="1:22" ht="13" x14ac:dyDescent="0.3">
      <c r="A8" s="121" t="s">
        <v>506</v>
      </c>
      <c r="B8" s="137">
        <v>0.48958333333333331</v>
      </c>
      <c r="C8" s="82">
        <v>0.40799999999999997</v>
      </c>
      <c r="D8" s="82">
        <v>11.37</v>
      </c>
      <c r="E8" s="82">
        <v>3.8</v>
      </c>
      <c r="F8" s="82">
        <v>8.52</v>
      </c>
      <c r="G8" s="128">
        <v>2.65</v>
      </c>
      <c r="H8" s="178">
        <v>11.75</v>
      </c>
      <c r="I8" s="168"/>
      <c r="J8" s="169"/>
      <c r="K8" s="172"/>
      <c r="L8" s="173"/>
      <c r="M8" s="174"/>
      <c r="N8" s="175"/>
      <c r="O8" s="170"/>
      <c r="T8" s="179" t="s">
        <v>249</v>
      </c>
      <c r="U8" s="419">
        <v>6</v>
      </c>
      <c r="V8" s="186">
        <v>5</v>
      </c>
    </row>
    <row r="9" spans="1:22" ht="13" x14ac:dyDescent="0.3">
      <c r="A9" s="121" t="s">
        <v>175</v>
      </c>
      <c r="B9" s="82"/>
      <c r="C9" s="82">
        <v>0.432</v>
      </c>
      <c r="D9" s="82">
        <v>11.85</v>
      </c>
      <c r="E9" s="82">
        <v>4.5999999999999996</v>
      </c>
      <c r="F9" s="82">
        <v>8.5399999999999991</v>
      </c>
      <c r="G9" s="89"/>
      <c r="I9" s="176" t="s">
        <v>521</v>
      </c>
      <c r="J9" s="442">
        <f>AVERAGE(E8:E11)</f>
        <v>4.3999999999999995</v>
      </c>
      <c r="K9" s="177"/>
      <c r="M9" s="174"/>
      <c r="N9" s="175"/>
      <c r="O9" s="167"/>
      <c r="T9" s="179" t="s">
        <v>250</v>
      </c>
      <c r="U9" s="419">
        <v>1</v>
      </c>
      <c r="V9" s="186">
        <v>2</v>
      </c>
    </row>
    <row r="10" spans="1:22" ht="13" x14ac:dyDescent="0.3">
      <c r="A10" s="121" t="s">
        <v>507</v>
      </c>
      <c r="B10" s="82"/>
      <c r="C10" s="82">
        <v>0.44400000000000001</v>
      </c>
      <c r="D10" s="82">
        <v>12.1</v>
      </c>
      <c r="E10" s="82">
        <v>4.5999999999999996</v>
      </c>
      <c r="F10" s="82">
        <v>8.52</v>
      </c>
      <c r="G10" s="89"/>
      <c r="I10" s="20" t="s">
        <v>522</v>
      </c>
      <c r="J10" s="442">
        <f>AVERAGE(E8:E18)</f>
        <v>4.2363636363636363</v>
      </c>
      <c r="K10" s="163"/>
      <c r="L10" s="28"/>
      <c r="M10" s="165"/>
      <c r="N10" s="166"/>
      <c r="O10" s="167"/>
      <c r="T10" s="179" t="s">
        <v>255</v>
      </c>
      <c r="U10" s="419"/>
      <c r="V10" s="82"/>
    </row>
    <row r="11" spans="1:22" ht="13" x14ac:dyDescent="0.3">
      <c r="A11" s="121" t="s">
        <v>176</v>
      </c>
      <c r="B11" s="82"/>
      <c r="C11" s="82">
        <v>0.45300000000000001</v>
      </c>
      <c r="D11" s="82">
        <v>12.1</v>
      </c>
      <c r="E11" s="82">
        <v>4.5999999999999996</v>
      </c>
      <c r="F11" s="82">
        <v>8.5500000000000007</v>
      </c>
      <c r="G11" s="89"/>
      <c r="I11" s="168"/>
      <c r="J11" s="169"/>
      <c r="K11" s="163"/>
      <c r="L11" s="11"/>
      <c r="M11" s="165"/>
      <c r="N11" s="166"/>
      <c r="O11" s="170"/>
      <c r="T11" s="179" t="s">
        <v>251</v>
      </c>
      <c r="U11" s="208">
        <v>11</v>
      </c>
      <c r="V11" s="82">
        <v>16</v>
      </c>
    </row>
    <row r="12" spans="1:22" ht="13" x14ac:dyDescent="0.3">
      <c r="A12" s="121" t="s">
        <v>508</v>
      </c>
      <c r="B12" s="82"/>
      <c r="C12" s="82">
        <v>0.46</v>
      </c>
      <c r="D12" s="82">
        <v>11.73</v>
      </c>
      <c r="E12" s="82">
        <v>4.4000000000000004</v>
      </c>
      <c r="F12" s="82">
        <v>8.57</v>
      </c>
      <c r="G12" s="89"/>
      <c r="I12" s="440" t="s">
        <v>523</v>
      </c>
      <c r="J12" s="333">
        <f>AVERAGE(D8:D22)</f>
        <v>9.1393333333333331</v>
      </c>
      <c r="K12" s="172"/>
      <c r="L12" s="173"/>
      <c r="M12" s="174"/>
      <c r="N12" s="175"/>
      <c r="O12" s="170"/>
      <c r="T12" s="345"/>
      <c r="U12" s="434"/>
      <c r="V12" s="86"/>
    </row>
    <row r="13" spans="1:22" ht="13" x14ac:dyDescent="0.3">
      <c r="A13" s="121" t="s">
        <v>177</v>
      </c>
      <c r="B13" s="82"/>
      <c r="C13" s="82">
        <v>0.46700000000000003</v>
      </c>
      <c r="D13" s="82">
        <v>10.4</v>
      </c>
      <c r="E13" s="82">
        <v>4.3</v>
      </c>
      <c r="F13" s="82">
        <v>8.48</v>
      </c>
      <c r="G13" s="89"/>
      <c r="I13" s="440" t="s">
        <v>526</v>
      </c>
      <c r="J13" s="333">
        <f>AVERAGE(D8:D11)</f>
        <v>11.855</v>
      </c>
      <c r="K13" s="163"/>
      <c r="L13" s="28"/>
      <c r="M13" s="165"/>
      <c r="N13" s="166"/>
      <c r="O13" s="167"/>
      <c r="T13" s="89"/>
      <c r="U13" s="89"/>
    </row>
    <row r="14" spans="1:22" ht="13" x14ac:dyDescent="0.3">
      <c r="A14" s="121" t="s">
        <v>509</v>
      </c>
      <c r="B14" s="82"/>
      <c r="C14" s="82">
        <v>0.47499999999999998</v>
      </c>
      <c r="D14" s="82">
        <v>9.9</v>
      </c>
      <c r="E14" s="82">
        <v>4.2</v>
      </c>
      <c r="F14" s="82">
        <v>8.4</v>
      </c>
      <c r="G14" s="89"/>
      <c r="K14" s="163"/>
      <c r="L14" s="11"/>
      <c r="M14" s="165"/>
      <c r="N14" s="166"/>
      <c r="O14" s="170"/>
    </row>
    <row r="15" spans="1:22" ht="13" x14ac:dyDescent="0.3">
      <c r="A15" s="121" t="s">
        <v>178</v>
      </c>
      <c r="B15" s="82"/>
      <c r="C15" s="82">
        <v>0.48099999999999998</v>
      </c>
      <c r="D15" s="82">
        <v>9.1</v>
      </c>
      <c r="E15" s="82">
        <v>4.0999999999999996</v>
      </c>
      <c r="F15" s="186">
        <v>8.44</v>
      </c>
      <c r="G15" s="89"/>
      <c r="I15" s="440" t="s">
        <v>524</v>
      </c>
      <c r="J15" s="333">
        <f>AVERAGE(F8:F22)</f>
        <v>8.2906666666666684</v>
      </c>
      <c r="K15" s="172"/>
      <c r="L15" s="173"/>
      <c r="M15" s="174"/>
      <c r="N15" s="175"/>
      <c r="O15" s="170"/>
    </row>
    <row r="16" spans="1:22" ht="13" x14ac:dyDescent="0.3">
      <c r="A16" s="121" t="s">
        <v>179</v>
      </c>
      <c r="B16" s="137"/>
      <c r="C16" s="82">
        <v>0.49299999999999999</v>
      </c>
      <c r="D16" s="82">
        <v>8.51</v>
      </c>
      <c r="E16" s="82">
        <v>4</v>
      </c>
      <c r="F16" s="82">
        <v>8.27</v>
      </c>
      <c r="G16" s="89"/>
      <c r="I16" s="440" t="s">
        <v>525</v>
      </c>
      <c r="J16" s="441">
        <f>AVERAGE(C8:C22)</f>
        <v>0.52880000000000005</v>
      </c>
      <c r="K16" s="163"/>
      <c r="L16" s="28"/>
      <c r="M16" s="165"/>
      <c r="N16" s="166"/>
      <c r="O16" s="167"/>
    </row>
    <row r="17" spans="1:20" ht="13" x14ac:dyDescent="0.3">
      <c r="A17" s="121" t="s">
        <v>180</v>
      </c>
      <c r="B17" s="137"/>
      <c r="C17" s="82">
        <v>0.53500000000000003</v>
      </c>
      <c r="D17" s="312">
        <v>8.2200000000000006</v>
      </c>
      <c r="E17" s="312">
        <v>4</v>
      </c>
      <c r="F17" s="82">
        <v>8.15</v>
      </c>
      <c r="G17" s="89"/>
      <c r="I17" s="168"/>
      <c r="J17" s="169"/>
      <c r="K17" s="163"/>
      <c r="L17" s="11"/>
      <c r="M17" s="165"/>
      <c r="N17" s="166"/>
      <c r="O17" s="170"/>
    </row>
    <row r="18" spans="1:20" ht="13" x14ac:dyDescent="0.3">
      <c r="A18" s="121" t="s">
        <v>181</v>
      </c>
      <c r="B18" s="82"/>
      <c r="C18" s="82">
        <v>0.49199999999999999</v>
      </c>
      <c r="D18" s="312">
        <v>7.4</v>
      </c>
      <c r="E18" s="312">
        <v>4</v>
      </c>
      <c r="F18" s="82">
        <v>8.1199999999999992</v>
      </c>
      <c r="G18" s="89"/>
      <c r="I18" s="168"/>
      <c r="J18" s="169"/>
      <c r="K18" s="172"/>
      <c r="L18" s="173"/>
      <c r="M18" s="174"/>
      <c r="N18" s="175"/>
      <c r="O18" s="170"/>
    </row>
    <row r="19" spans="1:20" ht="13" x14ac:dyDescent="0.3">
      <c r="A19" s="121" t="s">
        <v>182</v>
      </c>
      <c r="B19" s="82"/>
      <c r="C19" s="82">
        <v>0.625</v>
      </c>
      <c r="D19" s="312">
        <v>6.62</v>
      </c>
      <c r="E19" s="312">
        <v>4.0999999999999996</v>
      </c>
      <c r="F19" s="82">
        <v>8.06</v>
      </c>
      <c r="G19" s="89"/>
      <c r="I19" s="168"/>
      <c r="J19" s="169"/>
      <c r="K19" s="172"/>
      <c r="L19" s="173"/>
      <c r="M19" s="174"/>
      <c r="N19" s="175"/>
      <c r="S19" s="149"/>
    </row>
    <row r="20" spans="1:20" ht="13" x14ac:dyDescent="0.3">
      <c r="A20" s="121" t="s">
        <v>183</v>
      </c>
      <c r="B20" s="82"/>
      <c r="C20" s="82">
        <v>0.67100000000000004</v>
      </c>
      <c r="D20" s="312">
        <v>6.27</v>
      </c>
      <c r="E20" s="312">
        <v>4.2</v>
      </c>
      <c r="F20" s="82">
        <v>7.95</v>
      </c>
      <c r="G20" s="89"/>
      <c r="I20" s="168"/>
      <c r="J20" s="169"/>
      <c r="K20" s="172"/>
      <c r="L20" s="173"/>
      <c r="M20" s="174"/>
      <c r="N20" s="175"/>
      <c r="S20" s="447"/>
      <c r="T20" s="447"/>
    </row>
    <row r="21" spans="1:20" ht="13" x14ac:dyDescent="0.3">
      <c r="A21" s="121" t="s">
        <v>206</v>
      </c>
      <c r="B21" s="82"/>
      <c r="C21" s="82">
        <v>0.71299999999999997</v>
      </c>
      <c r="D21" s="312">
        <v>5.7</v>
      </c>
      <c r="E21" s="312">
        <v>4.3</v>
      </c>
      <c r="F21" s="82">
        <v>7.92</v>
      </c>
      <c r="G21" s="89"/>
      <c r="I21" s="168"/>
      <c r="J21" s="169"/>
      <c r="K21" s="172"/>
      <c r="L21" s="173"/>
      <c r="M21" s="174"/>
      <c r="N21" s="175"/>
      <c r="S21" s="86"/>
      <c r="T21" s="86"/>
    </row>
    <row r="22" spans="1:20" ht="13" x14ac:dyDescent="0.3">
      <c r="A22" s="121" t="s">
        <v>207</v>
      </c>
      <c r="B22" s="82"/>
      <c r="C22" s="82">
        <v>0.78300000000000003</v>
      </c>
      <c r="D22" s="82">
        <v>5.82</v>
      </c>
      <c r="E22" s="82">
        <v>4.3</v>
      </c>
      <c r="F22" s="82">
        <v>7.87</v>
      </c>
      <c r="G22" s="89"/>
      <c r="S22" s="86"/>
      <c r="T22" s="86"/>
    </row>
    <row r="23" spans="1:20" ht="18" customHeight="1" x14ac:dyDescent="0.3">
      <c r="A23" s="121" t="s">
        <v>209</v>
      </c>
      <c r="B23" s="137">
        <v>0.44861111111111113</v>
      </c>
      <c r="C23" s="82">
        <v>1.66</v>
      </c>
      <c r="D23" s="82">
        <v>9.5500000000000007</v>
      </c>
      <c r="E23" s="82">
        <v>0</v>
      </c>
      <c r="F23" s="82">
        <v>8.3000000000000007</v>
      </c>
      <c r="G23" s="179" t="s">
        <v>535</v>
      </c>
      <c r="S23" s="86"/>
      <c r="T23" s="86"/>
    </row>
    <row r="24" spans="1:20" ht="18.75" customHeight="1" x14ac:dyDescent="0.3">
      <c r="A24" s="296" t="s">
        <v>210</v>
      </c>
      <c r="B24" s="137">
        <v>0.46111111111111108</v>
      </c>
      <c r="C24" s="82">
        <v>1.66</v>
      </c>
      <c r="D24" s="82">
        <v>11.86</v>
      </c>
      <c r="E24" s="82">
        <v>0.1</v>
      </c>
      <c r="F24" s="82">
        <v>8.1999999999999993</v>
      </c>
      <c r="G24" s="179" t="s">
        <v>536</v>
      </c>
      <c r="S24" s="86"/>
      <c r="T24" s="86"/>
    </row>
    <row r="25" spans="1:20" x14ac:dyDescent="0.25">
      <c r="A25" s="125" t="s">
        <v>11</v>
      </c>
      <c r="B25" s="193" t="s">
        <v>528</v>
      </c>
      <c r="C25" s="126"/>
      <c r="D25" s="126"/>
      <c r="E25" s="126"/>
      <c r="F25" s="126"/>
      <c r="G25" s="126"/>
      <c r="S25" s="86"/>
      <c r="T25" s="86"/>
    </row>
    <row r="26" spans="1:20" x14ac:dyDescent="0.25">
      <c r="A26" s="138"/>
      <c r="B26" s="20" t="s">
        <v>529</v>
      </c>
      <c r="D26" s="127"/>
      <c r="E26" s="127"/>
      <c r="F26" s="127"/>
      <c r="G26" s="127"/>
      <c r="S26" s="86"/>
      <c r="T26" s="86"/>
    </row>
    <row r="27" spans="1:20" x14ac:dyDescent="0.25">
      <c r="A27" s="138"/>
      <c r="B27" s="127"/>
      <c r="C27" s="127"/>
      <c r="D27" s="127"/>
      <c r="E27" s="127"/>
      <c r="F27" s="127"/>
      <c r="G27" s="127"/>
      <c r="S27" s="86"/>
      <c r="T27" s="86"/>
    </row>
    <row r="28" spans="1:20" ht="24" x14ac:dyDescent="0.35">
      <c r="A28" s="951" t="s">
        <v>127</v>
      </c>
      <c r="B28" s="951"/>
      <c r="C28" s="290"/>
      <c r="D28" s="951" t="s">
        <v>130</v>
      </c>
      <c r="E28" s="951"/>
      <c r="F28" s="131"/>
      <c r="G28" s="947" t="s">
        <v>31</v>
      </c>
      <c r="H28" s="947"/>
      <c r="J28" s="135" t="s">
        <v>187</v>
      </c>
      <c r="K28" s="135" t="s">
        <v>188</v>
      </c>
      <c r="L28" s="136" t="s">
        <v>189</v>
      </c>
      <c r="M28" s="135" t="s">
        <v>190</v>
      </c>
      <c r="N28" s="136" t="s">
        <v>191</v>
      </c>
      <c r="S28" s="86"/>
      <c r="T28" s="86"/>
    </row>
    <row r="29" spans="1:20" ht="15.5" x14ac:dyDescent="0.35">
      <c r="A29" s="154" t="s">
        <v>170</v>
      </c>
      <c r="B29" s="291">
        <v>0.39652777777777781</v>
      </c>
      <c r="C29" s="292"/>
      <c r="D29" s="154" t="s">
        <v>170</v>
      </c>
      <c r="E29" s="293">
        <v>0.41666666666666669</v>
      </c>
      <c r="F29" s="323">
        <v>3.6</v>
      </c>
      <c r="G29" s="154" t="s">
        <v>170</v>
      </c>
      <c r="H29" s="293">
        <v>0.4375</v>
      </c>
      <c r="J29" s="132">
        <v>2</v>
      </c>
      <c r="K29" s="132">
        <v>0.2</v>
      </c>
      <c r="L29" s="132">
        <v>0.05</v>
      </c>
      <c r="M29" s="132">
        <f>K29*50</f>
        <v>10</v>
      </c>
      <c r="N29" s="133">
        <f>L29*M29</f>
        <v>0.5</v>
      </c>
      <c r="S29" s="86"/>
      <c r="T29" s="86"/>
    </row>
    <row r="30" spans="1:20" ht="16" thickBot="1" x14ac:dyDescent="0.4">
      <c r="A30" s="154" t="s">
        <v>185</v>
      </c>
      <c r="B30" s="290">
        <v>9</v>
      </c>
      <c r="C30" s="294"/>
      <c r="D30" s="154" t="s">
        <v>185</v>
      </c>
      <c r="E30" s="304">
        <v>17</v>
      </c>
      <c r="F30" s="295"/>
      <c r="G30" s="154" t="s">
        <v>185</v>
      </c>
      <c r="H30" s="303">
        <v>50</v>
      </c>
      <c r="J30" s="132">
        <v>4</v>
      </c>
      <c r="K30" s="132">
        <v>0.65</v>
      </c>
      <c r="L30" s="132">
        <v>0.4</v>
      </c>
      <c r="M30" s="132">
        <f>K30*2</f>
        <v>1.3</v>
      </c>
      <c r="N30" s="133">
        <f>L30*M30</f>
        <v>0.52</v>
      </c>
      <c r="S30" s="86"/>
      <c r="T30" s="86"/>
    </row>
    <row r="31" spans="1:20" ht="16" thickBot="1" x14ac:dyDescent="0.4">
      <c r="A31" s="156" t="s">
        <v>186</v>
      </c>
      <c r="B31" s="950" t="s">
        <v>530</v>
      </c>
      <c r="C31" s="950"/>
      <c r="D31" s="155" t="s">
        <v>186</v>
      </c>
      <c r="E31" s="952" t="s">
        <v>531</v>
      </c>
      <c r="F31" s="952"/>
      <c r="G31" s="155" t="s">
        <v>186</v>
      </c>
      <c r="H31" s="157" t="s">
        <v>532</v>
      </c>
      <c r="J31" s="132">
        <v>6</v>
      </c>
      <c r="K31" s="132">
        <v>0.45</v>
      </c>
      <c r="L31" s="132">
        <v>0.3</v>
      </c>
      <c r="M31" s="132">
        <f>K31*2</f>
        <v>0.9</v>
      </c>
      <c r="N31" s="133">
        <f t="shared" ref="N31:N38" si="0">L31*M31</f>
        <v>0.27</v>
      </c>
    </row>
    <row r="32" spans="1:20" ht="24" x14ac:dyDescent="0.35">
      <c r="A32" s="151" t="s">
        <v>187</v>
      </c>
      <c r="B32" s="151" t="s">
        <v>188</v>
      </c>
      <c r="C32" s="153" t="s">
        <v>189</v>
      </c>
      <c r="D32" s="151" t="s">
        <v>187</v>
      </c>
      <c r="E32" s="151" t="s">
        <v>188</v>
      </c>
      <c r="F32" s="153" t="s">
        <v>189</v>
      </c>
      <c r="G32" s="151" t="s">
        <v>188</v>
      </c>
      <c r="H32" s="153" t="s">
        <v>189</v>
      </c>
      <c r="J32" s="132">
        <v>8</v>
      </c>
      <c r="K32" s="132">
        <v>0.4</v>
      </c>
      <c r="L32" s="132">
        <v>0.5</v>
      </c>
      <c r="M32" s="132">
        <f>K32*2</f>
        <v>0.8</v>
      </c>
      <c r="N32" s="133">
        <f t="shared" si="0"/>
        <v>0.4</v>
      </c>
    </row>
    <row r="33" spans="1:14" ht="15.5" x14ac:dyDescent="0.35">
      <c r="A33" s="152">
        <v>2</v>
      </c>
      <c r="B33" s="132">
        <v>0.32</v>
      </c>
      <c r="C33" s="132">
        <v>0.2</v>
      </c>
      <c r="D33" s="152">
        <v>2</v>
      </c>
      <c r="E33" s="132">
        <v>0.45</v>
      </c>
      <c r="F33" s="132">
        <v>0.5</v>
      </c>
      <c r="G33" s="947" t="s">
        <v>31</v>
      </c>
      <c r="H33" s="947"/>
      <c r="J33" s="132">
        <v>10</v>
      </c>
      <c r="K33" s="132">
        <v>0.48</v>
      </c>
      <c r="L33" s="132">
        <v>0.15</v>
      </c>
      <c r="M33" s="132">
        <f t="shared" ref="M33:M38" si="1">K33*2</f>
        <v>0.96</v>
      </c>
      <c r="N33" s="133">
        <f t="shared" si="0"/>
        <v>0.14399999999999999</v>
      </c>
    </row>
    <row r="34" spans="1:14" ht="15.5" x14ac:dyDescent="0.35">
      <c r="A34" s="152">
        <v>4</v>
      </c>
      <c r="B34" s="132">
        <v>0.32</v>
      </c>
      <c r="C34" s="132">
        <v>0.2</v>
      </c>
      <c r="D34" s="152">
        <v>4</v>
      </c>
      <c r="E34" s="132">
        <v>0.65</v>
      </c>
      <c r="F34" s="132">
        <v>0.4</v>
      </c>
      <c r="G34" s="132">
        <v>0.2</v>
      </c>
      <c r="H34" s="133">
        <v>0.05</v>
      </c>
      <c r="I34" s="444">
        <v>0.5</v>
      </c>
      <c r="J34" s="132">
        <v>12</v>
      </c>
      <c r="K34" s="134">
        <v>0.3</v>
      </c>
      <c r="L34" s="132">
        <v>0.2</v>
      </c>
      <c r="M34" s="132">
        <f t="shared" si="1"/>
        <v>0.6</v>
      </c>
      <c r="N34" s="133">
        <f t="shared" si="0"/>
        <v>0.12</v>
      </c>
    </row>
    <row r="35" spans="1:14" ht="15.5" x14ac:dyDescent="0.35">
      <c r="A35" s="152">
        <v>6</v>
      </c>
      <c r="B35" s="132">
        <v>0.36</v>
      </c>
      <c r="C35" s="132">
        <v>0.1</v>
      </c>
      <c r="D35" s="331">
        <v>6</v>
      </c>
      <c r="E35" s="132">
        <v>0.45</v>
      </c>
      <c r="F35" s="132">
        <v>0.3</v>
      </c>
      <c r="G35" s="948" t="s">
        <v>196</v>
      </c>
      <c r="H35" s="949"/>
      <c r="I35" s="158"/>
      <c r="J35" s="132">
        <v>14</v>
      </c>
      <c r="K35" s="134">
        <v>0.32</v>
      </c>
      <c r="L35" s="134">
        <v>0.2</v>
      </c>
      <c r="M35" s="132">
        <f t="shared" si="1"/>
        <v>0.64</v>
      </c>
      <c r="N35" s="133">
        <f t="shared" si="0"/>
        <v>0.128</v>
      </c>
    </row>
    <row r="36" spans="1:14" ht="15.5" x14ac:dyDescent="0.35">
      <c r="A36" s="152">
        <v>8</v>
      </c>
      <c r="B36" s="132">
        <v>0.2</v>
      </c>
      <c r="C36" s="132">
        <v>0.1</v>
      </c>
      <c r="D36" s="152">
        <v>8</v>
      </c>
      <c r="E36" s="132">
        <v>0.4</v>
      </c>
      <c r="F36" s="132">
        <v>0.5</v>
      </c>
      <c r="G36" s="132" t="s">
        <v>533</v>
      </c>
      <c r="H36" s="133">
        <v>0.3</v>
      </c>
      <c r="I36" s="444">
        <v>0.28999999999999998</v>
      </c>
      <c r="J36" s="132">
        <v>16</v>
      </c>
      <c r="K36" s="134">
        <v>0.28000000000000003</v>
      </c>
      <c r="L36" s="134">
        <v>0.3</v>
      </c>
      <c r="M36" s="132">
        <f>K36*3</f>
        <v>0.84000000000000008</v>
      </c>
      <c r="N36" s="133">
        <f t="shared" si="0"/>
        <v>0.252</v>
      </c>
    </row>
    <row r="37" spans="1:14" ht="15.5" x14ac:dyDescent="0.35">
      <c r="A37" s="152">
        <v>12</v>
      </c>
      <c r="B37" s="132"/>
      <c r="C37" s="132"/>
      <c r="D37" s="152">
        <v>10</v>
      </c>
      <c r="E37" s="132">
        <v>0.48</v>
      </c>
      <c r="F37" s="132">
        <v>0.15</v>
      </c>
      <c r="G37" s="132" t="s">
        <v>197</v>
      </c>
      <c r="H37" s="133"/>
      <c r="I37" s="158"/>
      <c r="J37" s="132">
        <v>18</v>
      </c>
      <c r="K37" s="132"/>
      <c r="L37" s="132"/>
      <c r="M37" s="132">
        <f t="shared" si="1"/>
        <v>0</v>
      </c>
      <c r="N37" s="133">
        <f t="shared" si="0"/>
        <v>0</v>
      </c>
    </row>
    <row r="38" spans="1:14" ht="15.5" x14ac:dyDescent="0.35">
      <c r="A38" s="123"/>
      <c r="B38" s="132"/>
      <c r="C38" s="132"/>
      <c r="D38" s="152">
        <v>12</v>
      </c>
      <c r="E38" s="134">
        <v>0.3</v>
      </c>
      <c r="F38" s="132">
        <v>0.2</v>
      </c>
      <c r="G38" s="132" t="s">
        <v>534</v>
      </c>
      <c r="H38" s="133">
        <v>0.7</v>
      </c>
      <c r="I38" s="445">
        <v>0.32</v>
      </c>
      <c r="J38" s="132">
        <v>20</v>
      </c>
      <c r="K38" s="132"/>
      <c r="L38" s="132"/>
      <c r="M38" s="132">
        <f t="shared" si="1"/>
        <v>0</v>
      </c>
      <c r="N38" s="133">
        <f t="shared" si="0"/>
        <v>0</v>
      </c>
    </row>
    <row r="39" spans="1:14" ht="15.5" x14ac:dyDescent="0.35">
      <c r="C39" s="443">
        <v>0.39</v>
      </c>
      <c r="D39" s="152">
        <v>14</v>
      </c>
      <c r="E39" s="134">
        <v>0.32</v>
      </c>
      <c r="F39" s="134">
        <v>0.2</v>
      </c>
      <c r="N39" s="6">
        <f>SUM(N29:N38)</f>
        <v>2.3339999999999996</v>
      </c>
    </row>
    <row r="40" spans="1:14" ht="15.5" x14ac:dyDescent="0.35">
      <c r="A40" s="319"/>
      <c r="D40" s="152">
        <v>16</v>
      </c>
      <c r="E40" s="134">
        <v>0.28000000000000003</v>
      </c>
      <c r="F40" s="134">
        <v>0.3</v>
      </c>
    </row>
    <row r="41" spans="1:14" ht="15.5" x14ac:dyDescent="0.35">
      <c r="A41" s="319"/>
      <c r="D41" s="152">
        <v>18</v>
      </c>
      <c r="E41" s="82"/>
      <c r="F41" s="366">
        <v>2.2999999999999998</v>
      </c>
    </row>
    <row r="43" spans="1:14" ht="14" x14ac:dyDescent="0.3">
      <c r="A43" s="129" t="s">
        <v>211</v>
      </c>
      <c r="C43" s="11" t="s">
        <v>212</v>
      </c>
      <c r="D43" s="148">
        <v>40566</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v>0.51250000000000007</v>
      </c>
      <c r="C45" s="225">
        <v>0.439</v>
      </c>
      <c r="D45" s="225">
        <v>12.1</v>
      </c>
      <c r="E45" s="419">
        <v>4.5999999999999996</v>
      </c>
      <c r="F45" s="225">
        <v>8.6</v>
      </c>
      <c r="G45" s="128">
        <v>2.2999999999999998</v>
      </c>
      <c r="H45" s="82">
        <v>4.8</v>
      </c>
      <c r="I45" s="176" t="s">
        <v>521</v>
      </c>
      <c r="J45" s="442">
        <f>AVERAGE(E45:E48)</f>
        <v>4.6500000000000004</v>
      </c>
    </row>
    <row r="46" spans="1:14" ht="14" x14ac:dyDescent="0.3">
      <c r="A46" s="121" t="s">
        <v>175</v>
      </c>
      <c r="B46" s="82"/>
      <c r="C46" s="225">
        <v>0.438</v>
      </c>
      <c r="D46" s="225">
        <v>12.1</v>
      </c>
      <c r="E46" s="419">
        <v>4.7</v>
      </c>
      <c r="F46" s="225">
        <v>8.5</v>
      </c>
      <c r="G46" s="89"/>
      <c r="I46" s="20" t="s">
        <v>522</v>
      </c>
      <c r="J46" s="442">
        <f>AVERAGE(E45:E53)</f>
        <v>4.5000000000000009</v>
      </c>
    </row>
    <row r="47" spans="1:14" ht="14" x14ac:dyDescent="0.3">
      <c r="A47" s="121" t="s">
        <v>507</v>
      </c>
      <c r="B47" s="82"/>
      <c r="C47" s="225">
        <v>0.44600000000000001</v>
      </c>
      <c r="D47" s="225">
        <v>12.1</v>
      </c>
      <c r="E47" s="419">
        <v>4.7</v>
      </c>
      <c r="F47" s="225">
        <v>8.4700000000000006</v>
      </c>
      <c r="G47" s="89"/>
      <c r="I47" s="168"/>
      <c r="J47" s="169"/>
    </row>
    <row r="48" spans="1:14" ht="14" x14ac:dyDescent="0.3">
      <c r="A48" s="121" t="s">
        <v>176</v>
      </c>
      <c r="B48" s="82"/>
      <c r="C48" s="225">
        <v>0.45300000000000001</v>
      </c>
      <c r="D48" s="225">
        <v>11.21</v>
      </c>
      <c r="E48" s="419">
        <v>4.5999999999999996</v>
      </c>
      <c r="F48" s="225">
        <v>8.4600000000000009</v>
      </c>
      <c r="G48" s="89"/>
      <c r="I48" s="440" t="s">
        <v>523</v>
      </c>
      <c r="J48" s="333">
        <f>AVERAGE(D45:D53)</f>
        <v>10.501111111111111</v>
      </c>
    </row>
    <row r="49" spans="1:10" ht="14" x14ac:dyDescent="0.3">
      <c r="A49" s="121" t="s">
        <v>508</v>
      </c>
      <c r="B49" s="82"/>
      <c r="C49" s="225">
        <v>0.45900000000000002</v>
      </c>
      <c r="D49" s="225">
        <v>11.21</v>
      </c>
      <c r="E49" s="419">
        <v>4.5999999999999996</v>
      </c>
      <c r="F49" s="225">
        <v>8.43</v>
      </c>
      <c r="G49" s="89"/>
      <c r="I49" s="440" t="s">
        <v>526</v>
      </c>
      <c r="J49" s="333">
        <f>AVERAGE(D45:D48)</f>
        <v>11.8775</v>
      </c>
    </row>
    <row r="50" spans="1:10" ht="14" x14ac:dyDescent="0.3">
      <c r="A50" s="121" t="s">
        <v>177</v>
      </c>
      <c r="B50" s="82"/>
      <c r="C50" s="225">
        <v>0.46899999999999997</v>
      </c>
      <c r="D50" s="225">
        <v>11.01</v>
      </c>
      <c r="E50" s="419">
        <v>4.3</v>
      </c>
      <c r="F50" s="225">
        <v>8.31</v>
      </c>
      <c r="G50" s="89"/>
    </row>
    <row r="51" spans="1:10" ht="14" x14ac:dyDescent="0.3">
      <c r="A51" s="121" t="s">
        <v>509</v>
      </c>
      <c r="B51" s="82"/>
      <c r="C51" s="225">
        <v>0.47399999999999998</v>
      </c>
      <c r="D51" s="225">
        <v>9.33</v>
      </c>
      <c r="E51" s="419">
        <v>4.3</v>
      </c>
      <c r="F51" s="225">
        <v>8.33</v>
      </c>
      <c r="G51" s="89"/>
    </row>
    <row r="52" spans="1:10" ht="14" x14ac:dyDescent="0.3">
      <c r="A52" s="121" t="s">
        <v>178</v>
      </c>
      <c r="B52" s="82"/>
      <c r="C52" s="225">
        <v>0.48199999999999998</v>
      </c>
      <c r="D52" s="225">
        <v>9.1199999999999992</v>
      </c>
      <c r="E52" s="419">
        <v>4.2</v>
      </c>
      <c r="F52" s="225">
        <v>8.24</v>
      </c>
      <c r="G52" s="89"/>
    </row>
    <row r="53" spans="1:10" ht="14" x14ac:dyDescent="0.3">
      <c r="A53" s="121" t="s">
        <v>179</v>
      </c>
      <c r="B53" s="82"/>
      <c r="C53" s="225">
        <v>0.499</v>
      </c>
      <c r="D53" s="225">
        <v>6.33</v>
      </c>
      <c r="E53" s="419">
        <v>4.5</v>
      </c>
      <c r="F53" s="225">
        <v>8.11</v>
      </c>
      <c r="G53" s="89"/>
    </row>
    <row r="54" spans="1:10" ht="14" x14ac:dyDescent="0.3">
      <c r="A54" s="188" t="s">
        <v>219</v>
      </c>
      <c r="B54" s="188" t="s">
        <v>170</v>
      </c>
      <c r="C54" s="188" t="s">
        <v>171</v>
      </c>
      <c r="D54" s="188" t="s">
        <v>172</v>
      </c>
      <c r="E54" s="188" t="s">
        <v>173</v>
      </c>
      <c r="F54" s="188" t="s">
        <v>174</v>
      </c>
      <c r="G54" s="188" t="s">
        <v>184</v>
      </c>
      <c r="H54" s="189" t="s">
        <v>195</v>
      </c>
    </row>
    <row r="55" spans="1:10" ht="14" x14ac:dyDescent="0.3">
      <c r="A55" s="121" t="s">
        <v>506</v>
      </c>
      <c r="B55" s="137">
        <v>0.52430555555555558</v>
      </c>
      <c r="C55" s="419">
        <v>0.41699999999999998</v>
      </c>
      <c r="D55" s="419">
        <v>11.92</v>
      </c>
      <c r="E55" s="225">
        <v>4.4000000000000004</v>
      </c>
      <c r="F55" s="419">
        <v>8.6</v>
      </c>
      <c r="G55" s="128">
        <v>2.4700000000000002</v>
      </c>
      <c r="H55" s="82">
        <v>9.9499999999999993</v>
      </c>
      <c r="I55" s="176" t="s">
        <v>521</v>
      </c>
      <c r="J55" s="442">
        <f>AVERAGE(E55:E58)</f>
        <v>4.625</v>
      </c>
    </row>
    <row r="56" spans="1:10" ht="14" x14ac:dyDescent="0.3">
      <c r="A56" s="121" t="s">
        <v>175</v>
      </c>
      <c r="B56" s="82"/>
      <c r="C56" s="419">
        <v>0.43099999999999999</v>
      </c>
      <c r="D56" s="419">
        <v>11.92</v>
      </c>
      <c r="E56" s="225">
        <v>4.8</v>
      </c>
      <c r="F56" s="419">
        <v>8.32</v>
      </c>
      <c r="G56" s="89"/>
      <c r="I56" s="20" t="s">
        <v>522</v>
      </c>
      <c r="J56" s="442">
        <f>AVERAGE(E55:E66)</f>
        <v>4.5000000000000009</v>
      </c>
    </row>
    <row r="57" spans="1:10" ht="14" x14ac:dyDescent="0.3">
      <c r="A57" s="121" t="s">
        <v>507</v>
      </c>
      <c r="B57" s="82"/>
      <c r="C57" s="419">
        <v>0.44700000000000001</v>
      </c>
      <c r="D57" s="419">
        <v>11.8</v>
      </c>
      <c r="E57" s="225">
        <v>4.7</v>
      </c>
      <c r="F57" s="419">
        <v>8.39</v>
      </c>
      <c r="G57" s="89"/>
      <c r="I57" s="168"/>
      <c r="J57" s="169"/>
    </row>
    <row r="58" spans="1:10" ht="14" x14ac:dyDescent="0.3">
      <c r="A58" s="121" t="s">
        <v>176</v>
      </c>
      <c r="B58" s="82"/>
      <c r="C58" s="419">
        <v>0.45500000000000002</v>
      </c>
      <c r="D58" s="419">
        <v>11.61</v>
      </c>
      <c r="E58" s="225">
        <v>4.5999999999999996</v>
      </c>
      <c r="F58" s="419">
        <v>8.43</v>
      </c>
      <c r="G58" s="89"/>
      <c r="I58" s="440" t="s">
        <v>523</v>
      </c>
      <c r="J58" s="333">
        <f>AVERAGE(D55:D66)</f>
        <v>9.1166666666666671</v>
      </c>
    </row>
    <row r="59" spans="1:10" ht="14" x14ac:dyDescent="0.3">
      <c r="A59" s="121" t="s">
        <v>508</v>
      </c>
      <c r="B59" s="82"/>
      <c r="C59" s="419">
        <v>0.44700000000000001</v>
      </c>
      <c r="D59" s="419">
        <v>11.35</v>
      </c>
      <c r="E59" s="225">
        <v>4.5</v>
      </c>
      <c r="F59" s="419">
        <v>8.48</v>
      </c>
      <c r="G59" s="89"/>
      <c r="I59" s="440" t="s">
        <v>526</v>
      </c>
      <c r="J59" s="333">
        <f>AVERAGE(D55:D58)</f>
        <v>11.8125</v>
      </c>
    </row>
    <row r="60" spans="1:10" ht="14" x14ac:dyDescent="0.3">
      <c r="A60" s="121" t="s">
        <v>177</v>
      </c>
      <c r="B60" s="82"/>
      <c r="C60" s="419">
        <v>0.47399999999999998</v>
      </c>
      <c r="D60" s="419">
        <v>10.14</v>
      </c>
      <c r="E60" s="225">
        <v>4.3</v>
      </c>
      <c r="F60" s="419">
        <v>8.35</v>
      </c>
      <c r="G60" s="89"/>
    </row>
    <row r="61" spans="1:10" ht="14" x14ac:dyDescent="0.3">
      <c r="A61" s="121" t="s">
        <v>509</v>
      </c>
      <c r="B61" s="82"/>
      <c r="C61" s="419">
        <v>0.47799999999999998</v>
      </c>
      <c r="D61" s="419">
        <v>9.15</v>
      </c>
      <c r="E61" s="225">
        <v>4.3</v>
      </c>
      <c r="F61" s="419">
        <v>8.33</v>
      </c>
      <c r="G61" s="89"/>
    </row>
    <row r="62" spans="1:10" ht="14" x14ac:dyDescent="0.3">
      <c r="A62" s="121" t="s">
        <v>178</v>
      </c>
      <c r="B62" s="82"/>
      <c r="C62" s="419">
        <v>0.48299999999999998</v>
      </c>
      <c r="D62" s="419">
        <v>8.92</v>
      </c>
      <c r="E62" s="225">
        <v>4.2</v>
      </c>
      <c r="F62" s="419">
        <v>8.25</v>
      </c>
      <c r="G62" s="89"/>
    </row>
    <row r="63" spans="1:10" ht="14" x14ac:dyDescent="0.3">
      <c r="A63" s="121" t="s">
        <v>179</v>
      </c>
      <c r="B63" s="82"/>
      <c r="C63" s="419">
        <v>0.504</v>
      </c>
      <c r="D63" s="419">
        <v>8.1</v>
      </c>
      <c r="E63" s="225">
        <v>4.0999999999999996</v>
      </c>
      <c r="F63" s="419">
        <v>8.14</v>
      </c>
      <c r="G63" s="89"/>
    </row>
    <row r="64" spans="1:10" ht="14" x14ac:dyDescent="0.3">
      <c r="A64" s="306" t="s">
        <v>180</v>
      </c>
      <c r="B64" s="137"/>
      <c r="C64" s="419">
        <v>0.53900000000000003</v>
      </c>
      <c r="D64" s="419">
        <v>7.36</v>
      </c>
      <c r="E64" s="225">
        <v>4.2</v>
      </c>
      <c r="F64" s="419">
        <v>8.1199999999999992</v>
      </c>
      <c r="G64" s="89"/>
    </row>
    <row r="65" spans="1:10" ht="14" x14ac:dyDescent="0.3">
      <c r="A65" s="306" t="s">
        <v>181</v>
      </c>
      <c r="B65" s="137"/>
      <c r="C65" s="419">
        <v>0.57299999999999995</v>
      </c>
      <c r="D65" s="419">
        <v>4.8499999999999996</v>
      </c>
      <c r="E65" s="225">
        <v>4.7</v>
      </c>
      <c r="F65" s="419">
        <v>8.14</v>
      </c>
      <c r="G65" s="89"/>
    </row>
    <row r="66" spans="1:10" ht="14" x14ac:dyDescent="0.3">
      <c r="A66" s="306" t="s">
        <v>182</v>
      </c>
      <c r="B66" s="137"/>
      <c r="C66" s="419">
        <v>0.67700000000000005</v>
      </c>
      <c r="D66" s="419">
        <v>2.2799999999999998</v>
      </c>
      <c r="E66" s="225">
        <v>5.2</v>
      </c>
      <c r="F66" s="419">
        <v>7.99</v>
      </c>
      <c r="G66" s="89"/>
    </row>
    <row r="67" spans="1:10" ht="14" x14ac:dyDescent="0.3">
      <c r="A67" s="188" t="s">
        <v>220</v>
      </c>
      <c r="B67" s="188" t="s">
        <v>170</v>
      </c>
      <c r="C67" s="188" t="s">
        <v>171</v>
      </c>
      <c r="D67" s="188" t="s">
        <v>172</v>
      </c>
      <c r="E67" s="188" t="s">
        <v>173</v>
      </c>
      <c r="F67" s="188" t="s">
        <v>174</v>
      </c>
      <c r="G67" s="188" t="s">
        <v>184</v>
      </c>
      <c r="H67" s="189" t="s">
        <v>195</v>
      </c>
    </row>
    <row r="68" spans="1:10" ht="13" x14ac:dyDescent="0.3">
      <c r="A68" s="121" t="s">
        <v>506</v>
      </c>
      <c r="B68" s="137">
        <v>4.8611111111111112E-2</v>
      </c>
      <c r="C68" s="419">
        <v>0.41699999999999998</v>
      </c>
      <c r="D68" s="419">
        <v>11.42</v>
      </c>
      <c r="E68" s="419">
        <v>3.8</v>
      </c>
      <c r="F68" s="419">
        <v>8.5</v>
      </c>
      <c r="G68" s="128">
        <v>2.5</v>
      </c>
      <c r="H68" s="82">
        <v>4</v>
      </c>
      <c r="I68" s="176" t="s">
        <v>521</v>
      </c>
      <c r="J68" s="442">
        <f>AVERAGE(E67:E70)</f>
        <v>4.1000000000000005</v>
      </c>
    </row>
    <row r="69" spans="1:10" ht="13" x14ac:dyDescent="0.3">
      <c r="A69" s="121" t="s">
        <v>175</v>
      </c>
      <c r="B69" s="82"/>
      <c r="C69" s="419">
        <v>0.437</v>
      </c>
      <c r="D69" s="419">
        <v>11.88</v>
      </c>
      <c r="E69" s="419">
        <v>4.2</v>
      </c>
      <c r="F69" s="419">
        <v>8.41</v>
      </c>
      <c r="G69" s="89"/>
      <c r="I69" s="20" t="s">
        <v>522</v>
      </c>
      <c r="J69" s="442">
        <f>AVERAGE(E67:E75)</f>
        <v>4.125</v>
      </c>
    </row>
    <row r="70" spans="1:10" ht="13" x14ac:dyDescent="0.3">
      <c r="A70" s="121" t="s">
        <v>507</v>
      </c>
      <c r="B70" s="82"/>
      <c r="C70" s="419">
        <v>0.443</v>
      </c>
      <c r="D70" s="419">
        <v>11.7</v>
      </c>
      <c r="E70" s="419">
        <v>4.3</v>
      </c>
      <c r="F70" s="419">
        <v>8.3800000000000008</v>
      </c>
      <c r="G70" s="89"/>
      <c r="I70" s="168"/>
      <c r="J70" s="169"/>
    </row>
    <row r="71" spans="1:10" ht="13" x14ac:dyDescent="0.3">
      <c r="A71" s="121" t="s">
        <v>176</v>
      </c>
      <c r="B71" s="82"/>
      <c r="C71" s="419">
        <v>0.45800000000000002</v>
      </c>
      <c r="D71" s="419">
        <v>11.84</v>
      </c>
      <c r="E71" s="419">
        <v>4.2</v>
      </c>
      <c r="F71" s="419">
        <v>8.39</v>
      </c>
      <c r="G71" s="89"/>
      <c r="I71" s="440" t="s">
        <v>523</v>
      </c>
      <c r="J71" s="333">
        <f>AVERAGE(D67:D79)</f>
        <v>11.408181818181818</v>
      </c>
    </row>
    <row r="72" spans="1:10" ht="13" x14ac:dyDescent="0.3">
      <c r="A72" s="121" t="s">
        <v>508</v>
      </c>
      <c r="B72" s="82"/>
      <c r="C72" s="419">
        <v>0.46300000000000002</v>
      </c>
      <c r="D72" s="419">
        <v>11.32</v>
      </c>
      <c r="E72" s="419">
        <v>4.2</v>
      </c>
      <c r="F72" s="419">
        <v>8.34</v>
      </c>
      <c r="G72" s="89"/>
      <c r="I72" s="440" t="s">
        <v>526</v>
      </c>
      <c r="J72" s="333">
        <f>AVERAGE(D67:D70)</f>
        <v>11.666666666666666</v>
      </c>
    </row>
    <row r="73" spans="1:10" ht="13" x14ac:dyDescent="0.3">
      <c r="A73" s="121" t="s">
        <v>177</v>
      </c>
      <c r="B73" s="82"/>
      <c r="C73" s="419">
        <v>0.46700000000000003</v>
      </c>
      <c r="D73" s="419">
        <v>11.2</v>
      </c>
      <c r="E73" s="419">
        <v>4.3</v>
      </c>
      <c r="F73" s="419">
        <v>8.35</v>
      </c>
      <c r="G73" s="89"/>
    </row>
    <row r="74" spans="1:10" ht="13" x14ac:dyDescent="0.3">
      <c r="A74" s="121" t="s">
        <v>509</v>
      </c>
      <c r="B74" s="82"/>
      <c r="C74" s="419">
        <v>0.47499999999999998</v>
      </c>
      <c r="D74" s="419">
        <v>11.1</v>
      </c>
      <c r="E74" s="419">
        <v>4.2</v>
      </c>
      <c r="F74" s="419">
        <v>8.3699999999999992</v>
      </c>
      <c r="G74" s="89"/>
    </row>
    <row r="75" spans="1:10" ht="13" x14ac:dyDescent="0.3">
      <c r="A75" s="121" t="s">
        <v>178</v>
      </c>
      <c r="B75" s="82"/>
      <c r="C75" s="419">
        <v>0.50700000000000001</v>
      </c>
      <c r="D75" s="419">
        <v>10.5</v>
      </c>
      <c r="E75" s="419">
        <v>3.8</v>
      </c>
      <c r="F75" s="419">
        <v>8.3000000000000007</v>
      </c>
      <c r="G75" s="89"/>
    </row>
    <row r="76" spans="1:10" ht="14" x14ac:dyDescent="0.3">
      <c r="A76" s="188" t="s">
        <v>221</v>
      </c>
      <c r="B76" s="188" t="s">
        <v>170</v>
      </c>
      <c r="C76" s="188" t="s">
        <v>171</v>
      </c>
      <c r="D76" s="188" t="s">
        <v>172</v>
      </c>
      <c r="E76" s="188" t="s">
        <v>173</v>
      </c>
      <c r="F76" s="188" t="s">
        <v>174</v>
      </c>
      <c r="G76" s="188" t="s">
        <v>184</v>
      </c>
      <c r="H76" s="189" t="s">
        <v>195</v>
      </c>
    </row>
    <row r="77" spans="1:10" ht="13" x14ac:dyDescent="0.3">
      <c r="A77" s="121" t="s">
        <v>506</v>
      </c>
      <c r="B77" s="137">
        <v>6.25E-2</v>
      </c>
      <c r="C77" s="419">
        <v>0.41399999999999998</v>
      </c>
      <c r="D77" s="419">
        <v>11.63</v>
      </c>
      <c r="E77" s="419">
        <v>3.7</v>
      </c>
      <c r="F77" s="419">
        <v>8.49</v>
      </c>
      <c r="G77" s="186">
        <v>2.4</v>
      </c>
      <c r="H77" s="82">
        <v>6.3</v>
      </c>
      <c r="I77" s="176" t="s">
        <v>521</v>
      </c>
      <c r="J77" s="442">
        <f>AVERAGE(E77:E80)</f>
        <v>4.3499999999999996</v>
      </c>
    </row>
    <row r="78" spans="1:10" ht="13" x14ac:dyDescent="0.3">
      <c r="A78" s="121" t="s">
        <v>175</v>
      </c>
      <c r="B78" s="82"/>
      <c r="C78" s="419">
        <v>0.44400000000000001</v>
      </c>
      <c r="D78" s="419">
        <v>11.5</v>
      </c>
      <c r="E78" s="419">
        <v>4.5</v>
      </c>
      <c r="F78" s="419">
        <v>8.39</v>
      </c>
      <c r="G78" s="89"/>
      <c r="I78" s="20" t="s">
        <v>522</v>
      </c>
      <c r="J78" s="442">
        <f>AVERAGE(E77:E86)</f>
        <v>4.2200000000000006</v>
      </c>
    </row>
    <row r="79" spans="1:10" ht="13" x14ac:dyDescent="0.3">
      <c r="A79" s="121" t="s">
        <v>507</v>
      </c>
      <c r="B79" s="82"/>
      <c r="C79" s="419">
        <v>0.45100000000000001</v>
      </c>
      <c r="D79" s="419">
        <v>11.4</v>
      </c>
      <c r="E79" s="419">
        <v>4.5999999999999996</v>
      </c>
      <c r="F79" s="419">
        <v>8.43</v>
      </c>
      <c r="G79" s="89"/>
      <c r="I79" s="168"/>
      <c r="J79" s="169"/>
    </row>
    <row r="80" spans="1:10" ht="13" x14ac:dyDescent="0.3">
      <c r="A80" s="121" t="s">
        <v>176</v>
      </c>
      <c r="B80" s="82"/>
      <c r="C80" s="419">
        <v>0.45300000000000001</v>
      </c>
      <c r="D80" s="419">
        <v>11.55</v>
      </c>
      <c r="E80" s="419">
        <v>4.5999999999999996</v>
      </c>
      <c r="F80" s="419">
        <v>8.44</v>
      </c>
      <c r="G80" s="89"/>
      <c r="I80" s="440" t="s">
        <v>523</v>
      </c>
      <c r="J80" s="333">
        <f>AVERAGE(D77:D86)</f>
        <v>10.36</v>
      </c>
    </row>
    <row r="81" spans="1:10" ht="13" x14ac:dyDescent="0.3">
      <c r="A81" s="121" t="s">
        <v>508</v>
      </c>
      <c r="B81" s="82"/>
      <c r="C81" s="419">
        <v>0.46</v>
      </c>
      <c r="D81" s="419">
        <v>11.4</v>
      </c>
      <c r="E81" s="419">
        <v>4.4000000000000004</v>
      </c>
      <c r="F81" s="419">
        <v>8.32</v>
      </c>
      <c r="G81" s="89"/>
      <c r="I81" s="440" t="s">
        <v>526</v>
      </c>
      <c r="J81" s="333">
        <f>AVERAGE(D77:D80)</f>
        <v>11.52</v>
      </c>
    </row>
    <row r="82" spans="1:10" ht="13" x14ac:dyDescent="0.3">
      <c r="A82" s="121" t="s">
        <v>177</v>
      </c>
      <c r="B82" s="82"/>
      <c r="C82" s="419">
        <v>0.46899999999999997</v>
      </c>
      <c r="D82" s="419">
        <v>10.46</v>
      </c>
      <c r="E82" s="419">
        <v>4.2</v>
      </c>
      <c r="F82" s="419">
        <v>8.36</v>
      </c>
      <c r="G82" s="89"/>
    </row>
    <row r="83" spans="1:10" ht="13" x14ac:dyDescent="0.3">
      <c r="A83" s="121" t="s">
        <v>509</v>
      </c>
      <c r="B83" s="82"/>
      <c r="C83" s="419">
        <v>0.47799999999999998</v>
      </c>
      <c r="D83" s="419">
        <v>10.52</v>
      </c>
      <c r="E83" s="419">
        <v>4</v>
      </c>
      <c r="F83" s="419">
        <v>8.34</v>
      </c>
      <c r="G83" s="89"/>
    </row>
    <row r="84" spans="1:10" ht="13" x14ac:dyDescent="0.3">
      <c r="A84" s="121" t="s">
        <v>178</v>
      </c>
      <c r="B84" s="82"/>
      <c r="C84" s="419">
        <v>0.49299999999999999</v>
      </c>
      <c r="D84" s="419">
        <v>9.56</v>
      </c>
      <c r="E84" s="419">
        <v>4</v>
      </c>
      <c r="F84" s="419">
        <v>8.25</v>
      </c>
      <c r="G84" s="89"/>
    </row>
    <row r="85" spans="1:10" ht="13" x14ac:dyDescent="0.3">
      <c r="A85" s="121" t="s">
        <v>179</v>
      </c>
      <c r="B85" s="82"/>
      <c r="C85" s="419">
        <v>0.51200000000000001</v>
      </c>
      <c r="D85" s="419">
        <v>9.3800000000000008</v>
      </c>
      <c r="E85" s="419">
        <v>4</v>
      </c>
      <c r="F85" s="419">
        <v>8.16</v>
      </c>
      <c r="G85" s="89"/>
    </row>
    <row r="86" spans="1:10" ht="13" x14ac:dyDescent="0.3">
      <c r="A86" s="121" t="s">
        <v>180</v>
      </c>
      <c r="B86" s="82"/>
      <c r="C86" s="419">
        <v>0.54800000000000004</v>
      </c>
      <c r="D86" s="419">
        <v>6.2</v>
      </c>
      <c r="E86" s="419">
        <v>4.2</v>
      </c>
      <c r="F86" s="82">
        <v>8.1300000000000008</v>
      </c>
    </row>
  </sheetData>
  <mergeCells count="7">
    <mergeCell ref="G33:H33"/>
    <mergeCell ref="G35:H35"/>
    <mergeCell ref="B31:C31"/>
    <mergeCell ref="A28:B28"/>
    <mergeCell ref="D28:E28"/>
    <mergeCell ref="G28:H28"/>
    <mergeCell ref="E31:F31"/>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95"/>
  <sheetViews>
    <sheetView workbookViewId="0">
      <selection activeCell="D4" sqref="D4:D21"/>
    </sheetView>
  </sheetViews>
  <sheetFormatPr defaultRowHeight="12.5" x14ac:dyDescent="0.25"/>
  <cols>
    <col min="1" max="1" width="14.90625" customWidth="1"/>
    <col min="4" max="4" width="10.6328125" customWidth="1"/>
    <col min="7" max="7" width="10.08984375" bestFit="1" customWidth="1"/>
    <col min="8" max="8" width="12.36328125" bestFit="1" customWidth="1"/>
    <col min="9" max="9" width="7" bestFit="1" customWidth="1"/>
    <col min="15" max="15" width="16.36328125" bestFit="1" customWidth="1"/>
    <col min="17" max="17" width="9.36328125" bestFit="1" customWidth="1"/>
    <col min="18" max="18" width="9.08984375" bestFit="1" customWidth="1"/>
    <col min="19" max="19" width="5" bestFit="1" customWidth="1"/>
    <col min="20" max="20" width="16.36328125" bestFit="1" customWidth="1"/>
    <col min="21" max="21" width="8.90625" bestFit="1" customWidth="1"/>
  </cols>
  <sheetData>
    <row r="1" spans="1:21" ht="14" x14ac:dyDescent="0.3">
      <c r="A1" s="129" t="s">
        <v>505</v>
      </c>
    </row>
    <row r="2" spans="1:21" ht="17.25" customHeight="1" x14ac:dyDescent="0.3">
      <c r="A2" s="1" t="s">
        <v>168</v>
      </c>
      <c r="B2" s="148">
        <v>40595</v>
      </c>
      <c r="I2" s="1"/>
      <c r="J2" s="29"/>
      <c r="K2" s="160"/>
      <c r="L2" s="1"/>
      <c r="M2" s="1"/>
      <c r="N2" s="8"/>
      <c r="O2" s="159"/>
      <c r="T2" s="274" t="s">
        <v>246</v>
      </c>
      <c r="U2" s="462">
        <v>40595</v>
      </c>
    </row>
    <row r="3" spans="1:21" ht="14" x14ac:dyDescent="0.3">
      <c r="A3" s="188" t="s">
        <v>20</v>
      </c>
      <c r="B3" s="188" t="s">
        <v>170</v>
      </c>
      <c r="C3" s="188" t="s">
        <v>171</v>
      </c>
      <c r="D3" s="188" t="s">
        <v>172</v>
      </c>
      <c r="E3" s="188" t="s">
        <v>173</v>
      </c>
      <c r="F3" s="188" t="s">
        <v>174</v>
      </c>
      <c r="I3" s="20"/>
      <c r="J3" s="162"/>
      <c r="K3" s="163"/>
      <c r="L3" s="164"/>
      <c r="M3" s="165"/>
      <c r="N3" s="166"/>
      <c r="O3" s="167"/>
      <c r="T3" s="413" t="s">
        <v>256</v>
      </c>
      <c r="U3" s="448">
        <v>7</v>
      </c>
    </row>
    <row r="4" spans="1:21" ht="13" x14ac:dyDescent="0.3">
      <c r="A4" s="91" t="s">
        <v>213</v>
      </c>
      <c r="B4" s="137">
        <v>0.3923611111111111</v>
      </c>
      <c r="C4" s="82">
        <v>1.19</v>
      </c>
      <c r="D4" s="82">
        <v>11.38</v>
      </c>
      <c r="E4" s="82">
        <v>0.7</v>
      </c>
      <c r="F4" s="82">
        <v>7.76</v>
      </c>
      <c r="G4" s="89"/>
      <c r="I4" s="168"/>
      <c r="J4" s="169"/>
      <c r="K4" s="163"/>
      <c r="L4" s="11"/>
      <c r="M4" s="165"/>
      <c r="N4" s="166"/>
      <c r="O4" s="170"/>
      <c r="T4" s="179" t="s">
        <v>247</v>
      </c>
      <c r="U4" s="449">
        <v>33</v>
      </c>
    </row>
    <row r="5" spans="1:21" ht="13" x14ac:dyDescent="0.3">
      <c r="A5" s="91" t="s">
        <v>214</v>
      </c>
      <c r="B5" s="137">
        <v>0.40277777777777773</v>
      </c>
      <c r="C5" s="82">
        <v>0.372</v>
      </c>
      <c r="D5" s="82">
        <v>11.47</v>
      </c>
      <c r="E5" s="82">
        <v>0</v>
      </c>
      <c r="F5" s="82">
        <v>7.99</v>
      </c>
      <c r="G5" s="89"/>
      <c r="I5" s="168"/>
      <c r="J5" s="169"/>
      <c r="K5" s="172"/>
      <c r="L5" s="173"/>
      <c r="M5" s="174"/>
      <c r="N5" s="175"/>
      <c r="O5" s="170"/>
      <c r="T5" s="446" t="s">
        <v>537</v>
      </c>
      <c r="U5" s="449">
        <v>6</v>
      </c>
    </row>
    <row r="6" spans="1:21" ht="13" x14ac:dyDescent="0.3">
      <c r="A6" s="91" t="s">
        <v>215</v>
      </c>
      <c r="B6" s="137">
        <v>0.43055555555555558</v>
      </c>
      <c r="C6" s="82">
        <v>0.48</v>
      </c>
      <c r="D6" s="82">
        <v>9.8699999999999992</v>
      </c>
      <c r="E6" s="82">
        <v>4.9000000000000004</v>
      </c>
      <c r="F6" s="82">
        <v>8.07</v>
      </c>
      <c r="G6" s="89"/>
      <c r="I6" s="20"/>
      <c r="J6" s="162"/>
      <c r="K6" s="163"/>
      <c r="L6" s="28"/>
      <c r="M6" s="165"/>
      <c r="N6" s="166"/>
      <c r="O6" s="167"/>
      <c r="T6" s="446" t="s">
        <v>538</v>
      </c>
      <c r="U6" s="449">
        <v>2</v>
      </c>
    </row>
    <row r="7" spans="1:21" ht="14" x14ac:dyDescent="0.3">
      <c r="A7" s="91" t="s">
        <v>208</v>
      </c>
      <c r="B7" s="222" t="s">
        <v>539</v>
      </c>
      <c r="C7" s="223"/>
      <c r="D7" s="223"/>
      <c r="E7" s="223"/>
      <c r="F7" s="224"/>
      <c r="G7" s="188" t="s">
        <v>184</v>
      </c>
      <c r="H7" s="189" t="s">
        <v>195</v>
      </c>
      <c r="I7" s="168"/>
      <c r="J7" s="169"/>
      <c r="K7" s="163"/>
      <c r="L7" s="11"/>
      <c r="M7" s="165"/>
      <c r="N7" s="166"/>
      <c r="O7" s="170"/>
      <c r="T7" s="179" t="s">
        <v>249</v>
      </c>
      <c r="U7" s="449">
        <v>11</v>
      </c>
    </row>
    <row r="8" spans="1:21" ht="13" x14ac:dyDescent="0.3">
      <c r="A8" s="121" t="s">
        <v>506</v>
      </c>
      <c r="B8" s="137">
        <v>0.48888888888888887</v>
      </c>
      <c r="C8" s="82">
        <v>0.45700000000000002</v>
      </c>
      <c r="D8" s="82">
        <v>8.75</v>
      </c>
      <c r="E8" s="82">
        <v>5.3</v>
      </c>
      <c r="F8" s="82">
        <v>8.34</v>
      </c>
      <c r="G8" s="128">
        <v>3</v>
      </c>
      <c r="H8" s="178">
        <v>10.199999999999999</v>
      </c>
      <c r="I8" s="168"/>
      <c r="J8" s="169"/>
      <c r="K8" s="172"/>
      <c r="L8" s="173"/>
      <c r="M8" s="174"/>
      <c r="N8" s="175"/>
      <c r="O8" s="170"/>
      <c r="T8" s="179" t="s">
        <v>250</v>
      </c>
      <c r="U8" s="449">
        <v>3</v>
      </c>
    </row>
    <row r="9" spans="1:21" ht="13" x14ac:dyDescent="0.3">
      <c r="A9" s="121" t="s">
        <v>175</v>
      </c>
      <c r="B9" s="82"/>
      <c r="C9" s="82">
        <v>0.46100000000000002</v>
      </c>
      <c r="D9" s="82">
        <v>8.9</v>
      </c>
      <c r="E9" s="82">
        <v>5.4</v>
      </c>
      <c r="F9" s="82">
        <v>8.1300000000000008</v>
      </c>
      <c r="G9" s="89"/>
      <c r="K9" s="177"/>
      <c r="M9" s="174"/>
      <c r="N9" s="175"/>
      <c r="O9" s="167"/>
      <c r="T9" s="179" t="s">
        <v>251</v>
      </c>
      <c r="U9" s="208">
        <v>17</v>
      </c>
    </row>
    <row r="10" spans="1:21" ht="13" x14ac:dyDescent="0.3">
      <c r="A10" s="121" t="s">
        <v>507</v>
      </c>
      <c r="B10" s="82"/>
      <c r="C10" s="82">
        <v>0.47099999999999997</v>
      </c>
      <c r="D10" s="82">
        <v>9.01</v>
      </c>
      <c r="E10" s="82">
        <v>5.4</v>
      </c>
      <c r="F10" s="82">
        <v>8.01</v>
      </c>
      <c r="G10" s="89"/>
      <c r="H10" s="176" t="s">
        <v>521</v>
      </c>
      <c r="I10" s="442">
        <f>AVERAGE(E8:E11)</f>
        <v>5.3500000000000005</v>
      </c>
      <c r="K10" s="163"/>
      <c r="L10" s="28"/>
      <c r="M10" s="165"/>
      <c r="N10" s="166"/>
      <c r="O10" s="167"/>
      <c r="T10" s="179"/>
      <c r="U10" s="449"/>
    </row>
    <row r="11" spans="1:21" ht="13" x14ac:dyDescent="0.3">
      <c r="A11" s="121" t="s">
        <v>176</v>
      </c>
      <c r="B11" s="82"/>
      <c r="C11" s="82">
        <v>0.48099999999999998</v>
      </c>
      <c r="D11" s="82">
        <v>9.07</v>
      </c>
      <c r="E11" s="82">
        <v>5.3</v>
      </c>
      <c r="F11" s="82">
        <v>7.96</v>
      </c>
      <c r="G11" s="89"/>
      <c r="H11" s="20" t="s">
        <v>549</v>
      </c>
      <c r="I11" s="442">
        <f>AVERAGE(E8:E19)</f>
        <v>4.7166666666666668</v>
      </c>
      <c r="K11" s="163"/>
      <c r="L11" s="11"/>
      <c r="M11" s="165"/>
      <c r="N11" s="166"/>
      <c r="O11" s="170"/>
    </row>
    <row r="12" spans="1:21" ht="13" x14ac:dyDescent="0.3">
      <c r="A12" s="121" t="s">
        <v>508</v>
      </c>
      <c r="B12" s="82"/>
      <c r="C12" s="82">
        <v>0.51</v>
      </c>
      <c r="D12" s="82">
        <v>9.16</v>
      </c>
      <c r="E12" s="82">
        <v>4.8</v>
      </c>
      <c r="F12" s="82">
        <v>7.94</v>
      </c>
      <c r="G12" s="89"/>
      <c r="H12" s="168"/>
      <c r="I12" s="169"/>
      <c r="K12" s="172"/>
      <c r="L12" s="173"/>
      <c r="M12" s="174"/>
      <c r="N12" s="175"/>
      <c r="O12" s="170"/>
      <c r="T12" s="345"/>
      <c r="U12" s="434"/>
    </row>
    <row r="13" spans="1:21" ht="13" x14ac:dyDescent="0.3">
      <c r="A13" s="121" t="s">
        <v>177</v>
      </c>
      <c r="B13" s="82"/>
      <c r="C13" s="82">
        <v>0.52100000000000002</v>
      </c>
      <c r="D13" s="82">
        <v>8.85</v>
      </c>
      <c r="E13" s="82">
        <v>4.5999999999999996</v>
      </c>
      <c r="F13" s="82">
        <v>7.83</v>
      </c>
      <c r="G13" s="89"/>
      <c r="H13" s="440" t="s">
        <v>548</v>
      </c>
      <c r="I13" s="333">
        <f>AVERAGE(D8:D22)</f>
        <v>7.4428571428571431</v>
      </c>
      <c r="K13" s="163"/>
      <c r="L13" s="28"/>
      <c r="M13" s="165"/>
      <c r="N13" s="166"/>
      <c r="O13" s="167"/>
      <c r="T13" s="89"/>
      <c r="U13" s="89"/>
    </row>
    <row r="14" spans="1:21" ht="13" x14ac:dyDescent="0.3">
      <c r="A14" s="121" t="s">
        <v>509</v>
      </c>
      <c r="B14" s="82"/>
      <c r="C14" s="82">
        <v>0.54</v>
      </c>
      <c r="D14" s="82">
        <v>8.33</v>
      </c>
      <c r="E14" s="82">
        <v>4.4000000000000004</v>
      </c>
      <c r="F14" s="82">
        <v>7.81</v>
      </c>
      <c r="G14" s="89"/>
      <c r="H14" s="440" t="s">
        <v>526</v>
      </c>
      <c r="I14" s="333">
        <f>AVERAGE(D8:D11)</f>
        <v>8.9324999999999992</v>
      </c>
      <c r="K14" s="163"/>
      <c r="L14" s="11"/>
      <c r="M14" s="165"/>
      <c r="N14" s="166"/>
      <c r="O14" s="170"/>
    </row>
    <row r="15" spans="1:21" ht="13" x14ac:dyDescent="0.3">
      <c r="A15" s="121" t="s">
        <v>178</v>
      </c>
      <c r="B15" s="82"/>
      <c r="C15" s="82">
        <v>0.56899999999999995</v>
      </c>
      <c r="D15" s="82">
        <v>6.5</v>
      </c>
      <c r="E15" s="82">
        <v>4.2</v>
      </c>
      <c r="F15" s="186">
        <v>7.74</v>
      </c>
      <c r="G15" s="89"/>
      <c r="K15" s="172"/>
      <c r="L15" s="173"/>
      <c r="M15" s="174"/>
      <c r="N15" s="175"/>
      <c r="O15" s="170"/>
    </row>
    <row r="16" spans="1:21" ht="13" x14ac:dyDescent="0.3">
      <c r="A16" s="121" t="s">
        <v>179</v>
      </c>
      <c r="B16" s="137"/>
      <c r="C16" s="82">
        <v>0.61099999999999999</v>
      </c>
      <c r="D16" s="82">
        <v>6.5</v>
      </c>
      <c r="E16" s="82">
        <v>4.2</v>
      </c>
      <c r="F16" s="82">
        <v>7.66</v>
      </c>
      <c r="G16" s="89"/>
      <c r="H16" s="440" t="s">
        <v>547</v>
      </c>
      <c r="I16" s="333">
        <f>AVERAGE(F8:F22)</f>
        <v>7.8028571428571434</v>
      </c>
      <c r="K16" s="163"/>
      <c r="L16" s="28"/>
      <c r="M16" s="165"/>
      <c r="N16" s="166"/>
      <c r="O16" s="167"/>
    </row>
    <row r="17" spans="1:20" ht="13" x14ac:dyDescent="0.3">
      <c r="A17" s="121" t="s">
        <v>180</v>
      </c>
      <c r="B17" s="137"/>
      <c r="C17" s="82">
        <v>0.63900000000000001</v>
      </c>
      <c r="D17" s="312">
        <v>5.7</v>
      </c>
      <c r="E17" s="80">
        <v>4.3</v>
      </c>
      <c r="F17" s="82">
        <v>7.67</v>
      </c>
      <c r="G17" s="89"/>
      <c r="H17" s="440" t="s">
        <v>546</v>
      </c>
      <c r="I17" s="441">
        <f>AVERAGE(C8:C22)</f>
        <v>0.5804999999999999</v>
      </c>
      <c r="J17" s="169"/>
      <c r="K17" s="163"/>
      <c r="L17" s="11"/>
      <c r="M17" s="165"/>
      <c r="N17" s="166"/>
      <c r="O17" s="170"/>
    </row>
    <row r="18" spans="1:20" ht="13" x14ac:dyDescent="0.3">
      <c r="A18" s="121" t="s">
        <v>181</v>
      </c>
      <c r="B18" s="82"/>
      <c r="C18" s="82">
        <v>0.67200000000000004</v>
      </c>
      <c r="D18" s="312">
        <v>6.13</v>
      </c>
      <c r="E18" s="453">
        <v>4.3</v>
      </c>
      <c r="F18" s="82">
        <v>7.58</v>
      </c>
      <c r="G18" s="89"/>
      <c r="I18" s="168"/>
      <c r="J18" s="169"/>
      <c r="K18" s="172"/>
      <c r="L18" s="173"/>
      <c r="M18" s="174"/>
      <c r="N18" s="175"/>
      <c r="O18" s="170"/>
    </row>
    <row r="19" spans="1:20" ht="13" x14ac:dyDescent="0.3">
      <c r="A19" s="121" t="s">
        <v>182</v>
      </c>
      <c r="B19" s="82"/>
      <c r="C19" s="82">
        <v>0.7</v>
      </c>
      <c r="D19" s="312">
        <v>6.25</v>
      </c>
      <c r="E19" s="80">
        <v>4.4000000000000004</v>
      </c>
      <c r="F19" s="82">
        <v>7.51</v>
      </c>
      <c r="G19" s="89"/>
      <c r="I19" s="168"/>
      <c r="J19" s="169"/>
      <c r="K19" s="172"/>
      <c r="L19" s="173"/>
      <c r="M19" s="174"/>
      <c r="N19" s="175"/>
      <c r="S19" s="149"/>
    </row>
    <row r="20" spans="1:20" ht="13" x14ac:dyDescent="0.3">
      <c r="A20" s="121" t="s">
        <v>183</v>
      </c>
      <c r="B20" s="82"/>
      <c r="C20" s="82">
        <v>0.72899999999999998</v>
      </c>
      <c r="D20" s="312">
        <v>6.4</v>
      </c>
      <c r="E20" s="80">
        <v>4.4000000000000004</v>
      </c>
      <c r="F20" s="82">
        <v>7.51</v>
      </c>
      <c r="G20" s="89"/>
      <c r="I20" s="168"/>
      <c r="J20" s="169"/>
      <c r="K20" s="172"/>
      <c r="L20" s="173"/>
      <c r="M20" s="174"/>
      <c r="N20" s="175"/>
      <c r="S20" s="447"/>
      <c r="T20" s="447"/>
    </row>
    <row r="21" spans="1:20" ht="13" x14ac:dyDescent="0.3">
      <c r="A21" s="121" t="s">
        <v>206</v>
      </c>
      <c r="B21" s="82"/>
      <c r="C21" s="82">
        <v>0.76600000000000001</v>
      </c>
      <c r="D21" s="312">
        <v>4.6500000000000004</v>
      </c>
      <c r="E21" s="80">
        <v>4.8</v>
      </c>
      <c r="F21" s="82">
        <v>7.55</v>
      </c>
      <c r="G21" s="89"/>
      <c r="I21" s="168"/>
      <c r="J21" s="169"/>
      <c r="K21" s="172"/>
      <c r="L21" s="173"/>
      <c r="M21" s="174"/>
      <c r="N21" s="175"/>
      <c r="S21" s="86"/>
      <c r="T21" s="86"/>
    </row>
    <row r="22" spans="1:20" ht="13" x14ac:dyDescent="0.3">
      <c r="A22" s="121" t="s">
        <v>207</v>
      </c>
      <c r="B22" s="82"/>
      <c r="C22" s="82"/>
      <c r="D22" s="82"/>
      <c r="E22" s="82"/>
      <c r="F22" s="82"/>
      <c r="G22" s="89"/>
      <c r="S22" s="86"/>
      <c r="T22" s="86"/>
    </row>
    <row r="23" spans="1:20" ht="18" customHeight="1" x14ac:dyDescent="0.3">
      <c r="A23" s="121" t="s">
        <v>209</v>
      </c>
      <c r="B23" s="137">
        <v>0.43958333333333338</v>
      </c>
      <c r="C23" s="82">
        <v>1.66</v>
      </c>
      <c r="D23" s="82">
        <v>9.5500000000000007</v>
      </c>
      <c r="E23" s="82">
        <v>0</v>
      </c>
      <c r="F23" s="82">
        <v>8.3000000000000007</v>
      </c>
      <c r="G23" s="179" t="s">
        <v>535</v>
      </c>
      <c r="S23" s="86"/>
      <c r="T23" s="86"/>
    </row>
    <row r="24" spans="1:20" ht="18.75" customHeight="1" x14ac:dyDescent="0.3">
      <c r="A24" s="306" t="s">
        <v>210</v>
      </c>
      <c r="B24" s="137">
        <v>0.44444444444444442</v>
      </c>
      <c r="C24" s="82">
        <v>1.66</v>
      </c>
      <c r="D24" s="82">
        <v>11.86</v>
      </c>
      <c r="E24" s="82">
        <v>0.1</v>
      </c>
      <c r="F24" s="82">
        <v>8.1999999999999993</v>
      </c>
      <c r="G24" s="179" t="s">
        <v>536</v>
      </c>
      <c r="S24" s="86"/>
      <c r="T24" s="86"/>
    </row>
    <row r="25" spans="1:20" x14ac:dyDescent="0.25">
      <c r="A25" s="125" t="s">
        <v>11</v>
      </c>
      <c r="B25" s="193" t="s">
        <v>542</v>
      </c>
      <c r="C25" s="126"/>
      <c r="D25" s="126"/>
      <c r="E25" s="126"/>
      <c r="F25" s="126"/>
      <c r="G25" s="126"/>
      <c r="S25" s="86"/>
      <c r="T25" s="86"/>
    </row>
    <row r="26" spans="1:20" x14ac:dyDescent="0.25">
      <c r="A26" s="138"/>
      <c r="B26" s="20" t="s">
        <v>529</v>
      </c>
      <c r="D26" s="322"/>
      <c r="E26" s="322"/>
      <c r="F26" s="322"/>
      <c r="G26" s="322"/>
      <c r="S26" s="86"/>
      <c r="T26" s="86"/>
    </row>
    <row r="27" spans="1:20" x14ac:dyDescent="0.25">
      <c r="A27" s="138"/>
      <c r="B27" s="322"/>
      <c r="C27" s="322"/>
      <c r="D27" s="322"/>
      <c r="E27" s="322"/>
      <c r="F27" s="322"/>
      <c r="G27" s="322"/>
      <c r="S27" s="86"/>
      <c r="T27" s="86"/>
    </row>
    <row r="28" spans="1:20" ht="24" x14ac:dyDescent="0.35">
      <c r="A28" s="951" t="s">
        <v>127</v>
      </c>
      <c r="B28" s="951"/>
      <c r="C28" s="290"/>
      <c r="D28" s="951" t="s">
        <v>130</v>
      </c>
      <c r="E28" s="951"/>
      <c r="F28" s="131"/>
      <c r="G28" s="947" t="s">
        <v>31</v>
      </c>
      <c r="H28" s="947"/>
      <c r="J28" s="135" t="s">
        <v>187</v>
      </c>
      <c r="K28" s="135" t="s">
        <v>188</v>
      </c>
      <c r="L28" s="136" t="s">
        <v>189</v>
      </c>
      <c r="M28" s="135" t="s">
        <v>190</v>
      </c>
      <c r="N28" s="136" t="s">
        <v>191</v>
      </c>
      <c r="S28" s="86"/>
      <c r="T28" s="86"/>
    </row>
    <row r="29" spans="1:20" ht="15.5" x14ac:dyDescent="0.35">
      <c r="A29" s="154" t="s">
        <v>170</v>
      </c>
      <c r="B29" s="291">
        <v>0.38958333333333334</v>
      </c>
      <c r="C29" s="292">
        <v>0.92</v>
      </c>
      <c r="D29" s="154" t="s">
        <v>170</v>
      </c>
      <c r="E29" s="293">
        <v>0.40277777777777773</v>
      </c>
      <c r="F29" s="323">
        <v>3.85</v>
      </c>
      <c r="G29" s="154" t="s">
        <v>170</v>
      </c>
      <c r="H29" s="293">
        <v>0.42708333333333331</v>
      </c>
      <c r="J29" s="132">
        <v>2</v>
      </c>
      <c r="K29" s="132">
        <v>0.18</v>
      </c>
      <c r="L29" s="133">
        <v>1.1000000000000001</v>
      </c>
      <c r="M29" s="132">
        <f>K29*1.5</f>
        <v>0.27</v>
      </c>
      <c r="N29" s="133">
        <f>L29*M29</f>
        <v>0.29700000000000004</v>
      </c>
      <c r="S29" s="86"/>
      <c r="T29" s="86"/>
    </row>
    <row r="30" spans="1:20" ht="16" thickBot="1" x14ac:dyDescent="0.4">
      <c r="A30" s="154" t="s">
        <v>185</v>
      </c>
      <c r="B30" s="290">
        <v>9</v>
      </c>
      <c r="C30" s="294"/>
      <c r="D30" s="154" t="s">
        <v>185</v>
      </c>
      <c r="E30" s="304">
        <v>19</v>
      </c>
      <c r="F30" s="295"/>
      <c r="G30" s="154" t="s">
        <v>185</v>
      </c>
      <c r="H30" s="303">
        <v>50</v>
      </c>
      <c r="J30" s="132">
        <v>4</v>
      </c>
      <c r="K30" s="132">
        <v>0.88</v>
      </c>
      <c r="L30" s="132">
        <v>0.9</v>
      </c>
      <c r="M30" s="132">
        <f>K30*2</f>
        <v>1.76</v>
      </c>
      <c r="N30" s="133">
        <f>L30*M30</f>
        <v>1.5840000000000001</v>
      </c>
      <c r="S30" s="86"/>
      <c r="T30" s="86"/>
    </row>
    <row r="31" spans="1:20" ht="16" thickBot="1" x14ac:dyDescent="0.4">
      <c r="A31" s="156" t="s">
        <v>186</v>
      </c>
      <c r="B31" s="950" t="s">
        <v>543</v>
      </c>
      <c r="C31" s="950"/>
      <c r="D31" s="155" t="s">
        <v>186</v>
      </c>
      <c r="E31" s="952" t="s">
        <v>531</v>
      </c>
      <c r="F31" s="952"/>
      <c r="G31" s="155" t="s">
        <v>186</v>
      </c>
      <c r="H31" s="157" t="s">
        <v>544</v>
      </c>
      <c r="J31" s="132">
        <v>6</v>
      </c>
      <c r="K31" s="132">
        <v>0.75</v>
      </c>
      <c r="L31" s="132">
        <v>1.6</v>
      </c>
      <c r="M31" s="132">
        <f>K31*2</f>
        <v>1.5</v>
      </c>
      <c r="N31" s="133">
        <f t="shared" ref="N31:N38" si="0">L31*M31</f>
        <v>2.4000000000000004</v>
      </c>
    </row>
    <row r="32" spans="1:20" ht="24" x14ac:dyDescent="0.35">
      <c r="A32" s="151" t="s">
        <v>187</v>
      </c>
      <c r="B32" s="151" t="s">
        <v>188</v>
      </c>
      <c r="C32" s="153" t="s">
        <v>189</v>
      </c>
      <c r="D32" s="151" t="s">
        <v>187</v>
      </c>
      <c r="E32" s="151" t="s">
        <v>188</v>
      </c>
      <c r="F32" s="153" t="s">
        <v>189</v>
      </c>
      <c r="G32" s="151" t="s">
        <v>188</v>
      </c>
      <c r="H32" s="153" t="s">
        <v>189</v>
      </c>
      <c r="J32" s="132">
        <v>8</v>
      </c>
      <c r="K32" s="132">
        <v>0.72</v>
      </c>
      <c r="L32" s="132">
        <v>0.7</v>
      </c>
      <c r="M32" s="132">
        <f>K32*2</f>
        <v>1.44</v>
      </c>
      <c r="N32" s="133">
        <f t="shared" si="0"/>
        <v>1.008</v>
      </c>
    </row>
    <row r="33" spans="1:14" ht="15.5" x14ac:dyDescent="0.35">
      <c r="A33" s="152">
        <v>2</v>
      </c>
      <c r="B33" s="132">
        <v>0.3</v>
      </c>
      <c r="C33" s="132">
        <v>0.1</v>
      </c>
      <c r="D33" s="152">
        <v>2</v>
      </c>
      <c r="E33" s="132">
        <v>0.74</v>
      </c>
      <c r="F33" s="132">
        <v>0.2</v>
      </c>
      <c r="G33" s="947" t="s">
        <v>31</v>
      </c>
      <c r="H33" s="947"/>
      <c r="J33" s="132">
        <v>10</v>
      </c>
      <c r="K33" s="132">
        <v>0.72</v>
      </c>
      <c r="L33" s="132">
        <v>0.4</v>
      </c>
      <c r="M33" s="132">
        <f t="shared" ref="M33:M38" si="1">K33*2</f>
        <v>1.44</v>
      </c>
      <c r="N33" s="133">
        <f t="shared" si="0"/>
        <v>0.57599999999999996</v>
      </c>
    </row>
    <row r="34" spans="1:14" ht="15.5" x14ac:dyDescent="0.35">
      <c r="A34" s="152">
        <v>4</v>
      </c>
      <c r="B34" s="132">
        <v>0.32</v>
      </c>
      <c r="C34" s="132">
        <v>0.3</v>
      </c>
      <c r="D34" s="152">
        <v>4</v>
      </c>
      <c r="E34" s="132">
        <v>0.88</v>
      </c>
      <c r="F34" s="132">
        <v>0.9</v>
      </c>
      <c r="G34" s="132">
        <v>0.12</v>
      </c>
      <c r="H34" s="133">
        <v>1.5</v>
      </c>
      <c r="I34" s="444">
        <v>9</v>
      </c>
      <c r="J34" s="132">
        <v>12</v>
      </c>
      <c r="K34" s="134">
        <v>0.45</v>
      </c>
      <c r="L34" s="132">
        <v>2.1</v>
      </c>
      <c r="M34" s="132">
        <f t="shared" si="1"/>
        <v>0.9</v>
      </c>
      <c r="N34" s="133">
        <f t="shared" si="0"/>
        <v>1.8900000000000001</v>
      </c>
    </row>
    <row r="35" spans="1:14" ht="15.5" x14ac:dyDescent="0.35">
      <c r="A35" s="152">
        <v>6</v>
      </c>
      <c r="B35" s="132">
        <v>0.45</v>
      </c>
      <c r="C35" s="132">
        <v>1.9</v>
      </c>
      <c r="D35" s="331">
        <v>6</v>
      </c>
      <c r="E35" s="132">
        <v>0.75</v>
      </c>
      <c r="F35" s="132">
        <v>1.6</v>
      </c>
      <c r="G35" s="948" t="s">
        <v>196</v>
      </c>
      <c r="H35" s="949"/>
      <c r="I35" s="158"/>
      <c r="J35" s="132">
        <v>14</v>
      </c>
      <c r="K35" s="134">
        <v>0.7</v>
      </c>
      <c r="L35" s="134">
        <v>0.6</v>
      </c>
      <c r="M35" s="132">
        <f t="shared" si="1"/>
        <v>1.4</v>
      </c>
      <c r="N35" s="133">
        <f t="shared" si="0"/>
        <v>0.84</v>
      </c>
    </row>
    <row r="36" spans="1:14" ht="15.5" x14ac:dyDescent="0.35">
      <c r="A36" s="152">
        <v>8</v>
      </c>
      <c r="B36" s="132">
        <v>0.52</v>
      </c>
      <c r="C36" s="132">
        <v>2.4</v>
      </c>
      <c r="D36" s="152">
        <v>8</v>
      </c>
      <c r="E36" s="132">
        <v>0.72</v>
      </c>
      <c r="F36" s="132">
        <v>0.7</v>
      </c>
      <c r="G36" s="132" t="s">
        <v>488</v>
      </c>
      <c r="H36" s="133">
        <v>0.4</v>
      </c>
      <c r="I36" s="444">
        <v>0.24</v>
      </c>
      <c r="J36" s="132">
        <v>16</v>
      </c>
      <c r="K36" s="134">
        <v>0.65</v>
      </c>
      <c r="L36" s="134">
        <v>0.9</v>
      </c>
      <c r="M36" s="132">
        <f>K36*3</f>
        <v>1.9500000000000002</v>
      </c>
      <c r="N36" s="133">
        <f t="shared" si="0"/>
        <v>1.7550000000000001</v>
      </c>
    </row>
    <row r="37" spans="1:14" ht="15.5" x14ac:dyDescent="0.35">
      <c r="A37" s="152">
        <v>12</v>
      </c>
      <c r="B37" s="132"/>
      <c r="C37" s="132"/>
      <c r="D37" s="152">
        <v>10</v>
      </c>
      <c r="E37" s="132">
        <v>0.72</v>
      </c>
      <c r="F37" s="132">
        <v>0.4</v>
      </c>
      <c r="G37" s="132" t="s">
        <v>197</v>
      </c>
      <c r="H37" s="133"/>
      <c r="I37" s="158"/>
      <c r="J37" s="132">
        <v>18</v>
      </c>
      <c r="K37" s="82">
        <v>0.32</v>
      </c>
      <c r="L37" s="194">
        <v>0.1</v>
      </c>
      <c r="M37" s="132">
        <f t="shared" si="1"/>
        <v>0.64</v>
      </c>
      <c r="N37" s="133">
        <f t="shared" si="0"/>
        <v>6.4000000000000001E-2</v>
      </c>
    </row>
    <row r="38" spans="1:14" ht="15.5" x14ac:dyDescent="0.35">
      <c r="A38" s="123"/>
      <c r="B38" s="132"/>
      <c r="C38" s="132"/>
      <c r="D38" s="152">
        <v>12</v>
      </c>
      <c r="E38" s="134">
        <v>0.45</v>
      </c>
      <c r="F38" s="132">
        <v>2.1</v>
      </c>
      <c r="G38" s="132" t="s">
        <v>545</v>
      </c>
      <c r="H38" s="133">
        <v>1.1000000000000001</v>
      </c>
      <c r="I38" s="445">
        <v>0.3</v>
      </c>
      <c r="J38" s="132">
        <v>20</v>
      </c>
      <c r="K38" s="132"/>
      <c r="L38" s="132"/>
      <c r="M38" s="132">
        <f t="shared" si="1"/>
        <v>0</v>
      </c>
      <c r="N38" s="133">
        <f t="shared" si="0"/>
        <v>0</v>
      </c>
    </row>
    <row r="39" spans="1:14" ht="15.5" x14ac:dyDescent="0.35">
      <c r="C39" s="443">
        <v>4.49</v>
      </c>
      <c r="D39" s="152">
        <v>14</v>
      </c>
      <c r="E39" s="134">
        <v>0.7</v>
      </c>
      <c r="F39" s="134">
        <v>0.6</v>
      </c>
      <c r="N39" s="6">
        <f>SUM(N29:N38)</f>
        <v>10.414000000000001</v>
      </c>
    </row>
    <row r="40" spans="1:14" ht="15.5" x14ac:dyDescent="0.35">
      <c r="A40" s="319"/>
      <c r="D40" s="152">
        <v>16</v>
      </c>
      <c r="E40" s="134">
        <v>0.65</v>
      </c>
      <c r="F40" s="134">
        <v>0.9</v>
      </c>
    </row>
    <row r="41" spans="1:14" ht="15.5" x14ac:dyDescent="0.35">
      <c r="A41" s="319"/>
      <c r="D41" s="152">
        <v>18</v>
      </c>
      <c r="E41" s="82">
        <v>0.32</v>
      </c>
      <c r="F41" s="194">
        <v>0.1</v>
      </c>
    </row>
    <row r="42" spans="1:14" ht="15.5" x14ac:dyDescent="0.35">
      <c r="F42" s="366">
        <v>10.56</v>
      </c>
    </row>
    <row r="43" spans="1:14" ht="14" x14ac:dyDescent="0.3">
      <c r="A43" s="129" t="s">
        <v>211</v>
      </c>
      <c r="C43" s="11" t="s">
        <v>212</v>
      </c>
      <c r="D43" s="148">
        <v>40595</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c r="C45" s="225"/>
      <c r="D45" s="225"/>
      <c r="E45" s="449"/>
      <c r="F45" s="225"/>
      <c r="G45" s="128"/>
      <c r="H45" s="82"/>
    </row>
    <row r="46" spans="1:14" ht="14" x14ac:dyDescent="0.3">
      <c r="A46" s="121" t="s">
        <v>175</v>
      </c>
      <c r="B46" s="82"/>
      <c r="C46" s="225"/>
      <c r="D46" s="225"/>
      <c r="E46" s="449"/>
      <c r="F46" s="225"/>
      <c r="G46" s="89"/>
    </row>
    <row r="47" spans="1:14" ht="14" x14ac:dyDescent="0.3">
      <c r="A47" s="121" t="s">
        <v>507</v>
      </c>
      <c r="B47" s="82"/>
      <c r="C47" s="225"/>
      <c r="D47" s="225"/>
      <c r="E47" s="449"/>
      <c r="F47" s="225"/>
      <c r="G47" s="89"/>
      <c r="H47" s="176" t="s">
        <v>521</v>
      </c>
      <c r="I47" s="442" t="e">
        <f>AVERAGE(E45:E48)</f>
        <v>#DIV/0!</v>
      </c>
    </row>
    <row r="48" spans="1:14" ht="14" x14ac:dyDescent="0.3">
      <c r="A48" s="121" t="s">
        <v>176</v>
      </c>
      <c r="B48" s="82"/>
      <c r="C48" s="225"/>
      <c r="D48" s="225"/>
      <c r="E48" s="449"/>
      <c r="F48" s="225"/>
      <c r="G48" s="89"/>
      <c r="H48" s="20" t="s">
        <v>522</v>
      </c>
      <c r="I48" s="442" t="e">
        <f>AVERAGE(E45:E54)</f>
        <v>#DIV/0!</v>
      </c>
    </row>
    <row r="49" spans="1:10" ht="14" x14ac:dyDescent="0.3">
      <c r="A49" s="121" t="s">
        <v>508</v>
      </c>
      <c r="B49" s="82"/>
      <c r="C49" s="225"/>
      <c r="D49" s="225"/>
      <c r="E49" s="449"/>
      <c r="F49" s="225"/>
      <c r="G49" s="89"/>
      <c r="H49" s="168"/>
      <c r="I49" s="169"/>
    </row>
    <row r="50" spans="1:10" ht="14" x14ac:dyDescent="0.3">
      <c r="A50" s="121" t="s">
        <v>177</v>
      </c>
      <c r="B50" s="82"/>
      <c r="C50" s="225"/>
      <c r="D50" s="225"/>
      <c r="E50" s="449"/>
      <c r="F50" s="225"/>
      <c r="G50" s="89"/>
      <c r="H50" s="440" t="s">
        <v>523</v>
      </c>
      <c r="I50" s="333" t="e">
        <f>AVERAGE(D45:D53)</f>
        <v>#DIV/0!</v>
      </c>
    </row>
    <row r="51" spans="1:10" ht="14" x14ac:dyDescent="0.3">
      <c r="A51" s="121" t="s">
        <v>509</v>
      </c>
      <c r="B51" s="82"/>
      <c r="C51" s="225"/>
      <c r="D51" s="225"/>
      <c r="E51" s="449"/>
      <c r="F51" s="225"/>
      <c r="G51" s="89"/>
      <c r="H51" s="440" t="s">
        <v>526</v>
      </c>
      <c r="I51" s="333" t="e">
        <f>AVERAGE(D45:D48)</f>
        <v>#DIV/0!</v>
      </c>
    </row>
    <row r="52" spans="1:10" ht="14" x14ac:dyDescent="0.3">
      <c r="A52" s="121" t="s">
        <v>178</v>
      </c>
      <c r="B52" s="82"/>
      <c r="C52" s="225"/>
      <c r="D52" s="225"/>
      <c r="E52" s="449"/>
      <c r="F52" s="225"/>
      <c r="G52" s="89"/>
    </row>
    <row r="53" spans="1:10" ht="14" x14ac:dyDescent="0.3">
      <c r="A53" s="121" t="s">
        <v>179</v>
      </c>
      <c r="B53" s="82"/>
      <c r="C53" s="225"/>
      <c r="D53" s="225"/>
      <c r="E53" s="449"/>
      <c r="F53" s="225"/>
      <c r="G53" s="89"/>
    </row>
    <row r="54" spans="1:10" ht="14" x14ac:dyDescent="0.3">
      <c r="A54" s="121" t="s">
        <v>180</v>
      </c>
      <c r="B54" s="82"/>
      <c r="C54" s="225"/>
      <c r="D54" s="225"/>
      <c r="E54" s="449"/>
      <c r="F54" s="225"/>
      <c r="G54" s="89"/>
    </row>
    <row r="55" spans="1:10" ht="14" x14ac:dyDescent="0.3">
      <c r="A55" s="121" t="s">
        <v>181</v>
      </c>
      <c r="B55" s="137"/>
      <c r="C55" s="225"/>
      <c r="D55" s="225"/>
      <c r="E55" s="449"/>
      <c r="F55" s="225"/>
      <c r="G55" s="89"/>
    </row>
    <row r="56" spans="1:10" ht="14" x14ac:dyDescent="0.3">
      <c r="A56" s="121" t="s">
        <v>182</v>
      </c>
      <c r="B56" s="137"/>
      <c r="C56" s="225"/>
      <c r="D56" s="225"/>
      <c r="E56" s="449"/>
      <c r="F56" s="225"/>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c r="C59" s="449"/>
      <c r="D59" s="449"/>
      <c r="E59" s="225"/>
      <c r="F59" s="449"/>
      <c r="G59" s="128"/>
      <c r="H59" s="82"/>
    </row>
    <row r="60" spans="1:10" ht="14" x14ac:dyDescent="0.3">
      <c r="A60" s="121" t="s">
        <v>175</v>
      </c>
      <c r="B60" s="82"/>
      <c r="C60" s="449"/>
      <c r="D60" s="449"/>
      <c r="E60" s="225"/>
      <c r="F60" s="449"/>
      <c r="G60" s="89"/>
    </row>
    <row r="61" spans="1:10" ht="14" x14ac:dyDescent="0.3">
      <c r="A61" s="121" t="s">
        <v>507</v>
      </c>
      <c r="B61" s="82"/>
      <c r="C61" s="449"/>
      <c r="D61" s="449"/>
      <c r="E61" s="225"/>
      <c r="F61" s="449"/>
      <c r="G61" s="89"/>
      <c r="H61" s="176" t="s">
        <v>521</v>
      </c>
      <c r="I61" s="442" t="e">
        <f>AVERAGE(E59:E62)</f>
        <v>#DIV/0!</v>
      </c>
    </row>
    <row r="62" spans="1:10" ht="14" x14ac:dyDescent="0.3">
      <c r="A62" s="121" t="s">
        <v>176</v>
      </c>
      <c r="B62" s="82"/>
      <c r="C62" s="449"/>
      <c r="D62" s="449"/>
      <c r="E62" s="225"/>
      <c r="F62" s="449"/>
      <c r="G62" s="89"/>
      <c r="H62" s="20" t="s">
        <v>522</v>
      </c>
      <c r="I62" s="442" t="e">
        <f>AVERAGE(E59:E70)</f>
        <v>#DIV/0!</v>
      </c>
    </row>
    <row r="63" spans="1:10" ht="14" x14ac:dyDescent="0.3">
      <c r="A63" s="121" t="s">
        <v>508</v>
      </c>
      <c r="B63" s="82"/>
      <c r="C63" s="449"/>
      <c r="D63" s="449"/>
      <c r="E63" s="225"/>
      <c r="F63" s="449"/>
      <c r="G63" s="89"/>
      <c r="H63" s="168"/>
      <c r="I63" s="169"/>
    </row>
    <row r="64" spans="1:10" ht="14" x14ac:dyDescent="0.3">
      <c r="A64" s="121" t="s">
        <v>177</v>
      </c>
      <c r="B64" s="82"/>
      <c r="C64" s="449"/>
      <c r="D64" s="449"/>
      <c r="E64" s="225"/>
      <c r="F64" s="449"/>
      <c r="G64" s="89"/>
      <c r="H64" s="440" t="s">
        <v>523</v>
      </c>
      <c r="I64" s="333" t="e">
        <f>AVERAGE(D59:D70)</f>
        <v>#DIV/0!</v>
      </c>
    </row>
    <row r="65" spans="1:9" ht="14" x14ac:dyDescent="0.3">
      <c r="A65" s="121" t="s">
        <v>509</v>
      </c>
      <c r="B65" s="82"/>
      <c r="C65" s="449"/>
      <c r="D65" s="449"/>
      <c r="E65" s="225"/>
      <c r="F65" s="449"/>
      <c r="G65" s="89"/>
      <c r="H65" s="440" t="s">
        <v>526</v>
      </c>
      <c r="I65" s="333" t="e">
        <f>AVERAGE(D59:D62)</f>
        <v>#DIV/0!</v>
      </c>
    </row>
    <row r="66" spans="1:9" ht="14" x14ac:dyDescent="0.3">
      <c r="A66" s="121" t="s">
        <v>178</v>
      </c>
      <c r="B66" s="82"/>
      <c r="C66" s="449"/>
      <c r="D66" s="449"/>
      <c r="E66" s="225"/>
      <c r="F66" s="449"/>
      <c r="G66" s="89"/>
    </row>
    <row r="67" spans="1:9" ht="14" x14ac:dyDescent="0.3">
      <c r="A67" s="121" t="s">
        <v>179</v>
      </c>
      <c r="B67" s="82"/>
      <c r="C67" s="449"/>
      <c r="D67" s="449"/>
      <c r="E67" s="225"/>
      <c r="F67" s="449"/>
      <c r="G67" s="89"/>
    </row>
    <row r="68" spans="1:9" ht="14" x14ac:dyDescent="0.3">
      <c r="A68" s="306" t="s">
        <v>180</v>
      </c>
      <c r="B68" s="137"/>
      <c r="C68" s="449"/>
      <c r="D68" s="449"/>
      <c r="E68" s="225"/>
      <c r="F68" s="449"/>
      <c r="G68" s="89"/>
    </row>
    <row r="69" spans="1:9" ht="14" x14ac:dyDescent="0.3">
      <c r="A69" s="306" t="s">
        <v>181</v>
      </c>
      <c r="B69" s="137"/>
      <c r="C69" s="449"/>
      <c r="D69" s="449"/>
      <c r="E69" s="225"/>
      <c r="F69" s="449"/>
      <c r="G69" s="89"/>
    </row>
    <row r="70" spans="1:9" ht="14" x14ac:dyDescent="0.3">
      <c r="A70" s="306" t="s">
        <v>182</v>
      </c>
      <c r="B70" s="137"/>
      <c r="C70" s="449"/>
      <c r="D70" s="449"/>
      <c r="E70" s="225"/>
      <c r="F70" s="449"/>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v>0.50208333333333333</v>
      </c>
      <c r="C73" s="449">
        <v>0.45200000000000001</v>
      </c>
      <c r="D73" s="449">
        <v>10.6</v>
      </c>
      <c r="E73" s="449">
        <v>4.8</v>
      </c>
      <c r="F73" s="449">
        <v>8.32</v>
      </c>
      <c r="G73" s="128">
        <v>3</v>
      </c>
      <c r="H73" s="82">
        <v>5.2</v>
      </c>
    </row>
    <row r="74" spans="1:9" ht="13" x14ac:dyDescent="0.3">
      <c r="A74" s="121" t="s">
        <v>175</v>
      </c>
      <c r="B74" s="82"/>
      <c r="C74" s="449">
        <v>0.45900000000000002</v>
      </c>
      <c r="D74" s="449">
        <v>10.25</v>
      </c>
      <c r="E74" s="449">
        <v>5.0999999999999996</v>
      </c>
      <c r="F74" s="449">
        <v>8.14</v>
      </c>
      <c r="G74" s="89"/>
    </row>
    <row r="75" spans="1:9" ht="13" x14ac:dyDescent="0.3">
      <c r="A75" s="121" t="s">
        <v>507</v>
      </c>
      <c r="B75" s="82"/>
      <c r="C75" s="449">
        <v>0.46400000000000002</v>
      </c>
      <c r="D75" s="449">
        <v>10.199999999999999</v>
      </c>
      <c r="E75" s="449">
        <v>5.0999999999999996</v>
      </c>
      <c r="F75" s="449">
        <v>8.1999999999999993</v>
      </c>
      <c r="G75" s="89"/>
      <c r="H75" s="176" t="s">
        <v>521</v>
      </c>
      <c r="I75" s="442">
        <f>AVERAGE(E72:E75)</f>
        <v>4.9999999999999991</v>
      </c>
    </row>
    <row r="76" spans="1:9" ht="13" x14ac:dyDescent="0.3">
      <c r="A76" s="121" t="s">
        <v>176</v>
      </c>
      <c r="B76" s="82"/>
      <c r="C76" s="449">
        <v>0.47799999999999998</v>
      </c>
      <c r="D76" s="449">
        <v>9.9499999999999993</v>
      </c>
      <c r="E76" s="454">
        <v>5.0999999999999996</v>
      </c>
      <c r="F76" s="449">
        <v>8.1</v>
      </c>
      <c r="G76" s="89"/>
      <c r="H76" s="20" t="s">
        <v>522</v>
      </c>
      <c r="I76" s="442">
        <f>AVERAGE(E72:E82)</f>
        <v>4.6444444444444439</v>
      </c>
    </row>
    <row r="77" spans="1:9" ht="13" x14ac:dyDescent="0.3">
      <c r="A77" s="121" t="s">
        <v>508</v>
      </c>
      <c r="B77" s="82"/>
      <c r="C77" s="449">
        <v>0.51100000000000001</v>
      </c>
      <c r="D77" s="449">
        <v>9.75</v>
      </c>
      <c r="E77" s="449">
        <v>4.5999999999999996</v>
      </c>
      <c r="F77" s="449">
        <v>7.9</v>
      </c>
      <c r="G77" s="89"/>
      <c r="H77" s="168"/>
      <c r="I77" s="169"/>
    </row>
    <row r="78" spans="1:9" ht="13" x14ac:dyDescent="0.3">
      <c r="A78" s="121" t="s">
        <v>177</v>
      </c>
      <c r="B78" s="82"/>
      <c r="C78" s="449">
        <v>0.52600000000000002</v>
      </c>
      <c r="D78" s="449">
        <v>9.1999999999999993</v>
      </c>
      <c r="E78" s="449">
        <v>4.4000000000000004</v>
      </c>
      <c r="F78" s="449">
        <v>7.98</v>
      </c>
      <c r="G78" s="89"/>
      <c r="H78" s="440" t="s">
        <v>523</v>
      </c>
      <c r="I78" s="333">
        <f>AVERAGE(D72:D86)</f>
        <v>9.7716666666666665</v>
      </c>
    </row>
    <row r="79" spans="1:9" ht="13" x14ac:dyDescent="0.3">
      <c r="A79" s="121" t="s">
        <v>509</v>
      </c>
      <c r="B79" s="82"/>
      <c r="C79" s="449">
        <v>0.54</v>
      </c>
      <c r="D79" s="449">
        <v>8.85</v>
      </c>
      <c r="E79" s="449">
        <v>4.3</v>
      </c>
      <c r="F79" s="449">
        <v>7.85</v>
      </c>
      <c r="G79" s="89"/>
      <c r="H79" s="440" t="s">
        <v>526</v>
      </c>
      <c r="I79" s="333">
        <f>AVERAGE(D72:D75)</f>
        <v>10.35</v>
      </c>
    </row>
    <row r="80" spans="1:9" ht="13" x14ac:dyDescent="0.3">
      <c r="A80" s="121" t="s">
        <v>178</v>
      </c>
      <c r="B80" s="82"/>
      <c r="C80" s="449">
        <v>0.56399999999999995</v>
      </c>
      <c r="D80" s="449">
        <v>8.6</v>
      </c>
      <c r="E80" s="449">
        <v>4.2</v>
      </c>
      <c r="F80" s="449">
        <v>7.8</v>
      </c>
      <c r="G80" s="89"/>
    </row>
    <row r="81" spans="1:9" ht="13" x14ac:dyDescent="0.3">
      <c r="A81" s="121" t="s">
        <v>179</v>
      </c>
      <c r="B81" s="82"/>
      <c r="C81" s="449">
        <v>0.64200000000000002</v>
      </c>
      <c r="D81" s="449">
        <v>8.66</v>
      </c>
      <c r="E81" s="449">
        <v>4.2</v>
      </c>
      <c r="F81" s="449">
        <v>7.74</v>
      </c>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v>0.51388888888888895</v>
      </c>
      <c r="C84" s="449">
        <v>0.432</v>
      </c>
      <c r="D84" s="310">
        <v>11</v>
      </c>
      <c r="E84" s="85">
        <v>4.0999999999999996</v>
      </c>
      <c r="F84" s="310">
        <v>8.2799999999999994</v>
      </c>
      <c r="G84" s="186">
        <v>3</v>
      </c>
      <c r="H84" s="82">
        <v>6.4</v>
      </c>
    </row>
    <row r="85" spans="1:9" ht="13" x14ac:dyDescent="0.3">
      <c r="A85" s="121" t="s">
        <v>175</v>
      </c>
      <c r="B85" s="82"/>
      <c r="C85" s="449">
        <v>0.45200000000000001</v>
      </c>
      <c r="D85" s="310">
        <v>10.199999999999999</v>
      </c>
      <c r="E85" s="85">
        <v>4.5</v>
      </c>
      <c r="F85" s="310">
        <v>8.01</v>
      </c>
      <c r="G85" s="89"/>
    </row>
    <row r="86" spans="1:9" ht="13" x14ac:dyDescent="0.3">
      <c r="A86" s="121" t="s">
        <v>507</v>
      </c>
      <c r="B86" s="82"/>
      <c r="C86" s="449">
        <v>0.46500000000000002</v>
      </c>
      <c r="D86" s="310">
        <v>10</v>
      </c>
      <c r="E86" s="85">
        <v>4.8</v>
      </c>
      <c r="F86" s="310">
        <v>7.98</v>
      </c>
      <c r="G86" s="89"/>
      <c r="H86" s="176" t="s">
        <v>521</v>
      </c>
      <c r="I86" s="442">
        <f>AVERAGE(E84:E87)</f>
        <v>4.5249999999999995</v>
      </c>
    </row>
    <row r="87" spans="1:9" ht="13" x14ac:dyDescent="0.3">
      <c r="A87" s="121" t="s">
        <v>176</v>
      </c>
      <c r="B87" s="82"/>
      <c r="C87" s="449">
        <v>0.48799999999999999</v>
      </c>
      <c r="D87" s="310">
        <v>9.86</v>
      </c>
      <c r="E87" s="85">
        <v>4.7</v>
      </c>
      <c r="F87" s="310">
        <v>7.94</v>
      </c>
      <c r="G87" s="89"/>
      <c r="H87" s="20" t="s">
        <v>522</v>
      </c>
      <c r="I87" s="442">
        <f>AVERAGE(E84:E94)</f>
        <v>4.3199999999999994</v>
      </c>
    </row>
    <row r="88" spans="1:9" ht="13" x14ac:dyDescent="0.3">
      <c r="A88" s="121" t="s">
        <v>508</v>
      </c>
      <c r="B88" s="82"/>
      <c r="C88" s="449">
        <v>0.503</v>
      </c>
      <c r="D88" s="310">
        <v>9.75</v>
      </c>
      <c r="E88" s="85">
        <v>4.5</v>
      </c>
      <c r="F88" s="310">
        <v>7.85</v>
      </c>
      <c r="G88" s="89"/>
      <c r="H88" s="168"/>
      <c r="I88" s="169"/>
    </row>
    <row r="89" spans="1:9" ht="13" x14ac:dyDescent="0.3">
      <c r="A89" s="121" t="s">
        <v>177</v>
      </c>
      <c r="B89" s="82"/>
      <c r="C89" s="449">
        <v>0.52600000000000002</v>
      </c>
      <c r="D89" s="310">
        <v>9.64</v>
      </c>
      <c r="E89" s="85">
        <v>4</v>
      </c>
      <c r="F89" s="310">
        <v>7.83</v>
      </c>
      <c r="G89" s="89"/>
      <c r="H89" s="440" t="s">
        <v>523</v>
      </c>
      <c r="I89" s="333">
        <f>AVERAGE(D84:D94)</f>
        <v>9.0440000000000005</v>
      </c>
    </row>
    <row r="90" spans="1:9" ht="13" x14ac:dyDescent="0.3">
      <c r="A90" s="121" t="s">
        <v>509</v>
      </c>
      <c r="B90" s="82"/>
      <c r="C90" s="449">
        <v>0.54500000000000004</v>
      </c>
      <c r="D90" s="310">
        <v>9.35</v>
      </c>
      <c r="E90" s="85">
        <v>4</v>
      </c>
      <c r="F90" s="310">
        <v>7.85</v>
      </c>
      <c r="G90" s="89"/>
      <c r="H90" s="440" t="s">
        <v>526</v>
      </c>
      <c r="I90" s="333">
        <f>AVERAGE(D84:D87)</f>
        <v>10.265000000000001</v>
      </c>
    </row>
    <row r="91" spans="1:9" ht="13" x14ac:dyDescent="0.3">
      <c r="A91" s="121" t="s">
        <v>178</v>
      </c>
      <c r="B91" s="82"/>
      <c r="C91" s="449">
        <v>0.56200000000000006</v>
      </c>
      <c r="D91" s="310">
        <v>8.5399999999999991</v>
      </c>
      <c r="E91" s="85">
        <v>4</v>
      </c>
      <c r="F91" s="310">
        <v>7.75</v>
      </c>
      <c r="G91" s="89"/>
    </row>
    <row r="92" spans="1:9" ht="13" x14ac:dyDescent="0.3">
      <c r="A92" s="121" t="s">
        <v>179</v>
      </c>
      <c r="B92" s="82"/>
      <c r="C92" s="449">
        <v>0.59899999999999998</v>
      </c>
      <c r="D92" s="310">
        <v>6.7</v>
      </c>
      <c r="E92" s="85">
        <v>4.2</v>
      </c>
      <c r="F92" s="310">
        <v>7.64</v>
      </c>
      <c r="G92" s="89"/>
    </row>
    <row r="93" spans="1:9" ht="13" x14ac:dyDescent="0.3">
      <c r="A93" s="121" t="s">
        <v>180</v>
      </c>
      <c r="B93" s="82"/>
      <c r="C93" s="449">
        <v>0.63600000000000001</v>
      </c>
      <c r="D93" s="310">
        <v>5.4</v>
      </c>
      <c r="E93" s="85">
        <v>4.4000000000000004</v>
      </c>
      <c r="F93" s="310">
        <v>7.67</v>
      </c>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3:H33"/>
    <mergeCell ref="G35:H35"/>
    <mergeCell ref="A28:B28"/>
    <mergeCell ref="D28:E28"/>
    <mergeCell ref="G28:H28"/>
    <mergeCell ref="B31:C31"/>
    <mergeCell ref="E31:F31"/>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95"/>
  <sheetViews>
    <sheetView workbookViewId="0">
      <selection activeCell="G8" sqref="G8"/>
    </sheetView>
  </sheetViews>
  <sheetFormatPr defaultRowHeight="12.5" x14ac:dyDescent="0.25"/>
  <cols>
    <col min="1" max="1" width="13.08984375" customWidth="1"/>
    <col min="3" max="3" width="7" bestFit="1" customWidth="1"/>
    <col min="4" max="4" width="10.54296875" bestFit="1" customWidth="1"/>
    <col min="5" max="5" width="7.08984375" bestFit="1" customWidth="1"/>
    <col min="6" max="6" width="8" customWidth="1"/>
    <col min="7" max="7" width="9.453125" bestFit="1" customWidth="1"/>
    <col min="8" max="8" width="12.08984375" customWidth="1"/>
    <col min="9" max="9" width="10.08984375" customWidth="1"/>
    <col min="11" max="11" width="16.36328125" bestFit="1" customWidth="1"/>
    <col min="12" max="12" width="15.90625" bestFit="1" customWidth="1"/>
    <col min="20" max="20" width="16.36328125" bestFit="1" customWidth="1"/>
  </cols>
  <sheetData>
    <row r="1" spans="1:21" ht="14" x14ac:dyDescent="0.3">
      <c r="A1" s="129" t="s">
        <v>505</v>
      </c>
    </row>
    <row r="2" spans="1:21" ht="13" x14ac:dyDescent="0.3">
      <c r="A2" s="1" t="s">
        <v>168</v>
      </c>
      <c r="B2" s="148">
        <v>40630</v>
      </c>
      <c r="I2" s="1"/>
      <c r="J2" s="29"/>
      <c r="K2" s="160"/>
      <c r="L2" s="1"/>
      <c r="M2" s="1"/>
      <c r="N2" s="8"/>
      <c r="O2" s="159"/>
      <c r="T2" s="274" t="s">
        <v>246</v>
      </c>
      <c r="U2" s="462">
        <v>40630</v>
      </c>
    </row>
    <row r="3" spans="1:21" ht="14" x14ac:dyDescent="0.3">
      <c r="A3" s="188" t="s">
        <v>20</v>
      </c>
      <c r="B3" s="188" t="s">
        <v>170</v>
      </c>
      <c r="C3" s="188" t="s">
        <v>171</v>
      </c>
      <c r="D3" s="188" t="s">
        <v>172</v>
      </c>
      <c r="E3" s="188" t="s">
        <v>173</v>
      </c>
      <c r="F3" s="188" t="s">
        <v>174</v>
      </c>
      <c r="I3" s="20"/>
      <c r="J3" s="162"/>
      <c r="K3" s="163"/>
      <c r="L3" s="164"/>
      <c r="M3" s="165"/>
      <c r="N3" s="166"/>
      <c r="O3" s="167"/>
      <c r="T3" s="413" t="s">
        <v>256</v>
      </c>
      <c r="U3" s="464">
        <v>4</v>
      </c>
    </row>
    <row r="4" spans="1:21" ht="13" x14ac:dyDescent="0.3">
      <c r="A4" s="91" t="s">
        <v>213</v>
      </c>
      <c r="B4" s="137">
        <v>0.39166666666666666</v>
      </c>
      <c r="C4" s="82">
        <v>0.99</v>
      </c>
      <c r="D4" s="82">
        <v>11.99</v>
      </c>
      <c r="E4" s="82">
        <v>4.5999999999999996</v>
      </c>
      <c r="F4" s="82">
        <v>7.69</v>
      </c>
      <c r="G4" s="89"/>
      <c r="I4" s="168"/>
      <c r="J4" s="169"/>
      <c r="K4" s="163"/>
      <c r="L4" s="11"/>
      <c r="M4" s="165"/>
      <c r="N4" s="166"/>
      <c r="O4" s="170"/>
      <c r="T4" s="179" t="s">
        <v>247</v>
      </c>
      <c r="U4" s="465">
        <v>27</v>
      </c>
    </row>
    <row r="5" spans="1:21" ht="13" x14ac:dyDescent="0.3">
      <c r="A5" s="91" t="s">
        <v>214</v>
      </c>
      <c r="B5" s="137">
        <v>0.40625</v>
      </c>
      <c r="C5" s="82">
        <v>0.38</v>
      </c>
      <c r="D5" s="82">
        <v>13.3</v>
      </c>
      <c r="E5" s="82">
        <v>2.1</v>
      </c>
      <c r="F5" s="82">
        <v>7.99</v>
      </c>
      <c r="G5" s="89"/>
      <c r="I5" s="168"/>
      <c r="J5" s="169"/>
      <c r="K5" s="172"/>
      <c r="L5" s="173"/>
      <c r="M5" s="174"/>
      <c r="N5" s="175"/>
      <c r="O5" s="170"/>
      <c r="T5" s="446" t="s">
        <v>537</v>
      </c>
      <c r="U5" s="465">
        <v>5</v>
      </c>
    </row>
    <row r="6" spans="1:21" ht="13" x14ac:dyDescent="0.3">
      <c r="A6" s="91" t="s">
        <v>215</v>
      </c>
      <c r="B6" s="137">
        <v>0.4236111111111111</v>
      </c>
      <c r="C6" s="82">
        <v>0.57899999999999996</v>
      </c>
      <c r="D6" s="82">
        <v>9.1199999999999992</v>
      </c>
      <c r="E6" s="82">
        <v>6.4</v>
      </c>
      <c r="F6" s="82">
        <v>7.86</v>
      </c>
      <c r="G6" s="89"/>
      <c r="I6" s="20"/>
      <c r="J6" s="162"/>
      <c r="K6" s="163"/>
      <c r="L6" s="28"/>
      <c r="M6" s="165"/>
      <c r="N6" s="166"/>
      <c r="O6" s="167"/>
      <c r="T6" s="446" t="s">
        <v>538</v>
      </c>
      <c r="U6" s="465">
        <v>8</v>
      </c>
    </row>
    <row r="7" spans="1:21" ht="14" x14ac:dyDescent="0.3">
      <c r="A7" s="91" t="s">
        <v>208</v>
      </c>
      <c r="B7" s="222" t="s">
        <v>539</v>
      </c>
      <c r="C7" s="223"/>
      <c r="D7" s="223"/>
      <c r="E7" s="223"/>
      <c r="F7" s="224"/>
      <c r="G7" s="188" t="s">
        <v>184</v>
      </c>
      <c r="H7" s="189" t="s">
        <v>195</v>
      </c>
      <c r="I7" s="168"/>
      <c r="J7" s="169"/>
      <c r="K7" s="163"/>
      <c r="L7" s="11"/>
      <c r="M7" s="165"/>
      <c r="N7" s="166"/>
      <c r="O7" s="170"/>
      <c r="T7" s="179" t="s">
        <v>249</v>
      </c>
      <c r="U7" s="465">
        <v>31</v>
      </c>
    </row>
    <row r="8" spans="1:21" ht="13" x14ac:dyDescent="0.3">
      <c r="A8" s="121" t="s">
        <v>506</v>
      </c>
      <c r="B8" s="201">
        <v>0.50555555555555554</v>
      </c>
      <c r="C8" s="82">
        <v>0.57699999999999996</v>
      </c>
      <c r="D8" s="82">
        <v>8.36</v>
      </c>
      <c r="E8" s="82">
        <v>8.5</v>
      </c>
      <c r="F8" s="82">
        <v>8.15</v>
      </c>
      <c r="G8" s="128">
        <v>1.1200000000000001</v>
      </c>
      <c r="H8" s="178">
        <v>10.72</v>
      </c>
      <c r="I8" s="168"/>
      <c r="J8" s="169"/>
      <c r="K8" s="172"/>
      <c r="L8" s="173"/>
      <c r="M8" s="174"/>
      <c r="N8" s="175"/>
      <c r="O8" s="170"/>
      <c r="T8" s="179" t="s">
        <v>250</v>
      </c>
      <c r="U8" s="465">
        <v>1</v>
      </c>
    </row>
    <row r="9" spans="1:21" ht="13" x14ac:dyDescent="0.3">
      <c r="A9" s="121" t="s">
        <v>175</v>
      </c>
      <c r="B9" s="82"/>
      <c r="C9" s="82">
        <v>0.57799999999999996</v>
      </c>
      <c r="D9" s="82">
        <v>8.2899999999999991</v>
      </c>
      <c r="E9" s="82">
        <v>8</v>
      </c>
      <c r="F9" s="82">
        <v>8.08</v>
      </c>
      <c r="G9" s="89"/>
      <c r="K9" s="177"/>
      <c r="M9" s="174"/>
      <c r="N9" s="175"/>
      <c r="O9" s="167"/>
      <c r="T9" s="179" t="s">
        <v>251</v>
      </c>
      <c r="U9" s="208">
        <v>42</v>
      </c>
    </row>
    <row r="10" spans="1:21" ht="13" x14ac:dyDescent="0.3">
      <c r="A10" s="121" t="s">
        <v>507</v>
      </c>
      <c r="B10" s="82"/>
      <c r="C10" s="82">
        <v>0.57699999999999996</v>
      </c>
      <c r="D10" s="82">
        <v>9.2899999999999991</v>
      </c>
      <c r="E10" s="82">
        <v>7.4</v>
      </c>
      <c r="F10" s="82">
        <v>8.01</v>
      </c>
      <c r="G10" s="89"/>
      <c r="H10" s="176" t="s">
        <v>521</v>
      </c>
      <c r="I10" s="442">
        <f>AVERAGE(E8:E11)</f>
        <v>7.8</v>
      </c>
      <c r="K10" s="163"/>
      <c r="L10" s="28"/>
      <c r="M10" s="165"/>
      <c r="N10" s="166"/>
      <c r="O10" s="167"/>
      <c r="T10" s="446" t="s">
        <v>576</v>
      </c>
      <c r="U10" s="465">
        <v>2</v>
      </c>
    </row>
    <row r="11" spans="1:21" ht="13" x14ac:dyDescent="0.3">
      <c r="A11" s="121" t="s">
        <v>176</v>
      </c>
      <c r="B11" s="82"/>
      <c r="C11" s="82">
        <v>0.57699999999999996</v>
      </c>
      <c r="D11" s="82">
        <v>9.42</v>
      </c>
      <c r="E11" s="82">
        <v>7.3</v>
      </c>
      <c r="F11" s="82">
        <v>8.0500000000000007</v>
      </c>
      <c r="G11" s="89"/>
      <c r="H11" s="20" t="s">
        <v>549</v>
      </c>
      <c r="I11" s="442">
        <f>AVERAGE(E8:E19)</f>
        <v>7.466666666666665</v>
      </c>
      <c r="K11" s="163"/>
      <c r="L11" s="11"/>
      <c r="M11" s="165"/>
      <c r="N11" s="166"/>
      <c r="O11" s="170"/>
    </row>
    <row r="12" spans="1:21" ht="13" x14ac:dyDescent="0.3">
      <c r="A12" s="121" t="s">
        <v>508</v>
      </c>
      <c r="B12" s="82"/>
      <c r="C12" s="82">
        <v>0.57799999999999996</v>
      </c>
      <c r="D12" s="82">
        <v>9.4600000000000009</v>
      </c>
      <c r="E12" s="82">
        <v>7.3</v>
      </c>
      <c r="F12" s="82">
        <v>8.06</v>
      </c>
      <c r="G12" s="89"/>
      <c r="H12" s="168"/>
      <c r="I12" s="169"/>
      <c r="K12" s="172"/>
      <c r="L12" s="173"/>
      <c r="M12" s="174"/>
      <c r="N12" s="175"/>
      <c r="O12" s="170"/>
      <c r="T12" s="345"/>
      <c r="U12" s="434"/>
    </row>
    <row r="13" spans="1:21" ht="13" x14ac:dyDescent="0.3">
      <c r="A13" s="121" t="s">
        <v>177</v>
      </c>
      <c r="B13" s="82"/>
      <c r="C13" s="82">
        <v>0.57799999999999996</v>
      </c>
      <c r="D13" s="82">
        <v>9.59</v>
      </c>
      <c r="E13" s="82">
        <v>7.3</v>
      </c>
      <c r="F13" s="82">
        <v>8.01</v>
      </c>
      <c r="G13" s="89"/>
      <c r="H13" s="440" t="s">
        <v>548</v>
      </c>
      <c r="I13" s="333">
        <f>AVERAGE(D8:D22)</f>
        <v>9.6000000000000014</v>
      </c>
      <c r="K13" s="163"/>
      <c r="L13" s="28"/>
      <c r="M13" s="165"/>
      <c r="N13" s="166"/>
      <c r="O13" s="167"/>
      <c r="T13" s="89"/>
      <c r="U13" s="89"/>
    </row>
    <row r="14" spans="1:21" ht="13" x14ac:dyDescent="0.3">
      <c r="A14" s="121" t="s">
        <v>509</v>
      </c>
      <c r="B14" s="82"/>
      <c r="C14" s="82">
        <v>0.57799999999999996</v>
      </c>
      <c r="D14" s="82">
        <v>9.6999999999999993</v>
      </c>
      <c r="E14" s="82">
        <v>7.3</v>
      </c>
      <c r="F14" s="82">
        <v>7.99</v>
      </c>
      <c r="G14" s="89"/>
      <c r="H14" s="440" t="s">
        <v>526</v>
      </c>
      <c r="I14" s="333">
        <f>AVERAGE(D8:D11)</f>
        <v>8.84</v>
      </c>
      <c r="K14" s="163"/>
      <c r="L14" s="11"/>
      <c r="M14" s="165"/>
      <c r="N14" s="166"/>
      <c r="O14" s="170"/>
    </row>
    <row r="15" spans="1:21" ht="13" x14ac:dyDescent="0.3">
      <c r="A15" s="121" t="s">
        <v>178</v>
      </c>
      <c r="B15" s="82"/>
      <c r="C15" s="82">
        <v>0.57799999999999996</v>
      </c>
      <c r="D15" s="82">
        <v>9.9</v>
      </c>
      <c r="E15" s="82">
        <v>7.3</v>
      </c>
      <c r="F15" s="186">
        <v>8.0299999999999994</v>
      </c>
      <c r="G15" s="89"/>
      <c r="K15" s="172"/>
      <c r="L15" s="173"/>
      <c r="M15" s="174"/>
      <c r="N15" s="175"/>
      <c r="O15" s="170"/>
    </row>
    <row r="16" spans="1:21" ht="13" x14ac:dyDescent="0.3">
      <c r="A16" s="121" t="s">
        <v>179</v>
      </c>
      <c r="B16" s="137"/>
      <c r="C16" s="82">
        <v>0.57799999999999996</v>
      </c>
      <c r="D16" s="82">
        <v>10.029999999999999</v>
      </c>
      <c r="E16" s="82">
        <v>7.3</v>
      </c>
      <c r="F16" s="82">
        <v>8</v>
      </c>
      <c r="G16" s="89"/>
      <c r="H16" s="440" t="s">
        <v>547</v>
      </c>
      <c r="I16" s="333">
        <f>AVERAGE(F8:F22)</f>
        <v>8.0173333333333332</v>
      </c>
      <c r="K16" s="163"/>
      <c r="L16" s="28"/>
      <c r="M16" s="165"/>
      <c r="N16" s="166"/>
      <c r="O16" s="167"/>
    </row>
    <row r="17" spans="1:20" ht="13" x14ac:dyDescent="0.3">
      <c r="A17" s="121" t="s">
        <v>180</v>
      </c>
      <c r="B17" s="137"/>
      <c r="C17" s="82">
        <v>0.57799999999999996</v>
      </c>
      <c r="D17" s="312">
        <v>10.07</v>
      </c>
      <c r="E17" s="82">
        <v>7.3</v>
      </c>
      <c r="F17" s="82">
        <v>7.99</v>
      </c>
      <c r="G17" s="89"/>
      <c r="H17" s="440" t="s">
        <v>546</v>
      </c>
      <c r="I17" s="441">
        <f>AVERAGE(C8:C22)</f>
        <v>0.58040000000000014</v>
      </c>
      <c r="J17" s="169"/>
      <c r="K17" s="163"/>
      <c r="L17" s="11"/>
      <c r="M17" s="165"/>
      <c r="N17" s="166"/>
      <c r="O17" s="170"/>
    </row>
    <row r="18" spans="1:20" ht="13" x14ac:dyDescent="0.3">
      <c r="A18" s="121" t="s">
        <v>181</v>
      </c>
      <c r="B18" s="82"/>
      <c r="C18" s="82">
        <v>0.57799999999999996</v>
      </c>
      <c r="D18" s="312">
        <v>10.1</v>
      </c>
      <c r="E18" s="82">
        <v>7.3</v>
      </c>
      <c r="F18" s="82">
        <v>7.96</v>
      </c>
      <c r="G18" s="89"/>
      <c r="I18" s="168"/>
      <c r="J18" s="169"/>
      <c r="K18" s="172"/>
      <c r="L18" s="173"/>
      <c r="M18" s="174"/>
      <c r="N18" s="175"/>
      <c r="O18" s="170"/>
    </row>
    <row r="19" spans="1:20" ht="13" x14ac:dyDescent="0.3">
      <c r="A19" s="121" t="s">
        <v>182</v>
      </c>
      <c r="B19" s="82"/>
      <c r="C19" s="82">
        <v>0.57799999999999996</v>
      </c>
      <c r="D19" s="312">
        <v>10.17</v>
      </c>
      <c r="E19" s="82">
        <v>7.3</v>
      </c>
      <c r="F19" s="82">
        <v>7.99</v>
      </c>
      <c r="G19" s="89"/>
      <c r="I19" s="168"/>
      <c r="J19" s="169"/>
      <c r="K19" s="172"/>
      <c r="L19" s="173"/>
      <c r="M19" s="174"/>
      <c r="N19" s="175"/>
      <c r="S19" s="149"/>
    </row>
    <row r="20" spans="1:20" ht="13" x14ac:dyDescent="0.3">
      <c r="A20" s="121" t="s">
        <v>183</v>
      </c>
      <c r="B20" s="82"/>
      <c r="C20" s="82">
        <v>0.57999999999999996</v>
      </c>
      <c r="D20" s="312">
        <v>10.17</v>
      </c>
      <c r="E20" s="82">
        <v>7.3</v>
      </c>
      <c r="F20" s="82">
        <v>8</v>
      </c>
      <c r="G20" s="89"/>
      <c r="I20" s="168"/>
      <c r="J20" s="169"/>
      <c r="K20" s="172"/>
      <c r="L20" s="173"/>
      <c r="M20" s="174"/>
      <c r="N20" s="175"/>
      <c r="S20" s="447"/>
      <c r="T20" s="447"/>
    </row>
    <row r="21" spans="1:20" ht="13" x14ac:dyDescent="0.3">
      <c r="A21" s="121" t="s">
        <v>206</v>
      </c>
      <c r="B21" s="82"/>
      <c r="C21" s="82">
        <v>0.58499999999999996</v>
      </c>
      <c r="D21" s="312">
        <v>10.15</v>
      </c>
      <c r="E21" s="82">
        <v>7.3</v>
      </c>
      <c r="F21" s="82">
        <v>8.01</v>
      </c>
      <c r="G21" s="89"/>
      <c r="I21" s="168"/>
      <c r="J21" s="169"/>
      <c r="K21" s="172"/>
      <c r="L21" s="173"/>
      <c r="M21" s="174"/>
      <c r="N21" s="175"/>
      <c r="S21" s="86"/>
      <c r="T21" s="86"/>
    </row>
    <row r="22" spans="1:20" ht="13" x14ac:dyDescent="0.3">
      <c r="A22" s="121" t="s">
        <v>207</v>
      </c>
      <c r="B22" s="82"/>
      <c r="C22" s="82">
        <v>0.60799999999999998</v>
      </c>
      <c r="D22" s="82">
        <v>9.3000000000000007</v>
      </c>
      <c r="E22" s="82">
        <v>7</v>
      </c>
      <c r="F22" s="82">
        <v>7.93</v>
      </c>
      <c r="G22" s="89"/>
      <c r="S22" s="86"/>
      <c r="T22" s="86"/>
    </row>
    <row r="23" spans="1:20" ht="13" x14ac:dyDescent="0.3">
      <c r="A23" s="121" t="s">
        <v>209</v>
      </c>
      <c r="B23" s="137">
        <v>0.4368055555555555</v>
      </c>
      <c r="C23" s="82">
        <v>1.43</v>
      </c>
      <c r="D23" s="82">
        <v>12.93</v>
      </c>
      <c r="E23" s="82">
        <v>0.5</v>
      </c>
      <c r="F23" s="82">
        <v>8.1999999999999993</v>
      </c>
      <c r="G23" s="179" t="s">
        <v>535</v>
      </c>
      <c r="H23" s="20" t="s">
        <v>530</v>
      </c>
      <c r="S23" s="86"/>
      <c r="T23" s="86"/>
    </row>
    <row r="24" spans="1:20" ht="13" x14ac:dyDescent="0.3">
      <c r="A24" s="306" t="s">
        <v>210</v>
      </c>
      <c r="B24" s="137">
        <v>0.44444444444444442</v>
      </c>
      <c r="C24" s="82">
        <v>1.41</v>
      </c>
      <c r="D24" s="82">
        <v>13.5</v>
      </c>
      <c r="E24" s="82">
        <v>2.2999999999999998</v>
      </c>
      <c r="F24" s="82">
        <v>8.31</v>
      </c>
      <c r="G24" s="179" t="s">
        <v>536</v>
      </c>
      <c r="H24" s="20" t="s">
        <v>562</v>
      </c>
      <c r="S24" s="86"/>
      <c r="T24" s="86"/>
    </row>
    <row r="25" spans="1:20" x14ac:dyDescent="0.25">
      <c r="A25" s="125" t="s">
        <v>11</v>
      </c>
      <c r="B25" s="193" t="s">
        <v>557</v>
      </c>
      <c r="C25" s="126"/>
      <c r="D25" s="126"/>
      <c r="E25" s="126"/>
      <c r="F25" s="126"/>
      <c r="G25" s="126"/>
      <c r="S25" s="86"/>
      <c r="T25" s="86"/>
    </row>
    <row r="26" spans="1:20" x14ac:dyDescent="0.25">
      <c r="A26" s="138"/>
      <c r="B26" s="20" t="s">
        <v>558</v>
      </c>
      <c r="D26" s="322"/>
      <c r="E26" s="322"/>
      <c r="F26" s="322"/>
      <c r="G26" s="322"/>
      <c r="S26" s="86"/>
      <c r="T26" s="86"/>
    </row>
    <row r="27" spans="1:20" x14ac:dyDescent="0.25">
      <c r="A27" s="138"/>
      <c r="B27" s="322"/>
      <c r="C27" s="322"/>
      <c r="D27" s="322"/>
      <c r="E27" s="322"/>
      <c r="F27" s="322"/>
      <c r="G27" s="322"/>
      <c r="S27" s="86"/>
      <c r="T27" s="86"/>
    </row>
    <row r="28" spans="1:20" ht="24" x14ac:dyDescent="0.35">
      <c r="A28" s="951" t="s">
        <v>127</v>
      </c>
      <c r="B28" s="951"/>
      <c r="C28" s="290"/>
      <c r="D28" s="951" t="s">
        <v>130</v>
      </c>
      <c r="E28" s="951"/>
      <c r="F28" s="131"/>
      <c r="G28" s="947" t="s">
        <v>31</v>
      </c>
      <c r="H28" s="947"/>
      <c r="J28" s="135" t="s">
        <v>187</v>
      </c>
      <c r="K28" s="135" t="s">
        <v>188</v>
      </c>
      <c r="L28" s="136" t="s">
        <v>189</v>
      </c>
      <c r="M28" s="135" t="s">
        <v>190</v>
      </c>
      <c r="N28" s="136" t="s">
        <v>191</v>
      </c>
      <c r="S28" s="86"/>
      <c r="T28" s="86"/>
    </row>
    <row r="29" spans="1:20" ht="15.5" x14ac:dyDescent="0.35">
      <c r="A29" s="154" t="s">
        <v>170</v>
      </c>
      <c r="B29" s="291">
        <v>0.39166666666666666</v>
      </c>
      <c r="C29" s="292">
        <v>0.92</v>
      </c>
      <c r="D29" s="154" t="s">
        <v>170</v>
      </c>
      <c r="E29" s="293">
        <v>0.40625</v>
      </c>
      <c r="F29" s="323">
        <v>3.7</v>
      </c>
      <c r="G29" s="154" t="s">
        <v>170</v>
      </c>
      <c r="H29" s="293">
        <v>0.4236111111111111</v>
      </c>
      <c r="J29" s="132">
        <v>2</v>
      </c>
      <c r="K29" s="132">
        <v>0.05</v>
      </c>
      <c r="L29" s="132">
        <v>0.6</v>
      </c>
      <c r="M29" s="132">
        <f>K29*50</f>
        <v>2.5</v>
      </c>
      <c r="N29" s="133">
        <f>L29*M29</f>
        <v>1.5</v>
      </c>
      <c r="S29" s="86"/>
      <c r="T29" s="86"/>
    </row>
    <row r="30" spans="1:20" ht="16" thickBot="1" x14ac:dyDescent="0.4">
      <c r="A30" s="154" t="s">
        <v>185</v>
      </c>
      <c r="B30" s="290">
        <v>10.5</v>
      </c>
      <c r="C30" s="294"/>
      <c r="D30" s="154" t="s">
        <v>185</v>
      </c>
      <c r="E30" s="304">
        <v>18</v>
      </c>
      <c r="F30" s="295"/>
      <c r="G30" s="154" t="s">
        <v>185</v>
      </c>
      <c r="H30" s="303">
        <v>50</v>
      </c>
      <c r="J30" s="132">
        <v>4</v>
      </c>
      <c r="K30" s="132">
        <v>0.55000000000000004</v>
      </c>
      <c r="L30" s="132">
        <v>0.4</v>
      </c>
      <c r="M30" s="132">
        <f>K30*2</f>
        <v>1.1000000000000001</v>
      </c>
      <c r="N30" s="133">
        <f>L30*M30</f>
        <v>0.44000000000000006</v>
      </c>
      <c r="S30" s="86"/>
      <c r="T30" s="86"/>
    </row>
    <row r="31" spans="1:20" ht="16" thickBot="1" x14ac:dyDescent="0.4">
      <c r="A31" s="156" t="s">
        <v>186</v>
      </c>
      <c r="B31" s="950" t="s">
        <v>560</v>
      </c>
      <c r="C31" s="950"/>
      <c r="D31" s="155" t="s">
        <v>186</v>
      </c>
      <c r="E31" s="952" t="s">
        <v>561</v>
      </c>
      <c r="F31" s="952"/>
      <c r="G31" s="155" t="s">
        <v>186</v>
      </c>
      <c r="H31" s="157" t="s">
        <v>559</v>
      </c>
      <c r="J31" s="132">
        <v>6</v>
      </c>
      <c r="K31" s="132">
        <v>0.55000000000000004</v>
      </c>
      <c r="L31" s="132">
        <v>0.4</v>
      </c>
      <c r="M31" s="132">
        <f>K31*2</f>
        <v>1.1000000000000001</v>
      </c>
      <c r="N31" s="133">
        <f t="shared" ref="N31:N38" si="0">L31*M31</f>
        <v>0.44000000000000006</v>
      </c>
    </row>
    <row r="32" spans="1:20" ht="35.5" x14ac:dyDescent="0.35">
      <c r="A32" s="151" t="s">
        <v>187</v>
      </c>
      <c r="B32" s="151" t="s">
        <v>188</v>
      </c>
      <c r="C32" s="153" t="s">
        <v>189</v>
      </c>
      <c r="D32" s="151" t="s">
        <v>187</v>
      </c>
      <c r="E32" s="151" t="s">
        <v>188</v>
      </c>
      <c r="F32" s="153" t="s">
        <v>189</v>
      </c>
      <c r="G32" s="151" t="s">
        <v>188</v>
      </c>
      <c r="H32" s="153" t="s">
        <v>189</v>
      </c>
      <c r="J32" s="132">
        <v>8</v>
      </c>
      <c r="K32" s="132">
        <v>0.52</v>
      </c>
      <c r="L32" s="132">
        <v>0.4</v>
      </c>
      <c r="M32" s="132">
        <f>K32*2</f>
        <v>1.04</v>
      </c>
      <c r="N32" s="133">
        <f t="shared" si="0"/>
        <v>0.41600000000000004</v>
      </c>
    </row>
    <row r="33" spans="1:14" ht="15.5" x14ac:dyDescent="0.35">
      <c r="A33" s="152">
        <v>2</v>
      </c>
      <c r="B33" s="132">
        <v>0.45</v>
      </c>
      <c r="C33" s="132">
        <v>0.2</v>
      </c>
      <c r="D33" s="152">
        <v>2</v>
      </c>
      <c r="E33" s="132">
        <v>0.4</v>
      </c>
      <c r="F33" s="132">
        <v>0.4</v>
      </c>
      <c r="G33" s="947" t="s">
        <v>31</v>
      </c>
      <c r="H33" s="947"/>
      <c r="J33" s="132">
        <v>10</v>
      </c>
      <c r="K33" s="132">
        <v>0.55000000000000004</v>
      </c>
      <c r="L33" s="132">
        <v>0.8</v>
      </c>
      <c r="M33" s="132">
        <f t="shared" ref="M33:M38" si="1">K33*2</f>
        <v>1.1000000000000001</v>
      </c>
      <c r="N33" s="133">
        <f t="shared" si="0"/>
        <v>0.88000000000000012</v>
      </c>
    </row>
    <row r="34" spans="1:14" ht="15.5" x14ac:dyDescent="0.35">
      <c r="A34" s="152">
        <v>4</v>
      </c>
      <c r="B34" s="132">
        <v>0.5</v>
      </c>
      <c r="C34" s="132">
        <v>0.2</v>
      </c>
      <c r="D34" s="152">
        <v>4</v>
      </c>
      <c r="E34" s="132">
        <v>0.55000000000000004</v>
      </c>
      <c r="F34" s="132">
        <v>0.4</v>
      </c>
      <c r="G34" s="132">
        <v>0.05</v>
      </c>
      <c r="H34" s="133">
        <v>0.6</v>
      </c>
      <c r="I34" s="444">
        <v>1.5</v>
      </c>
      <c r="J34" s="132">
        <v>12</v>
      </c>
      <c r="K34" s="134">
        <v>0.32</v>
      </c>
      <c r="L34" s="132">
        <v>0.4</v>
      </c>
      <c r="M34" s="132">
        <f t="shared" si="1"/>
        <v>0.64</v>
      </c>
      <c r="N34" s="133">
        <f t="shared" si="0"/>
        <v>0.25600000000000001</v>
      </c>
    </row>
    <row r="35" spans="1:14" ht="15.5" x14ac:dyDescent="0.35">
      <c r="A35" s="152">
        <v>6</v>
      </c>
      <c r="B35" s="132">
        <v>0.42</v>
      </c>
      <c r="C35" s="132">
        <v>1.5</v>
      </c>
      <c r="D35" s="331">
        <v>6</v>
      </c>
      <c r="E35" s="132">
        <v>0.55000000000000004</v>
      </c>
      <c r="F35" s="132">
        <v>0.4</v>
      </c>
      <c r="G35" s="948" t="s">
        <v>196</v>
      </c>
      <c r="H35" s="949"/>
      <c r="I35" s="158"/>
      <c r="J35" s="132">
        <v>14</v>
      </c>
      <c r="K35" s="134">
        <v>0.45</v>
      </c>
      <c r="L35" s="134">
        <v>0.6</v>
      </c>
      <c r="M35" s="132">
        <f t="shared" si="1"/>
        <v>0.9</v>
      </c>
      <c r="N35" s="133">
        <f t="shared" si="0"/>
        <v>0.54</v>
      </c>
    </row>
    <row r="36" spans="1:14" ht="15.5" x14ac:dyDescent="0.35">
      <c r="A36" s="152">
        <v>8</v>
      </c>
      <c r="B36" s="132">
        <v>0.5</v>
      </c>
      <c r="C36" s="132">
        <v>2.1</v>
      </c>
      <c r="D36" s="152">
        <v>8</v>
      </c>
      <c r="E36" s="132">
        <v>0.52</v>
      </c>
      <c r="F36" s="132">
        <v>0.4</v>
      </c>
      <c r="G36" s="132" t="s">
        <v>431</v>
      </c>
      <c r="H36" s="133">
        <v>0.3</v>
      </c>
      <c r="I36" s="444">
        <v>0.24</v>
      </c>
      <c r="J36" s="132">
        <v>16</v>
      </c>
      <c r="K36" s="134">
        <v>0.38</v>
      </c>
      <c r="L36" s="134">
        <v>0.1</v>
      </c>
      <c r="M36" s="132">
        <f>K36*3</f>
        <v>1.1400000000000001</v>
      </c>
      <c r="N36" s="133">
        <f t="shared" si="0"/>
        <v>0.11400000000000002</v>
      </c>
    </row>
    <row r="37" spans="1:14" ht="15.5" x14ac:dyDescent="0.35">
      <c r="A37" s="152">
        <v>12</v>
      </c>
      <c r="B37" s="132">
        <v>0.28000000000000003</v>
      </c>
      <c r="C37" s="132">
        <v>1.1000000000000001</v>
      </c>
      <c r="D37" s="152">
        <v>10</v>
      </c>
      <c r="E37" s="132">
        <v>0.55000000000000004</v>
      </c>
      <c r="F37" s="132">
        <v>0.8</v>
      </c>
      <c r="G37" s="132" t="s">
        <v>197</v>
      </c>
      <c r="H37" s="133"/>
      <c r="I37" s="158"/>
      <c r="J37" s="132">
        <v>18</v>
      </c>
      <c r="K37" s="82"/>
      <c r="L37" s="194"/>
      <c r="M37" s="132">
        <f t="shared" si="1"/>
        <v>0</v>
      </c>
      <c r="N37" s="133">
        <f t="shared" si="0"/>
        <v>0</v>
      </c>
    </row>
    <row r="38" spans="1:14" ht="15.5" x14ac:dyDescent="0.35">
      <c r="A38" s="123"/>
      <c r="B38" s="132"/>
      <c r="C38" s="132"/>
      <c r="D38" s="152">
        <v>12</v>
      </c>
      <c r="E38" s="134">
        <v>0.32</v>
      </c>
      <c r="F38" s="132">
        <v>0.4</v>
      </c>
      <c r="G38" s="132" t="s">
        <v>563</v>
      </c>
      <c r="H38" s="133">
        <v>0.4</v>
      </c>
      <c r="I38" s="445">
        <v>0.28999999999999998</v>
      </c>
      <c r="J38" s="132">
        <v>20</v>
      </c>
      <c r="K38" s="132"/>
      <c r="L38" s="132"/>
      <c r="M38" s="132">
        <f t="shared" si="1"/>
        <v>0</v>
      </c>
      <c r="N38" s="133">
        <f t="shared" si="0"/>
        <v>0</v>
      </c>
    </row>
    <row r="39" spans="1:14" ht="15.5" x14ac:dyDescent="0.35">
      <c r="C39" s="443">
        <v>4.4000000000000004</v>
      </c>
      <c r="D39" s="152">
        <v>14</v>
      </c>
      <c r="E39" s="134">
        <v>0.45</v>
      </c>
      <c r="F39" s="134">
        <v>0.6</v>
      </c>
      <c r="N39" s="6">
        <f>SUM(N29:N38)</f>
        <v>4.5860000000000003</v>
      </c>
    </row>
    <row r="40" spans="1:14" ht="15.5" x14ac:dyDescent="0.35">
      <c r="A40" s="319"/>
      <c r="D40" s="152">
        <v>16</v>
      </c>
      <c r="E40" s="134">
        <v>0.38</v>
      </c>
      <c r="F40" s="134">
        <v>0.1</v>
      </c>
    </row>
    <row r="41" spans="1:14" ht="15.5" x14ac:dyDescent="0.35">
      <c r="A41" s="319"/>
      <c r="D41" s="152">
        <v>18</v>
      </c>
      <c r="E41" s="82"/>
      <c r="F41" s="194"/>
    </row>
    <row r="42" spans="1:14" ht="15.5" x14ac:dyDescent="0.35">
      <c r="F42" s="366">
        <v>3.57</v>
      </c>
    </row>
    <row r="43" spans="1:14" ht="14" x14ac:dyDescent="0.3">
      <c r="A43" s="129" t="s">
        <v>211</v>
      </c>
      <c r="C43" s="11" t="s">
        <v>212</v>
      </c>
      <c r="D43" s="148">
        <v>40630</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v>0.51736111111111105</v>
      </c>
      <c r="C45" s="225">
        <v>0.57699999999999996</v>
      </c>
      <c r="D45" s="225">
        <v>10.5</v>
      </c>
      <c r="E45" s="465">
        <v>8.3000000000000007</v>
      </c>
      <c r="F45" s="225">
        <v>8.26</v>
      </c>
      <c r="G45" s="128">
        <v>1.2</v>
      </c>
      <c r="H45" s="82">
        <v>7.95</v>
      </c>
    </row>
    <row r="46" spans="1:14" ht="14" x14ac:dyDescent="0.3">
      <c r="A46" s="121" t="s">
        <v>175</v>
      </c>
      <c r="B46" s="82"/>
      <c r="C46" s="225">
        <v>0.57599999999999996</v>
      </c>
      <c r="D46" s="225">
        <v>10.97</v>
      </c>
      <c r="E46" s="465">
        <v>7.5</v>
      </c>
      <c r="F46" s="225">
        <v>8.09</v>
      </c>
      <c r="G46" s="89"/>
    </row>
    <row r="47" spans="1:14" ht="14" x14ac:dyDescent="0.3">
      <c r="A47" s="121" t="s">
        <v>507</v>
      </c>
      <c r="B47" s="82"/>
      <c r="C47" s="225">
        <v>0.57799999999999996</v>
      </c>
      <c r="D47" s="225">
        <v>10.7</v>
      </c>
      <c r="E47" s="465">
        <v>7.4</v>
      </c>
      <c r="F47" s="225">
        <v>8.08</v>
      </c>
      <c r="G47" s="89"/>
      <c r="H47" s="176" t="s">
        <v>521</v>
      </c>
      <c r="I47" s="442">
        <f>AVERAGE(E45:E48)</f>
        <v>7.65</v>
      </c>
    </row>
    <row r="48" spans="1:14" ht="14" x14ac:dyDescent="0.3">
      <c r="A48" s="121" t="s">
        <v>176</v>
      </c>
      <c r="B48" s="82"/>
      <c r="C48" s="225">
        <v>0.57799999999999996</v>
      </c>
      <c r="D48" s="225">
        <v>10.95</v>
      </c>
      <c r="E48" s="465">
        <v>7.4</v>
      </c>
      <c r="F48" s="225">
        <v>8.09</v>
      </c>
      <c r="G48" s="89"/>
      <c r="H48" s="20" t="s">
        <v>522</v>
      </c>
      <c r="I48" s="442">
        <f>AVERAGE(E45:E54)</f>
        <v>7.4099999999999993</v>
      </c>
    </row>
    <row r="49" spans="1:10" ht="14" x14ac:dyDescent="0.3">
      <c r="A49" s="121" t="s">
        <v>508</v>
      </c>
      <c r="B49" s="82"/>
      <c r="C49" s="225">
        <v>0.57699999999999996</v>
      </c>
      <c r="D49" s="225">
        <v>10.59</v>
      </c>
      <c r="E49" s="465">
        <v>7.3</v>
      </c>
      <c r="F49" s="225">
        <v>8.07</v>
      </c>
      <c r="G49" s="89"/>
      <c r="H49" s="168"/>
      <c r="I49" s="169"/>
    </row>
    <row r="50" spans="1:10" ht="14" x14ac:dyDescent="0.3">
      <c r="A50" s="121" t="s">
        <v>177</v>
      </c>
      <c r="B50" s="82"/>
      <c r="C50" s="225">
        <v>0.57799999999999996</v>
      </c>
      <c r="D50" s="225">
        <v>10.55</v>
      </c>
      <c r="E50" s="465">
        <v>7.3</v>
      </c>
      <c r="F50" s="225">
        <v>8.0299999999999994</v>
      </c>
      <c r="G50" s="89"/>
      <c r="H50" s="440" t="s">
        <v>523</v>
      </c>
      <c r="I50" s="333">
        <f>AVERAGE(D45:D53)</f>
        <v>10.667777777777779</v>
      </c>
    </row>
    <row r="51" spans="1:10" ht="14" x14ac:dyDescent="0.3">
      <c r="A51" s="121" t="s">
        <v>509</v>
      </c>
      <c r="B51" s="82"/>
      <c r="C51" s="225">
        <v>0.57799999999999996</v>
      </c>
      <c r="D51" s="225">
        <v>10.5</v>
      </c>
      <c r="E51" s="465">
        <v>7.2</v>
      </c>
      <c r="F51" s="225">
        <v>8.02</v>
      </c>
      <c r="G51" s="89"/>
      <c r="H51" s="440" t="s">
        <v>526</v>
      </c>
      <c r="I51" s="333">
        <f>AVERAGE(D45:D48)</f>
        <v>10.780000000000001</v>
      </c>
    </row>
    <row r="52" spans="1:10" ht="14" x14ac:dyDescent="0.3">
      <c r="A52" s="121" t="s">
        <v>178</v>
      </c>
      <c r="B52" s="82"/>
      <c r="C52" s="225">
        <v>0.57799999999999996</v>
      </c>
      <c r="D52" s="225">
        <v>10.65</v>
      </c>
      <c r="E52" s="465">
        <v>7.3</v>
      </c>
      <c r="F52" s="225">
        <v>8</v>
      </c>
      <c r="G52" s="89"/>
    </row>
    <row r="53" spans="1:10" ht="14" x14ac:dyDescent="0.3">
      <c r="A53" s="121" t="s">
        <v>179</v>
      </c>
      <c r="B53" s="82"/>
      <c r="C53" s="225">
        <v>0.57799999999999996</v>
      </c>
      <c r="D53" s="225">
        <v>10.6</v>
      </c>
      <c r="E53" s="465">
        <v>7.2</v>
      </c>
      <c r="F53" s="225">
        <v>7.95</v>
      </c>
      <c r="G53" s="89"/>
    </row>
    <row r="54" spans="1:10" ht="14" x14ac:dyDescent="0.3">
      <c r="A54" s="121" t="s">
        <v>180</v>
      </c>
      <c r="B54" s="82"/>
      <c r="C54" s="225">
        <v>0.57799999999999996</v>
      </c>
      <c r="D54" s="225">
        <v>10.7</v>
      </c>
      <c r="E54" s="465">
        <v>7.2</v>
      </c>
      <c r="F54" s="225">
        <v>7.94</v>
      </c>
      <c r="G54" s="89"/>
    </row>
    <row r="55" spans="1:10" ht="14" x14ac:dyDescent="0.3">
      <c r="A55" s="121" t="s">
        <v>181</v>
      </c>
      <c r="B55" s="137"/>
      <c r="C55" s="225">
        <v>0.57799999999999996</v>
      </c>
      <c r="D55" s="225">
        <v>10.67</v>
      </c>
      <c r="E55" s="465">
        <v>7.2</v>
      </c>
      <c r="F55" s="225">
        <v>7.94</v>
      </c>
      <c r="G55" s="89"/>
    </row>
    <row r="56" spans="1:10" ht="14" x14ac:dyDescent="0.3">
      <c r="A56" s="121" t="s">
        <v>182</v>
      </c>
      <c r="B56" s="137"/>
      <c r="C56" s="225">
        <v>0.57799999999999996</v>
      </c>
      <c r="D56" s="225">
        <v>10.7</v>
      </c>
      <c r="E56" s="465">
        <v>7.2</v>
      </c>
      <c r="F56" s="225">
        <v>7.93</v>
      </c>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v>0.52638888888888891</v>
      </c>
      <c r="C59" s="465">
        <v>0.57699999999999996</v>
      </c>
      <c r="D59" s="465">
        <v>10.82</v>
      </c>
      <c r="E59" s="225">
        <v>8.4</v>
      </c>
      <c r="F59" s="465">
        <v>7.94</v>
      </c>
      <c r="G59" s="128">
        <v>1.22</v>
      </c>
      <c r="H59" s="82">
        <v>5.15</v>
      </c>
    </row>
    <row r="60" spans="1:10" ht="14" x14ac:dyDescent="0.3">
      <c r="A60" s="121" t="s">
        <v>175</v>
      </c>
      <c r="B60" s="82"/>
      <c r="C60" s="465">
        <v>0.57699999999999996</v>
      </c>
      <c r="D60" s="465">
        <v>10.92</v>
      </c>
      <c r="E60" s="225">
        <v>8</v>
      </c>
      <c r="F60" s="465">
        <v>7.9</v>
      </c>
      <c r="G60" s="89"/>
    </row>
    <row r="61" spans="1:10" ht="14" x14ac:dyDescent="0.3">
      <c r="A61" s="121" t="s">
        <v>507</v>
      </c>
      <c r="B61" s="82"/>
      <c r="C61" s="465">
        <v>0.57699999999999996</v>
      </c>
      <c r="D61" s="465">
        <v>11.2</v>
      </c>
      <c r="E61" s="225">
        <v>7.4</v>
      </c>
      <c r="F61" s="465">
        <v>7.95</v>
      </c>
      <c r="G61" s="89"/>
      <c r="H61" s="176" t="s">
        <v>521</v>
      </c>
      <c r="I61" s="442">
        <f>AVERAGE(E59:E62)</f>
        <v>7.7999999999999989</v>
      </c>
    </row>
    <row r="62" spans="1:10" ht="14" x14ac:dyDescent="0.3">
      <c r="A62" s="121" t="s">
        <v>176</v>
      </c>
      <c r="B62" s="82"/>
      <c r="C62" s="465">
        <v>0.57699999999999996</v>
      </c>
      <c r="D62" s="465">
        <v>11.05</v>
      </c>
      <c r="E62" s="225">
        <v>7.4</v>
      </c>
      <c r="F62" s="465">
        <v>7.99</v>
      </c>
      <c r="G62" s="89"/>
      <c r="H62" s="20" t="s">
        <v>522</v>
      </c>
      <c r="I62" s="442">
        <f>AVERAGE(E59:E70)</f>
        <v>7.5111111111111093</v>
      </c>
    </row>
    <row r="63" spans="1:10" ht="14" x14ac:dyDescent="0.3">
      <c r="A63" s="121" t="s">
        <v>508</v>
      </c>
      <c r="B63" s="82"/>
      <c r="C63" s="465">
        <v>0.57699999999999996</v>
      </c>
      <c r="D63" s="465">
        <v>11.09</v>
      </c>
      <c r="E63" s="225">
        <v>7.3</v>
      </c>
      <c r="F63" s="465">
        <v>7.98</v>
      </c>
      <c r="G63" s="89"/>
      <c r="H63" s="168"/>
      <c r="I63" s="169"/>
    </row>
    <row r="64" spans="1:10" ht="14" x14ac:dyDescent="0.3">
      <c r="A64" s="121" t="s">
        <v>177</v>
      </c>
      <c r="B64" s="82"/>
      <c r="C64" s="465">
        <v>0.57699999999999996</v>
      </c>
      <c r="D64" s="465">
        <v>11.05</v>
      </c>
      <c r="E64" s="225">
        <v>7.3</v>
      </c>
      <c r="F64" s="465">
        <v>8.01</v>
      </c>
      <c r="G64" s="89"/>
      <c r="H64" s="440" t="s">
        <v>523</v>
      </c>
      <c r="I64" s="333">
        <f>AVERAGE(D59:D70)</f>
        <v>10.978888888888887</v>
      </c>
    </row>
    <row r="65" spans="1:9" ht="14" x14ac:dyDescent="0.3">
      <c r="A65" s="121" t="s">
        <v>509</v>
      </c>
      <c r="B65" s="82"/>
      <c r="C65" s="465">
        <v>0.57699999999999996</v>
      </c>
      <c r="D65" s="465">
        <v>11.1</v>
      </c>
      <c r="E65" s="225">
        <v>7.3</v>
      </c>
      <c r="F65" s="465">
        <v>7.94</v>
      </c>
      <c r="G65" s="89"/>
      <c r="H65" s="440" t="s">
        <v>526</v>
      </c>
      <c r="I65" s="333">
        <f>AVERAGE(D59:D62)</f>
        <v>10.997499999999999</v>
      </c>
    </row>
    <row r="66" spans="1:9" ht="14" x14ac:dyDescent="0.3">
      <c r="A66" s="121" t="s">
        <v>178</v>
      </c>
      <c r="B66" s="82"/>
      <c r="C66" s="465">
        <v>0.57699999999999996</v>
      </c>
      <c r="D66" s="465">
        <v>11.02</v>
      </c>
      <c r="E66" s="225">
        <v>7.3</v>
      </c>
      <c r="F66" s="465">
        <v>7.98</v>
      </c>
      <c r="G66" s="89"/>
    </row>
    <row r="67" spans="1:9" ht="14" x14ac:dyDescent="0.3">
      <c r="A67" s="121" t="s">
        <v>179</v>
      </c>
      <c r="B67" s="82"/>
      <c r="C67" s="465">
        <v>0.57899999999999996</v>
      </c>
      <c r="D67" s="465">
        <v>10.56</v>
      </c>
      <c r="E67" s="225">
        <v>7.2</v>
      </c>
      <c r="F67" s="465">
        <v>7.96</v>
      </c>
      <c r="G67" s="89"/>
    </row>
    <row r="68" spans="1:9" ht="14" x14ac:dyDescent="0.3">
      <c r="A68" s="306" t="s">
        <v>180</v>
      </c>
      <c r="B68" s="137"/>
      <c r="C68" s="465"/>
      <c r="D68" s="465"/>
      <c r="E68" s="225"/>
      <c r="F68" s="465"/>
      <c r="G68" s="89"/>
    </row>
    <row r="69" spans="1:9" ht="14" x14ac:dyDescent="0.3">
      <c r="A69" s="306" t="s">
        <v>181</v>
      </c>
      <c r="B69" s="137"/>
      <c r="C69" s="465"/>
      <c r="D69" s="465"/>
      <c r="E69" s="225"/>
      <c r="F69" s="465"/>
      <c r="G69" s="89"/>
    </row>
    <row r="70" spans="1:9" ht="14" x14ac:dyDescent="0.3">
      <c r="A70" s="306" t="s">
        <v>182</v>
      </c>
      <c r="B70" s="137"/>
      <c r="C70" s="465"/>
      <c r="D70" s="465"/>
      <c r="E70" s="225"/>
      <c r="F70" s="465"/>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v>0.53333333333333333</v>
      </c>
      <c r="C73" s="465">
        <v>0.57799999999999996</v>
      </c>
      <c r="D73" s="465">
        <v>11.06</v>
      </c>
      <c r="E73" s="465">
        <v>8.3000000000000007</v>
      </c>
      <c r="F73" s="465">
        <v>8.1</v>
      </c>
      <c r="G73" s="128">
        <v>1.18</v>
      </c>
      <c r="H73" s="82">
        <v>3.38</v>
      </c>
    </row>
    <row r="74" spans="1:9" ht="13" x14ac:dyDescent="0.3">
      <c r="A74" s="121" t="s">
        <v>175</v>
      </c>
      <c r="B74" s="82"/>
      <c r="C74" s="465">
        <v>0.57799999999999996</v>
      </c>
      <c r="D74" s="465">
        <v>11.1</v>
      </c>
      <c r="E74" s="465">
        <v>8.3000000000000007</v>
      </c>
      <c r="F74" s="465">
        <v>8.06</v>
      </c>
      <c r="G74" s="89"/>
    </row>
    <row r="75" spans="1:9" ht="13" x14ac:dyDescent="0.3">
      <c r="A75" s="121" t="s">
        <v>507</v>
      </c>
      <c r="B75" s="82"/>
      <c r="C75" s="465">
        <v>0.57899999999999996</v>
      </c>
      <c r="D75" s="465">
        <v>11.02</v>
      </c>
      <c r="E75" s="465">
        <v>8.3000000000000007</v>
      </c>
      <c r="F75" s="465">
        <v>8.0299999999999994</v>
      </c>
      <c r="G75" s="89"/>
      <c r="H75" s="176" t="s">
        <v>521</v>
      </c>
      <c r="I75" s="442">
        <f>AVERAGE(E72:E75)</f>
        <v>8.3000000000000007</v>
      </c>
    </row>
    <row r="76" spans="1:9" ht="13" x14ac:dyDescent="0.3">
      <c r="A76" s="121" t="s">
        <v>176</v>
      </c>
      <c r="B76" s="82"/>
      <c r="C76" s="465">
        <v>0.57899999999999996</v>
      </c>
      <c r="D76" s="465">
        <v>10.82</v>
      </c>
      <c r="E76" s="465">
        <v>8.3000000000000007</v>
      </c>
      <c r="F76" s="465">
        <v>8.0500000000000007</v>
      </c>
      <c r="G76" s="89"/>
      <c r="H76" s="20" t="s">
        <v>522</v>
      </c>
      <c r="I76" s="442">
        <f>AVERAGE(E72:E82)</f>
        <v>8.1857142857142868</v>
      </c>
    </row>
    <row r="77" spans="1:9" ht="13" x14ac:dyDescent="0.3">
      <c r="A77" s="121" t="s">
        <v>508</v>
      </c>
      <c r="B77" s="82"/>
      <c r="C77" s="465">
        <v>0.57999999999999996</v>
      </c>
      <c r="D77" s="465">
        <v>10.88</v>
      </c>
      <c r="E77" s="465">
        <v>8.3000000000000007</v>
      </c>
      <c r="F77" s="465">
        <v>7.98</v>
      </c>
      <c r="G77" s="89"/>
      <c r="H77" s="168"/>
      <c r="I77" s="169"/>
    </row>
    <row r="78" spans="1:9" ht="13" x14ac:dyDescent="0.3">
      <c r="A78" s="121" t="s">
        <v>177</v>
      </c>
      <c r="B78" s="82"/>
      <c r="C78" s="465">
        <v>0.58299999999999996</v>
      </c>
      <c r="D78" s="465">
        <v>10.95</v>
      </c>
      <c r="E78" s="465">
        <v>8.1</v>
      </c>
      <c r="F78" s="465">
        <v>8.0299999999999994</v>
      </c>
      <c r="G78" s="89"/>
      <c r="H78" s="440" t="s">
        <v>523</v>
      </c>
      <c r="I78" s="333">
        <f>AVERAGE(D72:D86)</f>
        <v>11.040000000000001</v>
      </c>
    </row>
    <row r="79" spans="1:9" ht="13" x14ac:dyDescent="0.3">
      <c r="A79" s="121" t="s">
        <v>509</v>
      </c>
      <c r="B79" s="82"/>
      <c r="C79" s="465">
        <v>0.59499999999999997</v>
      </c>
      <c r="D79" s="465">
        <v>11.21</v>
      </c>
      <c r="E79" s="465">
        <v>7.7</v>
      </c>
      <c r="F79" s="465">
        <v>7.98</v>
      </c>
      <c r="G79" s="89"/>
      <c r="H79" s="440" t="s">
        <v>526</v>
      </c>
      <c r="I79" s="333">
        <f>AVERAGE(D72:D75)</f>
        <v>11.06</v>
      </c>
    </row>
    <row r="80" spans="1:9" ht="13" x14ac:dyDescent="0.3">
      <c r="A80" s="121" t="s">
        <v>178</v>
      </c>
      <c r="B80" s="82"/>
      <c r="C80" s="465"/>
      <c r="D80" s="465"/>
      <c r="E80" s="465"/>
      <c r="F80" s="465"/>
      <c r="G80" s="89"/>
    </row>
    <row r="81" spans="1:9" ht="13" x14ac:dyDescent="0.3">
      <c r="A81" s="121" t="s">
        <v>179</v>
      </c>
      <c r="B81" s="82"/>
      <c r="C81" s="465"/>
      <c r="D81" s="465"/>
      <c r="E81" s="465"/>
      <c r="F81" s="465"/>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v>0.53819444444444442</v>
      </c>
      <c r="C84" s="465">
        <v>0.57799999999999996</v>
      </c>
      <c r="D84" s="310">
        <v>11.03</v>
      </c>
      <c r="E84" s="85">
        <v>8</v>
      </c>
      <c r="F84" s="310">
        <v>8.07</v>
      </c>
      <c r="G84" s="186">
        <v>1.22</v>
      </c>
      <c r="H84" s="82">
        <v>5.85</v>
      </c>
    </row>
    <row r="85" spans="1:9" ht="13" x14ac:dyDescent="0.3">
      <c r="A85" s="121" t="s">
        <v>175</v>
      </c>
      <c r="B85" s="82"/>
      <c r="C85" s="465">
        <v>0.57799999999999996</v>
      </c>
      <c r="D85" s="310">
        <v>11.12</v>
      </c>
      <c r="E85" s="85">
        <v>8</v>
      </c>
      <c r="F85" s="310">
        <v>8.07</v>
      </c>
      <c r="G85" s="89"/>
    </row>
    <row r="86" spans="1:9" ht="13" x14ac:dyDescent="0.3">
      <c r="A86" s="121" t="s">
        <v>507</v>
      </c>
      <c r="B86" s="82"/>
      <c r="C86" s="465">
        <v>0.57799999999999996</v>
      </c>
      <c r="D86" s="310">
        <v>11.21</v>
      </c>
      <c r="E86" s="85">
        <v>7.8</v>
      </c>
      <c r="F86" s="310">
        <v>8.0500000000000007</v>
      </c>
      <c r="G86" s="89"/>
      <c r="H86" s="176" t="s">
        <v>521</v>
      </c>
      <c r="I86" s="442">
        <f>AVERAGE(E84:E87)</f>
        <v>7.85</v>
      </c>
    </row>
    <row r="87" spans="1:9" ht="13" x14ac:dyDescent="0.3">
      <c r="A87" s="121" t="s">
        <v>176</v>
      </c>
      <c r="B87" s="82"/>
      <c r="C87" s="465">
        <v>0.57799999999999996</v>
      </c>
      <c r="D87" s="310">
        <v>11.31</v>
      </c>
      <c r="E87" s="85">
        <v>7.6</v>
      </c>
      <c r="F87" s="310">
        <v>8.02</v>
      </c>
      <c r="G87" s="89"/>
      <c r="H87" s="20" t="s">
        <v>522</v>
      </c>
      <c r="I87" s="442">
        <f>AVERAGE(E84:E94)</f>
        <v>7.45</v>
      </c>
    </row>
    <row r="88" spans="1:9" ht="13" x14ac:dyDescent="0.3">
      <c r="A88" s="121" t="s">
        <v>508</v>
      </c>
      <c r="B88" s="82"/>
      <c r="C88" s="465">
        <v>0.57799999999999996</v>
      </c>
      <c r="D88" s="310">
        <v>11.29</v>
      </c>
      <c r="E88" s="85">
        <v>7.5</v>
      </c>
      <c r="F88" s="310">
        <v>8.02</v>
      </c>
      <c r="G88" s="89"/>
      <c r="H88" s="168"/>
      <c r="I88" s="169"/>
    </row>
    <row r="89" spans="1:9" ht="13" x14ac:dyDescent="0.3">
      <c r="A89" s="121" t="s">
        <v>177</v>
      </c>
      <c r="B89" s="82"/>
      <c r="C89" s="465">
        <v>0.57799999999999996</v>
      </c>
      <c r="D89" s="310">
        <v>11.33</v>
      </c>
      <c r="E89" s="85">
        <v>7.3</v>
      </c>
      <c r="F89" s="310">
        <v>7.95</v>
      </c>
      <c r="G89" s="89"/>
      <c r="H89" s="440" t="s">
        <v>523</v>
      </c>
      <c r="I89" s="333">
        <f>AVERAGE(D84:D94)</f>
        <v>11.115</v>
      </c>
    </row>
    <row r="90" spans="1:9" ht="13" x14ac:dyDescent="0.3">
      <c r="A90" s="121" t="s">
        <v>509</v>
      </c>
      <c r="B90" s="82"/>
      <c r="C90" s="465">
        <v>0.57799999999999996</v>
      </c>
      <c r="D90" s="310">
        <v>11.18</v>
      </c>
      <c r="E90" s="85">
        <v>7.2</v>
      </c>
      <c r="F90" s="310">
        <v>7.98</v>
      </c>
      <c r="G90" s="89"/>
      <c r="H90" s="440" t="s">
        <v>526</v>
      </c>
      <c r="I90" s="333">
        <f>AVERAGE(D84:D87)</f>
        <v>11.1675</v>
      </c>
    </row>
    <row r="91" spans="1:9" ht="13" x14ac:dyDescent="0.3">
      <c r="A91" s="121" t="s">
        <v>178</v>
      </c>
      <c r="B91" s="82"/>
      <c r="C91" s="465">
        <v>0.57799999999999996</v>
      </c>
      <c r="D91" s="310">
        <v>10.96</v>
      </c>
      <c r="E91" s="85">
        <v>7.2</v>
      </c>
      <c r="F91" s="310">
        <v>7.99</v>
      </c>
      <c r="G91" s="89"/>
    </row>
    <row r="92" spans="1:9" ht="13" x14ac:dyDescent="0.3">
      <c r="A92" s="121" t="s">
        <v>179</v>
      </c>
      <c r="B92" s="82"/>
      <c r="C92" s="465">
        <v>0.57799999999999996</v>
      </c>
      <c r="D92" s="310">
        <v>11.06</v>
      </c>
      <c r="E92" s="85">
        <v>7</v>
      </c>
      <c r="F92" s="310">
        <v>7.95</v>
      </c>
      <c r="G92" s="89"/>
    </row>
    <row r="93" spans="1:9" ht="13" x14ac:dyDescent="0.3">
      <c r="A93" s="121" t="s">
        <v>180</v>
      </c>
      <c r="B93" s="82"/>
      <c r="C93" s="465">
        <v>0.57999999999999996</v>
      </c>
      <c r="D93" s="310">
        <v>10.66</v>
      </c>
      <c r="E93" s="85">
        <v>6.9</v>
      </c>
      <c r="F93" s="310">
        <v>7.91</v>
      </c>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3:H33"/>
    <mergeCell ref="G35:H35"/>
    <mergeCell ref="A28:B28"/>
    <mergeCell ref="D28:E28"/>
    <mergeCell ref="G28:H28"/>
    <mergeCell ref="B31:C31"/>
    <mergeCell ref="E31:F3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95"/>
  <sheetViews>
    <sheetView workbookViewId="0">
      <selection activeCell="G8" sqref="G8"/>
    </sheetView>
  </sheetViews>
  <sheetFormatPr defaultRowHeight="12.5" x14ac:dyDescent="0.25"/>
  <cols>
    <col min="1" max="1" width="14.453125" customWidth="1"/>
    <col min="2" max="2" width="11" customWidth="1"/>
    <col min="4" max="4" width="11.90625" customWidth="1"/>
    <col min="8" max="8" width="11.36328125" customWidth="1"/>
    <col min="9" max="9" width="14.90625" customWidth="1"/>
    <col min="10" max="10" width="16.36328125" customWidth="1"/>
    <col min="11" max="11" width="15.6328125" customWidth="1"/>
    <col min="20" max="20" width="16.36328125" bestFit="1" customWidth="1"/>
  </cols>
  <sheetData>
    <row r="1" spans="1:22" ht="14" x14ac:dyDescent="0.3">
      <c r="A1" s="129" t="s">
        <v>505</v>
      </c>
    </row>
    <row r="2" spans="1:22" ht="13" x14ac:dyDescent="0.3">
      <c r="A2" s="1" t="s">
        <v>168</v>
      </c>
      <c r="B2" s="148">
        <v>40658</v>
      </c>
      <c r="I2" s="1"/>
      <c r="J2" s="29"/>
      <c r="K2" s="160"/>
      <c r="L2" s="1"/>
      <c r="M2" s="1"/>
      <c r="N2" s="8"/>
      <c r="O2" s="159"/>
      <c r="T2" s="274" t="s">
        <v>246</v>
      </c>
      <c r="U2" s="462">
        <v>40658</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466">
        <v>1</v>
      </c>
    </row>
    <row r="4" spans="1:22" ht="13" x14ac:dyDescent="0.3">
      <c r="A4" s="91" t="s">
        <v>213</v>
      </c>
      <c r="B4" s="137">
        <v>0.40347222222222223</v>
      </c>
      <c r="C4" s="82">
        <v>1.27</v>
      </c>
      <c r="D4" s="82">
        <v>12.07</v>
      </c>
      <c r="E4" s="82">
        <v>6.8</v>
      </c>
      <c r="F4" s="82">
        <v>7.44</v>
      </c>
      <c r="G4" s="89"/>
      <c r="I4" s="168"/>
      <c r="J4" s="169"/>
      <c r="K4" s="163"/>
      <c r="L4" s="11"/>
      <c r="M4" s="165"/>
      <c r="N4" s="166"/>
      <c r="O4" s="170"/>
      <c r="T4" s="179" t="s">
        <v>247</v>
      </c>
      <c r="U4" s="467">
        <v>14</v>
      </c>
    </row>
    <row r="5" spans="1:22" ht="13" x14ac:dyDescent="0.3">
      <c r="A5" s="91" t="s">
        <v>214</v>
      </c>
      <c r="B5" s="137">
        <v>0.41388888888888892</v>
      </c>
      <c r="C5" s="82">
        <v>0.34899999999999998</v>
      </c>
      <c r="D5" s="82">
        <v>12.2</v>
      </c>
      <c r="E5" s="82">
        <v>6.3</v>
      </c>
      <c r="F5" s="82">
        <v>7.36</v>
      </c>
      <c r="G5" s="89"/>
      <c r="I5" s="168"/>
      <c r="J5" s="169"/>
      <c r="K5" s="172"/>
      <c r="L5" s="173"/>
      <c r="M5" s="174"/>
      <c r="N5" s="175"/>
      <c r="O5" s="170"/>
      <c r="T5" s="446" t="s">
        <v>537</v>
      </c>
      <c r="U5" s="467">
        <v>2</v>
      </c>
    </row>
    <row r="6" spans="1:22" ht="13" x14ac:dyDescent="0.3">
      <c r="A6" s="91" t="s">
        <v>215</v>
      </c>
      <c r="B6" s="137">
        <v>0.43055555555555558</v>
      </c>
      <c r="C6" s="82">
        <v>0.61399999999999999</v>
      </c>
      <c r="D6" s="82">
        <v>11.44</v>
      </c>
      <c r="E6" s="82">
        <v>10.6</v>
      </c>
      <c r="F6" s="82">
        <v>8.0299999999999994</v>
      </c>
      <c r="G6" s="89"/>
      <c r="I6" s="20"/>
      <c r="J6" s="162"/>
      <c r="K6" s="163"/>
      <c r="L6" s="28"/>
      <c r="M6" s="165"/>
      <c r="N6" s="166"/>
      <c r="O6" s="167"/>
      <c r="T6" s="446" t="s">
        <v>538</v>
      </c>
      <c r="U6" s="467">
        <v>1</v>
      </c>
    </row>
    <row r="7" spans="1:22" ht="14" x14ac:dyDescent="0.3">
      <c r="A7" s="91" t="s">
        <v>208</v>
      </c>
      <c r="B7" s="222" t="s">
        <v>539</v>
      </c>
      <c r="C7" s="223"/>
      <c r="D7" s="223"/>
      <c r="E7" s="223"/>
      <c r="F7" s="224"/>
      <c r="G7" s="188" t="s">
        <v>184</v>
      </c>
      <c r="H7" s="189" t="s">
        <v>195</v>
      </c>
      <c r="I7" s="168"/>
      <c r="J7" s="169"/>
      <c r="K7" s="163"/>
      <c r="L7" s="11"/>
      <c r="M7" s="165"/>
      <c r="N7" s="166"/>
      <c r="O7" s="170"/>
      <c r="T7" s="179" t="s">
        <v>249</v>
      </c>
      <c r="U7" s="467">
        <v>9</v>
      </c>
    </row>
    <row r="8" spans="1:22" ht="13" x14ac:dyDescent="0.3">
      <c r="A8" s="121" t="s">
        <v>506</v>
      </c>
      <c r="B8" s="201">
        <v>0.47291666666666665</v>
      </c>
      <c r="C8" s="82">
        <v>0.61699999999999999</v>
      </c>
      <c r="D8" s="82">
        <v>10.02</v>
      </c>
      <c r="E8" s="82">
        <v>11</v>
      </c>
      <c r="F8" s="82">
        <v>8.41</v>
      </c>
      <c r="G8" s="128">
        <v>1.1000000000000001</v>
      </c>
      <c r="H8" s="178">
        <v>10.55</v>
      </c>
      <c r="I8" s="168"/>
      <c r="J8" s="169"/>
      <c r="K8" s="172"/>
      <c r="L8" s="173"/>
      <c r="M8" s="174"/>
      <c r="N8" s="175"/>
      <c r="O8" s="170"/>
      <c r="T8" s="179" t="s">
        <v>250</v>
      </c>
      <c r="U8" s="467">
        <v>1</v>
      </c>
      <c r="V8" t="s">
        <v>271</v>
      </c>
    </row>
    <row r="9" spans="1:22" ht="13" x14ac:dyDescent="0.3">
      <c r="A9" s="121" t="s">
        <v>175</v>
      </c>
      <c r="B9" s="82"/>
      <c r="C9" s="82">
        <v>0.61799999999999999</v>
      </c>
      <c r="D9" s="82">
        <v>10.14</v>
      </c>
      <c r="E9" s="82">
        <v>10.9</v>
      </c>
      <c r="F9" s="82">
        <v>8.2899999999999991</v>
      </c>
      <c r="G9" s="89"/>
      <c r="K9" s="177"/>
      <c r="M9" s="174"/>
      <c r="N9" s="175"/>
      <c r="O9" s="167"/>
      <c r="T9" s="179" t="s">
        <v>251</v>
      </c>
      <c r="U9" s="208">
        <v>26</v>
      </c>
    </row>
    <row r="10" spans="1:22" ht="13" x14ac:dyDescent="0.3">
      <c r="A10" s="121" t="s">
        <v>507</v>
      </c>
      <c r="B10" s="82"/>
      <c r="C10" s="82">
        <v>0.61799999999999999</v>
      </c>
      <c r="D10" s="82">
        <v>10.3</v>
      </c>
      <c r="E10" s="82">
        <v>10.8</v>
      </c>
      <c r="F10" s="82">
        <v>8.24</v>
      </c>
      <c r="G10" s="89"/>
      <c r="H10" s="176" t="s">
        <v>521</v>
      </c>
      <c r="I10" s="442">
        <f>AVERAGE(E8:E11)</f>
        <v>10.875</v>
      </c>
      <c r="K10" s="163"/>
      <c r="L10" s="28"/>
      <c r="M10" s="165"/>
      <c r="N10" s="166"/>
      <c r="O10" s="167"/>
      <c r="T10" s="179" t="s">
        <v>576</v>
      </c>
      <c r="U10" s="467">
        <v>2</v>
      </c>
    </row>
    <row r="11" spans="1:22" ht="13" x14ac:dyDescent="0.3">
      <c r="A11" s="121" t="s">
        <v>176</v>
      </c>
      <c r="B11" s="82"/>
      <c r="C11" s="82">
        <v>0.61799999999999999</v>
      </c>
      <c r="D11" s="82">
        <v>10.24</v>
      </c>
      <c r="E11" s="82">
        <v>10.8</v>
      </c>
      <c r="F11" s="82">
        <v>8.24</v>
      </c>
      <c r="G11" s="89"/>
      <c r="H11" s="20" t="s">
        <v>549</v>
      </c>
      <c r="I11" s="442">
        <f>AVERAGE(E8:E19)</f>
        <v>10.791666666666666</v>
      </c>
      <c r="K11" s="163"/>
      <c r="L11" s="11"/>
      <c r="M11" s="165"/>
      <c r="N11" s="166"/>
      <c r="O11" s="170"/>
    </row>
    <row r="12" spans="1:22" ht="13" x14ac:dyDescent="0.3">
      <c r="A12" s="121" t="s">
        <v>508</v>
      </c>
      <c r="B12" s="82"/>
      <c r="C12" s="82">
        <v>0.61899999999999999</v>
      </c>
      <c r="D12" s="82">
        <v>10.26</v>
      </c>
      <c r="E12" s="82">
        <v>10.8</v>
      </c>
      <c r="F12" s="82">
        <v>8.24</v>
      </c>
      <c r="G12" s="89"/>
      <c r="H12" s="168"/>
      <c r="I12" s="169"/>
      <c r="K12" s="172"/>
      <c r="L12" s="173"/>
      <c r="M12" s="174"/>
      <c r="N12" s="175"/>
      <c r="O12" s="170"/>
      <c r="T12" s="345"/>
      <c r="U12" s="434"/>
    </row>
    <row r="13" spans="1:22" ht="13" x14ac:dyDescent="0.3">
      <c r="A13" s="121" t="s">
        <v>177</v>
      </c>
      <c r="B13" s="82"/>
      <c r="C13" s="82">
        <v>0.61899999999999999</v>
      </c>
      <c r="D13" s="82">
        <v>10.26</v>
      </c>
      <c r="E13" s="82">
        <v>10.8</v>
      </c>
      <c r="F13" s="82">
        <v>8.24</v>
      </c>
      <c r="G13" s="89"/>
      <c r="H13" s="440" t="s">
        <v>548</v>
      </c>
      <c r="I13" s="333">
        <f>AVERAGE(D8:D22)</f>
        <v>10.025333333333332</v>
      </c>
      <c r="K13" s="163"/>
      <c r="L13" s="28"/>
      <c r="M13" s="165"/>
      <c r="N13" s="166"/>
      <c r="O13" s="167"/>
      <c r="T13" s="89"/>
      <c r="U13" s="89"/>
    </row>
    <row r="14" spans="1:22" ht="13" x14ac:dyDescent="0.3">
      <c r="A14" s="121" t="s">
        <v>509</v>
      </c>
      <c r="B14" s="82"/>
      <c r="C14" s="82">
        <v>0.61899999999999999</v>
      </c>
      <c r="D14" s="82">
        <v>10.220000000000001</v>
      </c>
      <c r="E14" s="82">
        <v>10.8</v>
      </c>
      <c r="F14" s="82">
        <v>8.2200000000000006</v>
      </c>
      <c r="G14" s="89"/>
      <c r="H14" s="440" t="s">
        <v>526</v>
      </c>
      <c r="I14" s="333">
        <f>AVERAGE(D8:D11)</f>
        <v>10.175000000000001</v>
      </c>
      <c r="K14" s="163"/>
      <c r="L14" s="11"/>
      <c r="M14" s="165"/>
      <c r="N14" s="166"/>
      <c r="O14" s="170"/>
    </row>
    <row r="15" spans="1:22" ht="13" x14ac:dyDescent="0.3">
      <c r="A15" s="121" t="s">
        <v>178</v>
      </c>
      <c r="B15" s="82"/>
      <c r="C15" s="82">
        <v>0.61899999999999999</v>
      </c>
      <c r="D15" s="82">
        <v>10.16</v>
      </c>
      <c r="E15" s="82">
        <v>10.8</v>
      </c>
      <c r="F15" s="186">
        <v>8.23</v>
      </c>
      <c r="G15" s="89"/>
      <c r="K15" s="172"/>
      <c r="L15" s="173"/>
      <c r="M15" s="174"/>
      <c r="N15" s="175"/>
      <c r="O15" s="170"/>
    </row>
    <row r="16" spans="1:22" ht="13" x14ac:dyDescent="0.3">
      <c r="A16" s="121" t="s">
        <v>179</v>
      </c>
      <c r="B16" s="137"/>
      <c r="C16" s="82">
        <v>0.61899999999999999</v>
      </c>
      <c r="D16" s="82">
        <v>10.1</v>
      </c>
      <c r="E16" s="82">
        <v>10.7</v>
      </c>
      <c r="F16" s="82">
        <v>8.2200000000000006</v>
      </c>
      <c r="G16" s="89"/>
      <c r="H16" s="440" t="s">
        <v>547</v>
      </c>
      <c r="I16" s="333">
        <f>AVERAGE(F8:F22)</f>
        <v>8.222666666666667</v>
      </c>
      <c r="K16" s="163"/>
      <c r="L16" s="28"/>
      <c r="M16" s="165"/>
      <c r="N16" s="166"/>
      <c r="O16" s="167"/>
    </row>
    <row r="17" spans="1:20" ht="13" x14ac:dyDescent="0.3">
      <c r="A17" s="121" t="s">
        <v>180</v>
      </c>
      <c r="B17" s="137"/>
      <c r="C17" s="82">
        <v>0.61899999999999999</v>
      </c>
      <c r="D17" s="312">
        <v>10.130000000000001</v>
      </c>
      <c r="E17" s="82">
        <v>10.7</v>
      </c>
      <c r="F17" s="82">
        <v>8.26</v>
      </c>
      <c r="G17" s="89"/>
      <c r="H17" s="440" t="s">
        <v>546</v>
      </c>
      <c r="I17" s="441">
        <f>AVERAGE(C8:C22)</f>
        <v>0.62406666666666655</v>
      </c>
      <c r="J17" s="169"/>
      <c r="K17" s="163"/>
      <c r="L17" s="11"/>
      <c r="M17" s="165"/>
      <c r="N17" s="166"/>
      <c r="O17" s="170"/>
    </row>
    <row r="18" spans="1:20" ht="13" x14ac:dyDescent="0.3">
      <c r="A18" s="121" t="s">
        <v>181</v>
      </c>
      <c r="B18" s="82"/>
      <c r="C18" s="82">
        <v>0.621</v>
      </c>
      <c r="D18" s="312">
        <v>10.17</v>
      </c>
      <c r="E18" s="82">
        <v>10.7</v>
      </c>
      <c r="F18" s="82">
        <v>8.2200000000000006</v>
      </c>
      <c r="G18" s="89"/>
      <c r="I18" s="168"/>
      <c r="J18" s="169"/>
      <c r="K18" s="172"/>
      <c r="L18" s="173"/>
      <c r="M18" s="174"/>
      <c r="N18" s="175"/>
      <c r="O18" s="170"/>
    </row>
    <row r="19" spans="1:20" ht="13" x14ac:dyDescent="0.3">
      <c r="A19" s="121" t="s">
        <v>182</v>
      </c>
      <c r="B19" s="82"/>
      <c r="C19" s="82">
        <v>0.622</v>
      </c>
      <c r="D19" s="312">
        <v>9.76</v>
      </c>
      <c r="E19" s="82">
        <v>10.7</v>
      </c>
      <c r="F19" s="82">
        <v>8.18</v>
      </c>
      <c r="G19" s="89"/>
      <c r="I19" s="168"/>
      <c r="J19" s="169"/>
      <c r="K19" s="172"/>
      <c r="L19" s="173"/>
      <c r="M19" s="174"/>
      <c r="N19" s="175"/>
      <c r="S19" s="149"/>
    </row>
    <row r="20" spans="1:20" ht="13" x14ac:dyDescent="0.3">
      <c r="A20" s="121" t="s">
        <v>183</v>
      </c>
      <c r="B20" s="82"/>
      <c r="C20" s="82">
        <v>0.629</v>
      </c>
      <c r="D20" s="312">
        <v>9.57</v>
      </c>
      <c r="E20" s="82">
        <v>10.6</v>
      </c>
      <c r="F20" s="82">
        <v>8.15</v>
      </c>
      <c r="G20" s="89"/>
      <c r="I20" s="168"/>
      <c r="J20" s="169"/>
      <c r="K20" s="172"/>
      <c r="L20" s="173"/>
      <c r="M20" s="174"/>
      <c r="N20" s="175"/>
      <c r="S20" s="447"/>
      <c r="T20" s="447"/>
    </row>
    <row r="21" spans="1:20" ht="13" x14ac:dyDescent="0.3">
      <c r="A21" s="121" t="s">
        <v>206</v>
      </c>
      <c r="B21" s="82"/>
      <c r="C21" s="82">
        <v>0.64</v>
      </c>
      <c r="D21" s="312">
        <v>9.6199999999999992</v>
      </c>
      <c r="E21" s="82">
        <v>10.5</v>
      </c>
      <c r="F21" s="82">
        <v>8.15</v>
      </c>
      <c r="G21" s="89"/>
      <c r="I21" s="168"/>
      <c r="J21" s="169"/>
      <c r="K21" s="172"/>
      <c r="L21" s="173"/>
      <c r="M21" s="174"/>
      <c r="N21" s="175"/>
      <c r="S21" s="86"/>
      <c r="T21" s="86"/>
    </row>
    <row r="22" spans="1:20" ht="13" x14ac:dyDescent="0.3">
      <c r="A22" s="121" t="s">
        <v>207</v>
      </c>
      <c r="B22" s="82"/>
      <c r="C22" s="82">
        <v>0.66400000000000003</v>
      </c>
      <c r="D22" s="82">
        <v>9.43</v>
      </c>
      <c r="E22" s="82">
        <v>10.1</v>
      </c>
      <c r="F22" s="82">
        <v>8.0500000000000007</v>
      </c>
      <c r="G22" s="89"/>
      <c r="S22" s="86"/>
      <c r="T22" s="86"/>
    </row>
    <row r="23" spans="1:20" ht="13" x14ac:dyDescent="0.3">
      <c r="A23" s="121" t="s">
        <v>209</v>
      </c>
      <c r="B23" s="137">
        <v>0.44444444444444442</v>
      </c>
      <c r="C23" s="82">
        <v>0.47199999999999998</v>
      </c>
      <c r="D23" s="82">
        <v>10.44</v>
      </c>
      <c r="E23" s="82">
        <v>6.7</v>
      </c>
      <c r="F23" s="82">
        <v>8.0399999999999991</v>
      </c>
      <c r="G23" s="179" t="s">
        <v>571</v>
      </c>
      <c r="H23" s="20" t="s">
        <v>567</v>
      </c>
      <c r="S23" s="86"/>
      <c r="T23" s="86"/>
    </row>
    <row r="24" spans="1:20" ht="13" x14ac:dyDescent="0.3">
      <c r="A24" s="306" t="s">
        <v>210</v>
      </c>
      <c r="B24" s="137">
        <v>0.44930555555555557</v>
      </c>
      <c r="C24" s="82">
        <v>0.48</v>
      </c>
      <c r="D24" s="82">
        <v>12.09</v>
      </c>
      <c r="E24" s="82">
        <v>7</v>
      </c>
      <c r="F24" s="82">
        <v>8.16</v>
      </c>
      <c r="G24" s="179" t="s">
        <v>573</v>
      </c>
      <c r="H24" s="20" t="s">
        <v>568</v>
      </c>
      <c r="I24" t="s">
        <v>569</v>
      </c>
      <c r="S24" s="86"/>
      <c r="T24" s="86"/>
    </row>
    <row r="25" spans="1:20" x14ac:dyDescent="0.25">
      <c r="A25" s="125" t="s">
        <v>11</v>
      </c>
      <c r="B25" s="193" t="s">
        <v>566</v>
      </c>
      <c r="C25" s="126"/>
      <c r="D25" s="126"/>
      <c r="E25" s="126"/>
      <c r="F25" s="126"/>
      <c r="G25" s="126"/>
      <c r="S25" s="86"/>
      <c r="T25" s="86"/>
    </row>
    <row r="26" spans="1:20" x14ac:dyDescent="0.25">
      <c r="A26" s="138"/>
      <c r="B26" s="20" t="s">
        <v>558</v>
      </c>
      <c r="D26" s="322"/>
      <c r="E26" s="322"/>
      <c r="F26" s="322"/>
      <c r="G26" s="322"/>
      <c r="S26" s="86"/>
      <c r="T26" s="86"/>
    </row>
    <row r="27" spans="1:20" x14ac:dyDescent="0.25">
      <c r="A27" s="138"/>
      <c r="B27" s="322"/>
      <c r="C27" s="322"/>
      <c r="D27" s="322"/>
      <c r="E27" s="322"/>
      <c r="F27" s="322"/>
      <c r="G27" s="322"/>
      <c r="S27" s="86"/>
      <c r="T27" s="86"/>
    </row>
    <row r="28" spans="1:20" ht="24" x14ac:dyDescent="0.35">
      <c r="A28" s="951" t="s">
        <v>127</v>
      </c>
      <c r="B28" s="951"/>
      <c r="C28" s="290"/>
      <c r="D28" s="951" t="s">
        <v>130</v>
      </c>
      <c r="E28" s="951"/>
      <c r="F28" s="131"/>
      <c r="G28" s="947" t="s">
        <v>31</v>
      </c>
      <c r="H28" s="947"/>
      <c r="J28" s="135" t="s">
        <v>187</v>
      </c>
      <c r="K28" s="135" t="s">
        <v>188</v>
      </c>
      <c r="L28" s="136" t="s">
        <v>189</v>
      </c>
      <c r="M28" s="135" t="s">
        <v>190</v>
      </c>
      <c r="N28" s="136" t="s">
        <v>191</v>
      </c>
      <c r="S28" s="86"/>
      <c r="T28" s="86"/>
    </row>
    <row r="29" spans="1:20" ht="15.5" x14ac:dyDescent="0.35">
      <c r="A29" s="154" t="s">
        <v>170</v>
      </c>
      <c r="B29" s="291">
        <v>0.40347222222222223</v>
      </c>
      <c r="C29" s="292">
        <v>0.87</v>
      </c>
      <c r="D29" s="154" t="s">
        <v>170</v>
      </c>
      <c r="E29" s="293">
        <v>0.40625</v>
      </c>
      <c r="F29" s="323">
        <v>3.7</v>
      </c>
      <c r="G29" s="154" t="s">
        <v>170</v>
      </c>
      <c r="H29" s="293">
        <v>0.43055555555555558</v>
      </c>
      <c r="J29" s="132">
        <v>2</v>
      </c>
      <c r="K29" s="132">
        <v>0.55000000000000004</v>
      </c>
      <c r="L29" s="132">
        <v>2.2999999999999998</v>
      </c>
      <c r="M29" s="132">
        <f>K29*2</f>
        <v>1.1000000000000001</v>
      </c>
      <c r="N29" s="133">
        <f>L29*M29</f>
        <v>2.5299999999999998</v>
      </c>
      <c r="S29" s="86"/>
      <c r="T29" s="86"/>
    </row>
    <row r="30" spans="1:20" ht="16" thickBot="1" x14ac:dyDescent="0.4">
      <c r="A30" s="154" t="s">
        <v>185</v>
      </c>
      <c r="B30" s="290">
        <v>10</v>
      </c>
      <c r="C30" s="294"/>
      <c r="D30" s="154" t="s">
        <v>185</v>
      </c>
      <c r="E30" s="304">
        <v>17</v>
      </c>
      <c r="F30" s="295"/>
      <c r="G30" s="154" t="s">
        <v>185</v>
      </c>
      <c r="H30" s="303">
        <v>50</v>
      </c>
      <c r="J30" s="132">
        <v>4</v>
      </c>
      <c r="K30" s="132">
        <v>0.88</v>
      </c>
      <c r="L30" s="132">
        <v>0.6</v>
      </c>
      <c r="M30" s="132">
        <f>K30*2</f>
        <v>1.76</v>
      </c>
      <c r="N30" s="133">
        <f>L30*M30</f>
        <v>1.056</v>
      </c>
      <c r="S30" s="86"/>
      <c r="T30" s="86"/>
    </row>
    <row r="31" spans="1:20" ht="25.5" thickBot="1" x14ac:dyDescent="0.4">
      <c r="A31" s="156" t="s">
        <v>186</v>
      </c>
      <c r="B31" s="950" t="s">
        <v>565</v>
      </c>
      <c r="C31" s="950"/>
      <c r="D31" s="155" t="s">
        <v>186</v>
      </c>
      <c r="E31" s="952" t="s">
        <v>543</v>
      </c>
      <c r="F31" s="952"/>
      <c r="G31" s="155" t="s">
        <v>186</v>
      </c>
      <c r="H31" s="157" t="s">
        <v>565</v>
      </c>
      <c r="J31" s="132">
        <v>6</v>
      </c>
      <c r="K31" s="132">
        <v>0.68</v>
      </c>
      <c r="L31" s="132">
        <v>0.1</v>
      </c>
      <c r="M31" s="132">
        <f>K31*2</f>
        <v>1.36</v>
      </c>
      <c r="N31" s="133">
        <f t="shared" ref="N31:N38" si="0">L31*M31</f>
        <v>0.13600000000000001</v>
      </c>
    </row>
    <row r="32" spans="1:20" ht="24" x14ac:dyDescent="0.35">
      <c r="A32" s="151" t="s">
        <v>187</v>
      </c>
      <c r="B32" s="151" t="s">
        <v>188</v>
      </c>
      <c r="C32" s="153" t="s">
        <v>189</v>
      </c>
      <c r="D32" s="151" t="s">
        <v>187</v>
      </c>
      <c r="E32" s="151" t="s">
        <v>188</v>
      </c>
      <c r="F32" s="153" t="s">
        <v>189</v>
      </c>
      <c r="G32" s="151" t="s">
        <v>188</v>
      </c>
      <c r="H32" s="153" t="s">
        <v>189</v>
      </c>
      <c r="J32" s="132">
        <v>8</v>
      </c>
      <c r="K32" s="132">
        <v>0.48</v>
      </c>
      <c r="L32" s="132">
        <v>0.7</v>
      </c>
      <c r="M32" s="132">
        <f>K32*2</f>
        <v>0.96</v>
      </c>
      <c r="N32" s="133">
        <f t="shared" si="0"/>
        <v>0.67199999999999993</v>
      </c>
    </row>
    <row r="33" spans="1:14" ht="15.5" x14ac:dyDescent="0.35">
      <c r="A33" s="152">
        <v>2</v>
      </c>
      <c r="B33" s="132">
        <v>0.35</v>
      </c>
      <c r="C33" s="132">
        <v>0.7</v>
      </c>
      <c r="D33" s="152">
        <v>2</v>
      </c>
      <c r="E33" s="132">
        <v>0.25</v>
      </c>
      <c r="F33" s="132">
        <v>0.4</v>
      </c>
      <c r="G33" s="947" t="s">
        <v>31</v>
      </c>
      <c r="H33" s="947"/>
      <c r="J33" s="132">
        <v>10</v>
      </c>
      <c r="K33" s="132">
        <v>0.62</v>
      </c>
      <c r="L33" s="132">
        <v>0.5</v>
      </c>
      <c r="M33" s="132">
        <f t="shared" ref="M33:M38" si="1">K33*2</f>
        <v>1.24</v>
      </c>
      <c r="N33" s="133">
        <f t="shared" si="0"/>
        <v>0.62</v>
      </c>
    </row>
    <row r="34" spans="1:14" ht="15.5" x14ac:dyDescent="0.35">
      <c r="A34" s="152">
        <v>4</v>
      </c>
      <c r="B34" s="132">
        <v>0.38</v>
      </c>
      <c r="C34" s="132">
        <v>0.2</v>
      </c>
      <c r="D34" s="152">
        <v>4</v>
      </c>
      <c r="E34" s="132">
        <v>0.88</v>
      </c>
      <c r="F34" s="132">
        <v>0.6</v>
      </c>
      <c r="G34" s="132">
        <v>0.09</v>
      </c>
      <c r="H34" s="133">
        <v>0.9</v>
      </c>
      <c r="I34" s="444">
        <v>4.05</v>
      </c>
      <c r="J34" s="132">
        <v>12</v>
      </c>
      <c r="K34" s="134">
        <v>0.55000000000000004</v>
      </c>
      <c r="L34" s="132">
        <v>0.2</v>
      </c>
      <c r="M34" s="132">
        <f t="shared" si="1"/>
        <v>1.1000000000000001</v>
      </c>
      <c r="N34" s="133">
        <f t="shared" si="0"/>
        <v>0.22000000000000003</v>
      </c>
    </row>
    <row r="35" spans="1:14" ht="15.5" x14ac:dyDescent="0.35">
      <c r="A35" s="152">
        <v>6</v>
      </c>
      <c r="B35" s="132">
        <v>0.38</v>
      </c>
      <c r="C35" s="132">
        <v>0.5</v>
      </c>
      <c r="D35" s="331">
        <v>6</v>
      </c>
      <c r="E35" s="132">
        <v>0.68</v>
      </c>
      <c r="F35" s="132">
        <v>0.1</v>
      </c>
      <c r="G35" s="948" t="s">
        <v>196</v>
      </c>
      <c r="H35" s="949"/>
      <c r="I35" s="158"/>
      <c r="J35" s="132">
        <v>14</v>
      </c>
      <c r="K35" s="134">
        <v>0.4</v>
      </c>
      <c r="L35" s="134">
        <v>0.3</v>
      </c>
      <c r="M35" s="132">
        <f t="shared" si="1"/>
        <v>0.8</v>
      </c>
      <c r="N35" s="133">
        <f t="shared" si="0"/>
        <v>0.24</v>
      </c>
    </row>
    <row r="36" spans="1:14" ht="15.5" x14ac:dyDescent="0.35">
      <c r="A36" s="152">
        <v>8</v>
      </c>
      <c r="B36" s="132">
        <v>0.32</v>
      </c>
      <c r="C36" s="132">
        <v>1.6</v>
      </c>
      <c r="D36" s="152">
        <v>8</v>
      </c>
      <c r="E36" s="132">
        <v>0.48</v>
      </c>
      <c r="F36" s="132">
        <v>0.7</v>
      </c>
      <c r="G36" s="132" t="s">
        <v>570</v>
      </c>
      <c r="H36" s="133">
        <v>1.1000000000000001</v>
      </c>
      <c r="I36" s="444">
        <v>2.48</v>
      </c>
      <c r="J36" s="132">
        <v>16</v>
      </c>
      <c r="K36" s="134">
        <v>0.48</v>
      </c>
      <c r="L36" s="134">
        <v>0.4</v>
      </c>
      <c r="M36" s="132">
        <f>K36*2</f>
        <v>0.96</v>
      </c>
      <c r="N36" s="133">
        <f t="shared" si="0"/>
        <v>0.38400000000000001</v>
      </c>
    </row>
    <row r="37" spans="1:14" ht="15.5" x14ac:dyDescent="0.35">
      <c r="A37" s="152">
        <v>12</v>
      </c>
      <c r="B37" s="132"/>
      <c r="C37" s="132"/>
      <c r="D37" s="152">
        <v>10</v>
      </c>
      <c r="E37" s="132">
        <v>0.62</v>
      </c>
      <c r="F37" s="132">
        <v>0.5</v>
      </c>
      <c r="G37" s="132" t="s">
        <v>197</v>
      </c>
      <c r="H37" s="133"/>
      <c r="I37" s="158"/>
      <c r="J37" s="132">
        <v>18</v>
      </c>
      <c r="K37" s="82"/>
      <c r="L37" s="194"/>
      <c r="M37" s="132">
        <f t="shared" si="1"/>
        <v>0</v>
      </c>
      <c r="N37" s="133">
        <f t="shared" si="0"/>
        <v>0</v>
      </c>
    </row>
    <row r="38" spans="1:14" ht="15.5" x14ac:dyDescent="0.35">
      <c r="A38" s="123"/>
      <c r="B38" s="132"/>
      <c r="C38" s="132"/>
      <c r="D38" s="152">
        <v>12</v>
      </c>
      <c r="E38" s="134">
        <v>0.55000000000000004</v>
      </c>
      <c r="F38" s="132">
        <v>0.2</v>
      </c>
      <c r="G38" s="132" t="s">
        <v>572</v>
      </c>
      <c r="H38" s="133">
        <v>2.2999999999999998</v>
      </c>
      <c r="I38" s="445">
        <v>2.5299999999999998</v>
      </c>
      <c r="J38" s="132">
        <v>20</v>
      </c>
      <c r="K38" s="132"/>
      <c r="L38" s="132"/>
      <c r="M38" s="132">
        <f t="shared" si="1"/>
        <v>0</v>
      </c>
      <c r="N38" s="133">
        <f t="shared" si="0"/>
        <v>0</v>
      </c>
    </row>
    <row r="39" spans="1:14" ht="15.5" x14ac:dyDescent="0.35">
      <c r="C39" s="443">
        <v>2.8</v>
      </c>
      <c r="D39" s="152">
        <v>14</v>
      </c>
      <c r="E39" s="134">
        <v>0.4</v>
      </c>
      <c r="F39" s="134">
        <v>0.3</v>
      </c>
      <c r="N39" s="6">
        <f>SUM(N29:N38)</f>
        <v>5.8580000000000005</v>
      </c>
    </row>
    <row r="40" spans="1:14" ht="15.5" x14ac:dyDescent="0.35">
      <c r="A40" s="319"/>
      <c r="D40" s="152">
        <v>16</v>
      </c>
      <c r="E40" s="134">
        <v>0.48</v>
      </c>
      <c r="F40" s="134">
        <v>0.4</v>
      </c>
    </row>
    <row r="41" spans="1:14" ht="15.5" x14ac:dyDescent="0.35">
      <c r="A41" s="319"/>
      <c r="D41" s="152">
        <v>18</v>
      </c>
      <c r="E41" s="82"/>
      <c r="F41" s="194"/>
    </row>
    <row r="42" spans="1:14" ht="15.5" x14ac:dyDescent="0.35">
      <c r="F42" s="366">
        <v>3.63</v>
      </c>
    </row>
    <row r="43" spans="1:14" ht="14" x14ac:dyDescent="0.3">
      <c r="A43" s="129" t="s">
        <v>211</v>
      </c>
      <c r="C43" s="11" t="s">
        <v>212</v>
      </c>
      <c r="D43" s="148">
        <v>40658</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v>0.47916666666666669</v>
      </c>
      <c r="C45" s="225">
        <v>0.61799999999999999</v>
      </c>
      <c r="D45" s="225">
        <v>10.89</v>
      </c>
      <c r="E45" s="467">
        <v>10.9</v>
      </c>
      <c r="F45" s="225">
        <v>8.1999999999999993</v>
      </c>
      <c r="G45" s="128">
        <v>1.2</v>
      </c>
      <c r="H45" s="82">
        <v>8</v>
      </c>
    </row>
    <row r="46" spans="1:14" ht="14" x14ac:dyDescent="0.3">
      <c r="A46" s="121" t="s">
        <v>175</v>
      </c>
      <c r="B46" s="82"/>
      <c r="C46" s="225">
        <v>0.61799999999999999</v>
      </c>
      <c r="D46" s="225">
        <v>10.72</v>
      </c>
      <c r="E46" s="467">
        <v>10.9</v>
      </c>
      <c r="F46" s="225">
        <v>8.2200000000000006</v>
      </c>
      <c r="G46" s="89"/>
    </row>
    <row r="47" spans="1:14" ht="14" x14ac:dyDescent="0.3">
      <c r="A47" s="121" t="s">
        <v>507</v>
      </c>
      <c r="B47" s="82"/>
      <c r="C47" s="225">
        <v>0.61799999999999999</v>
      </c>
      <c r="D47" s="225">
        <v>10.85</v>
      </c>
      <c r="E47" s="467">
        <v>10.8</v>
      </c>
      <c r="F47" s="225">
        <v>8.26</v>
      </c>
      <c r="G47" s="89"/>
      <c r="H47" s="176" t="s">
        <v>521</v>
      </c>
      <c r="I47" s="442">
        <f>AVERAGE(E45:E48)</f>
        <v>10.850000000000001</v>
      </c>
    </row>
    <row r="48" spans="1:14" ht="14" x14ac:dyDescent="0.3">
      <c r="A48" s="121" t="s">
        <v>176</v>
      </c>
      <c r="B48" s="82"/>
      <c r="C48" s="225">
        <v>0.61799999999999999</v>
      </c>
      <c r="D48" s="225">
        <v>10.9</v>
      </c>
      <c r="E48" s="467">
        <v>10.8</v>
      </c>
      <c r="F48" s="225">
        <v>8.27</v>
      </c>
      <c r="G48" s="89"/>
      <c r="H48" s="20" t="s">
        <v>522</v>
      </c>
      <c r="I48" s="442">
        <f>AVERAGE(E45:E54)</f>
        <v>10.780000000000001</v>
      </c>
    </row>
    <row r="49" spans="1:10" ht="14" x14ac:dyDescent="0.3">
      <c r="A49" s="121" t="s">
        <v>508</v>
      </c>
      <c r="B49" s="82"/>
      <c r="C49" s="225">
        <v>0.61799999999999999</v>
      </c>
      <c r="D49" s="225">
        <v>10.72</v>
      </c>
      <c r="E49" s="467">
        <v>10.8</v>
      </c>
      <c r="F49" s="225">
        <v>8.24</v>
      </c>
      <c r="G49" s="89"/>
      <c r="H49" s="168"/>
      <c r="I49" s="169"/>
    </row>
    <row r="50" spans="1:10" ht="14" x14ac:dyDescent="0.3">
      <c r="A50" s="121" t="s">
        <v>177</v>
      </c>
      <c r="B50" s="82"/>
      <c r="C50" s="225">
        <v>0.61899999999999999</v>
      </c>
      <c r="D50" s="225">
        <v>10.7</v>
      </c>
      <c r="E50" s="467">
        <v>10.8</v>
      </c>
      <c r="F50" s="225">
        <v>8.24</v>
      </c>
      <c r="G50" s="89"/>
      <c r="H50" s="440" t="s">
        <v>523</v>
      </c>
      <c r="I50" s="333">
        <f>AVERAGE(D45:D53)</f>
        <v>10.753333333333334</v>
      </c>
    </row>
    <row r="51" spans="1:10" ht="14" x14ac:dyDescent="0.3">
      <c r="A51" s="121" t="s">
        <v>509</v>
      </c>
      <c r="B51" s="82"/>
      <c r="C51" s="225">
        <v>0.61799999999999999</v>
      </c>
      <c r="D51" s="225">
        <v>10.7</v>
      </c>
      <c r="E51" s="467">
        <v>10.7</v>
      </c>
      <c r="F51" s="225">
        <v>8.2200000000000006</v>
      </c>
      <c r="G51" s="89"/>
      <c r="H51" s="440" t="s">
        <v>526</v>
      </c>
      <c r="I51" s="333">
        <f>AVERAGE(D45:D48)</f>
        <v>10.84</v>
      </c>
    </row>
    <row r="52" spans="1:10" ht="14" x14ac:dyDescent="0.3">
      <c r="A52" s="121" t="s">
        <v>178</v>
      </c>
      <c r="B52" s="82"/>
      <c r="C52" s="225">
        <v>0.61799999999999999</v>
      </c>
      <c r="D52" s="225">
        <v>10.68</v>
      </c>
      <c r="E52" s="467">
        <v>10.7</v>
      </c>
      <c r="F52" s="225">
        <v>8.26</v>
      </c>
      <c r="G52" s="89"/>
    </row>
    <row r="53" spans="1:10" ht="14" x14ac:dyDescent="0.3">
      <c r="A53" s="121" t="s">
        <v>179</v>
      </c>
      <c r="B53" s="82"/>
      <c r="C53" s="225">
        <v>0.61899999999999999</v>
      </c>
      <c r="D53" s="225">
        <v>10.62</v>
      </c>
      <c r="E53" s="467">
        <v>10.7</v>
      </c>
      <c r="F53" s="225">
        <v>8.24</v>
      </c>
      <c r="G53" s="89"/>
    </row>
    <row r="54" spans="1:10" ht="14" x14ac:dyDescent="0.3">
      <c r="A54" s="121" t="s">
        <v>180</v>
      </c>
      <c r="B54" s="82"/>
      <c r="C54" s="225">
        <v>0.61899999999999999</v>
      </c>
      <c r="D54" s="225">
        <v>10.27</v>
      </c>
      <c r="E54" s="467">
        <v>10.7</v>
      </c>
      <c r="F54" s="225">
        <v>8.2200000000000006</v>
      </c>
      <c r="G54" s="89"/>
    </row>
    <row r="55" spans="1:10" ht="14" x14ac:dyDescent="0.3">
      <c r="A55" s="121" t="s">
        <v>181</v>
      </c>
      <c r="B55" s="137"/>
      <c r="C55" s="225">
        <v>0.62</v>
      </c>
      <c r="D55" s="225">
        <v>10.26</v>
      </c>
      <c r="E55" s="467">
        <v>10.7</v>
      </c>
      <c r="F55" s="225">
        <v>8.2100000000000009</v>
      </c>
      <c r="G55" s="89"/>
    </row>
    <row r="56" spans="1:10" ht="14" x14ac:dyDescent="0.3">
      <c r="A56" s="121" t="s">
        <v>182</v>
      </c>
      <c r="B56" s="137"/>
      <c r="C56" s="225">
        <v>0.622</v>
      </c>
      <c r="D56" s="225">
        <v>9.82</v>
      </c>
      <c r="E56" s="467">
        <v>10.7</v>
      </c>
      <c r="F56" s="225">
        <v>8.18</v>
      </c>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v>0.48749999999999999</v>
      </c>
      <c r="C59" s="467">
        <v>0.61699999999999999</v>
      </c>
      <c r="D59" s="467">
        <v>10.31</v>
      </c>
      <c r="E59" s="225">
        <v>11.2</v>
      </c>
      <c r="F59" s="467">
        <v>8.42</v>
      </c>
      <c r="G59" s="128">
        <v>1.2</v>
      </c>
      <c r="H59" s="82">
        <v>8.25</v>
      </c>
    </row>
    <row r="60" spans="1:10" ht="14" x14ac:dyDescent="0.3">
      <c r="A60" s="121" t="s">
        <v>175</v>
      </c>
      <c r="B60" s="82"/>
      <c r="C60" s="467">
        <v>0.61699999999999999</v>
      </c>
      <c r="D60" s="467">
        <v>10.72</v>
      </c>
      <c r="E60" s="225">
        <v>10.9</v>
      </c>
      <c r="F60" s="467">
        <v>8.42</v>
      </c>
      <c r="G60" s="89"/>
    </row>
    <row r="61" spans="1:10" ht="14" x14ac:dyDescent="0.3">
      <c r="A61" s="121" t="s">
        <v>507</v>
      </c>
      <c r="B61" s="82"/>
      <c r="C61" s="467">
        <v>0.61699999999999999</v>
      </c>
      <c r="D61" s="467">
        <v>10.82</v>
      </c>
      <c r="E61" s="225">
        <v>10.8</v>
      </c>
      <c r="F61" s="467">
        <v>8.36</v>
      </c>
      <c r="G61" s="89"/>
      <c r="H61" s="176" t="s">
        <v>521</v>
      </c>
      <c r="I61" s="442">
        <f>AVERAGE(E59:E62)</f>
        <v>10.925000000000001</v>
      </c>
    </row>
    <row r="62" spans="1:10" ht="14" x14ac:dyDescent="0.3">
      <c r="A62" s="121" t="s">
        <v>176</v>
      </c>
      <c r="B62" s="82"/>
      <c r="C62" s="467">
        <v>0.61699999999999999</v>
      </c>
      <c r="D62" s="467">
        <v>10.85</v>
      </c>
      <c r="E62" s="225">
        <v>10.8</v>
      </c>
      <c r="F62" s="467">
        <v>8.35</v>
      </c>
      <c r="G62" s="89"/>
      <c r="H62" s="20" t="s">
        <v>522</v>
      </c>
      <c r="I62" s="442">
        <f>AVERAGE(E59:E70)</f>
        <v>10.824999999999998</v>
      </c>
    </row>
    <row r="63" spans="1:10" ht="14" x14ac:dyDescent="0.3">
      <c r="A63" s="121" t="s">
        <v>508</v>
      </c>
      <c r="B63" s="82"/>
      <c r="C63" s="467">
        <v>0.61799999999999999</v>
      </c>
      <c r="D63" s="467">
        <v>10.81</v>
      </c>
      <c r="E63" s="225">
        <v>10.8</v>
      </c>
      <c r="F63" s="467">
        <v>8.3699999999999992</v>
      </c>
      <c r="G63" s="89"/>
      <c r="H63" s="168"/>
      <c r="I63" s="169"/>
    </row>
    <row r="64" spans="1:10" ht="14" x14ac:dyDescent="0.3">
      <c r="A64" s="121" t="s">
        <v>177</v>
      </c>
      <c r="B64" s="82"/>
      <c r="C64" s="467">
        <v>0.61799999999999999</v>
      </c>
      <c r="D64" s="467">
        <v>10.76</v>
      </c>
      <c r="E64" s="225">
        <v>10.8</v>
      </c>
      <c r="F64" s="467">
        <v>8.32</v>
      </c>
      <c r="G64" s="89"/>
      <c r="H64" s="440" t="s">
        <v>523</v>
      </c>
      <c r="I64" s="333">
        <f>AVERAGE(D59:D70)</f>
        <v>10.564166666666669</v>
      </c>
    </row>
    <row r="65" spans="1:9" ht="14" x14ac:dyDescent="0.3">
      <c r="A65" s="121" t="s">
        <v>509</v>
      </c>
      <c r="B65" s="82"/>
      <c r="C65" s="467">
        <v>0.61899999999999999</v>
      </c>
      <c r="D65" s="467">
        <v>10.78</v>
      </c>
      <c r="E65" s="225">
        <v>10.8</v>
      </c>
      <c r="F65" s="467">
        <v>8.2799999999999994</v>
      </c>
      <c r="G65" s="89"/>
      <c r="H65" s="440" t="s">
        <v>526</v>
      </c>
      <c r="I65" s="333">
        <f>AVERAGE(D59:D62)</f>
        <v>10.675000000000001</v>
      </c>
    </row>
    <row r="66" spans="1:9" ht="14" x14ac:dyDescent="0.3">
      <c r="A66" s="121" t="s">
        <v>178</v>
      </c>
      <c r="B66" s="82"/>
      <c r="C66" s="467">
        <v>0.61899999999999999</v>
      </c>
      <c r="D66" s="467">
        <v>10.71</v>
      </c>
      <c r="E66" s="225">
        <v>10.8</v>
      </c>
      <c r="F66" s="467">
        <v>8.3000000000000007</v>
      </c>
      <c r="G66" s="89"/>
    </row>
    <row r="67" spans="1:9" ht="14" x14ac:dyDescent="0.3">
      <c r="A67" s="121" t="s">
        <v>179</v>
      </c>
      <c r="B67" s="82"/>
      <c r="C67" s="467">
        <v>0.61899999999999999</v>
      </c>
      <c r="D67" s="467">
        <v>10.65</v>
      </c>
      <c r="E67" s="225">
        <v>10.8</v>
      </c>
      <c r="F67" s="467">
        <v>8.32</v>
      </c>
      <c r="G67" s="89"/>
    </row>
    <row r="68" spans="1:9" ht="14" x14ac:dyDescent="0.3">
      <c r="A68" s="306" t="s">
        <v>180</v>
      </c>
      <c r="B68" s="137"/>
      <c r="C68" s="467">
        <v>0.62</v>
      </c>
      <c r="D68" s="467">
        <v>10.6</v>
      </c>
      <c r="E68" s="225">
        <v>10.8</v>
      </c>
      <c r="F68" s="467">
        <v>8.2799999999999994</v>
      </c>
      <c r="G68" s="89"/>
    </row>
    <row r="69" spans="1:9" ht="14" x14ac:dyDescent="0.3">
      <c r="A69" s="306" t="s">
        <v>181</v>
      </c>
      <c r="B69" s="137"/>
      <c r="C69" s="467">
        <v>0.621</v>
      </c>
      <c r="D69" s="467">
        <v>10.43</v>
      </c>
      <c r="E69" s="225">
        <v>10.7</v>
      </c>
      <c r="F69" s="467">
        <v>8.2799999999999994</v>
      </c>
      <c r="G69" s="89"/>
    </row>
    <row r="70" spans="1:9" ht="14" x14ac:dyDescent="0.3">
      <c r="A70" s="306" t="s">
        <v>182</v>
      </c>
      <c r="B70" s="137"/>
      <c r="C70" s="467">
        <v>0.624</v>
      </c>
      <c r="D70" s="467">
        <v>9.33</v>
      </c>
      <c r="E70" s="225">
        <v>10.7</v>
      </c>
      <c r="F70" s="467">
        <v>8.24</v>
      </c>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v>0.49513888888888885</v>
      </c>
      <c r="C73" s="467">
        <v>0.61699999999999999</v>
      </c>
      <c r="D73" s="467">
        <v>10.63</v>
      </c>
      <c r="E73" s="467">
        <v>11.2</v>
      </c>
      <c r="F73" s="467">
        <v>8.42</v>
      </c>
      <c r="G73" s="128">
        <v>1.1000000000000001</v>
      </c>
      <c r="H73" s="82">
        <v>3.4</v>
      </c>
    </row>
    <row r="74" spans="1:9" ht="13" x14ac:dyDescent="0.3">
      <c r="A74" s="121" t="s">
        <v>175</v>
      </c>
      <c r="B74" s="82"/>
      <c r="C74" s="467">
        <v>0.61699999999999999</v>
      </c>
      <c r="D74" s="467">
        <v>10.87</v>
      </c>
      <c r="E74" s="467">
        <v>11.1</v>
      </c>
      <c r="F74" s="467">
        <v>8.44</v>
      </c>
      <c r="G74" s="89"/>
    </row>
    <row r="75" spans="1:9" ht="13" x14ac:dyDescent="0.3">
      <c r="A75" s="121" t="s">
        <v>507</v>
      </c>
      <c r="B75" s="82"/>
      <c r="C75" s="467">
        <v>0.61799999999999999</v>
      </c>
      <c r="D75" s="467">
        <v>10.96</v>
      </c>
      <c r="E75" s="467">
        <v>11</v>
      </c>
      <c r="F75" s="467">
        <v>8.41</v>
      </c>
      <c r="G75" s="89"/>
      <c r="H75" s="176" t="s">
        <v>521</v>
      </c>
      <c r="I75" s="442">
        <f>AVERAGE(E72:E75)</f>
        <v>11.1</v>
      </c>
    </row>
    <row r="76" spans="1:9" ht="13" x14ac:dyDescent="0.3">
      <c r="A76" s="121" t="s">
        <v>176</v>
      </c>
      <c r="B76" s="82"/>
      <c r="C76" s="467">
        <v>0.61799999999999999</v>
      </c>
      <c r="D76" s="467">
        <v>10.97</v>
      </c>
      <c r="E76" s="467">
        <v>11</v>
      </c>
      <c r="F76" s="467">
        <v>8.3699999999999992</v>
      </c>
      <c r="G76" s="89"/>
      <c r="H76" s="20" t="s">
        <v>522</v>
      </c>
      <c r="I76" s="442">
        <f>AVERAGE(E72:E82)</f>
        <v>10.985714285714284</v>
      </c>
    </row>
    <row r="77" spans="1:9" ht="13" x14ac:dyDescent="0.3">
      <c r="A77" s="121" t="s">
        <v>508</v>
      </c>
      <c r="B77" s="82"/>
      <c r="C77" s="467">
        <v>0.623</v>
      </c>
      <c r="D77" s="467">
        <v>11.22</v>
      </c>
      <c r="E77" s="467">
        <v>10.9</v>
      </c>
      <c r="F77" s="467">
        <v>8.36</v>
      </c>
      <c r="G77" s="89"/>
      <c r="H77" s="168"/>
      <c r="I77" s="169"/>
    </row>
    <row r="78" spans="1:9" ht="13" x14ac:dyDescent="0.3">
      <c r="A78" s="121" t="s">
        <v>177</v>
      </c>
      <c r="B78" s="82"/>
      <c r="C78" s="467">
        <v>0.625</v>
      </c>
      <c r="D78" s="467">
        <v>11.32</v>
      </c>
      <c r="E78" s="467">
        <v>10.9</v>
      </c>
      <c r="F78" s="467">
        <v>8.3699999999999992</v>
      </c>
      <c r="G78" s="89"/>
      <c r="H78" s="440" t="s">
        <v>523</v>
      </c>
      <c r="I78" s="333">
        <f>AVERAGE(D72:D86)</f>
        <v>11.055</v>
      </c>
    </row>
    <row r="79" spans="1:9" ht="13" x14ac:dyDescent="0.3">
      <c r="A79" s="121" t="s">
        <v>509</v>
      </c>
      <c r="B79" s="82"/>
      <c r="C79" s="467">
        <v>0.628</v>
      </c>
      <c r="D79" s="467">
        <v>11.32</v>
      </c>
      <c r="E79" s="467">
        <v>10.8</v>
      </c>
      <c r="F79" s="467">
        <v>8.33</v>
      </c>
      <c r="G79" s="89"/>
      <c r="H79" s="440" t="s">
        <v>526</v>
      </c>
      <c r="I79" s="333">
        <f>AVERAGE(D72:D75)</f>
        <v>10.82</v>
      </c>
    </row>
    <row r="80" spans="1:9" ht="13" x14ac:dyDescent="0.3">
      <c r="A80" s="121" t="s">
        <v>178</v>
      </c>
      <c r="B80" s="82"/>
      <c r="C80" s="467"/>
      <c r="D80" s="467"/>
      <c r="E80" s="467"/>
      <c r="F80" s="467"/>
      <c r="G80" s="89"/>
    </row>
    <row r="81" spans="1:9" ht="13" x14ac:dyDescent="0.3">
      <c r="A81" s="121" t="s">
        <v>179</v>
      </c>
      <c r="B81" s="82"/>
      <c r="C81" s="467"/>
      <c r="D81" s="467"/>
      <c r="E81" s="467"/>
      <c r="F81" s="467"/>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v>0.50208333333333333</v>
      </c>
      <c r="C84" s="467">
        <v>0.61899999999999999</v>
      </c>
      <c r="D84" s="310">
        <v>10.98</v>
      </c>
      <c r="E84" s="85">
        <v>11.1</v>
      </c>
      <c r="F84" s="310">
        <v>8.41</v>
      </c>
      <c r="G84" s="186">
        <v>1.1499999999999999</v>
      </c>
      <c r="H84" s="82">
        <v>6</v>
      </c>
    </row>
    <row r="85" spans="1:9" ht="13" x14ac:dyDescent="0.3">
      <c r="A85" s="121" t="s">
        <v>175</v>
      </c>
      <c r="B85" s="82"/>
      <c r="C85" s="467">
        <v>0.61699999999999999</v>
      </c>
      <c r="D85" s="310">
        <v>11.11</v>
      </c>
      <c r="E85" s="85">
        <v>11.1</v>
      </c>
      <c r="F85" s="310">
        <v>8.41</v>
      </c>
      <c r="G85" s="89"/>
    </row>
    <row r="86" spans="1:9" ht="13" x14ac:dyDescent="0.3">
      <c r="A86" s="121" t="s">
        <v>507</v>
      </c>
      <c r="B86" s="82"/>
      <c r="C86" s="467">
        <v>0.61799999999999999</v>
      </c>
      <c r="D86" s="310">
        <v>11.17</v>
      </c>
      <c r="E86" s="85">
        <v>10.9</v>
      </c>
      <c r="F86" s="310">
        <v>8.41</v>
      </c>
      <c r="G86" s="89"/>
      <c r="H86" s="176" t="s">
        <v>521</v>
      </c>
      <c r="I86" s="442">
        <f>AVERAGE(E84:E87)</f>
        <v>11</v>
      </c>
    </row>
    <row r="87" spans="1:9" ht="13" x14ac:dyDescent="0.3">
      <c r="A87" s="121" t="s">
        <v>176</v>
      </c>
      <c r="B87" s="82"/>
      <c r="C87" s="467">
        <v>0.61799999999999999</v>
      </c>
      <c r="D87" s="310">
        <v>11.26</v>
      </c>
      <c r="E87" s="85">
        <v>10.9</v>
      </c>
      <c r="F87" s="310">
        <v>8.36</v>
      </c>
      <c r="G87" s="89"/>
      <c r="H87" s="20" t="s">
        <v>522</v>
      </c>
      <c r="I87" s="442">
        <f>AVERAGE(E84:E94)</f>
        <v>10.78</v>
      </c>
    </row>
    <row r="88" spans="1:9" ht="13" x14ac:dyDescent="0.3">
      <c r="A88" s="121" t="s">
        <v>508</v>
      </c>
      <c r="B88" s="82"/>
      <c r="C88" s="467">
        <v>0.61799999999999999</v>
      </c>
      <c r="D88" s="310">
        <v>10.86</v>
      </c>
      <c r="E88" s="85">
        <v>10.8</v>
      </c>
      <c r="F88" s="310">
        <v>8.3800000000000008</v>
      </c>
      <c r="G88" s="89"/>
      <c r="H88" s="168"/>
      <c r="I88" s="169"/>
    </row>
    <row r="89" spans="1:9" ht="13" x14ac:dyDescent="0.3">
      <c r="A89" s="121" t="s">
        <v>177</v>
      </c>
      <c r="B89" s="82"/>
      <c r="C89" s="467">
        <v>0.61799999999999999</v>
      </c>
      <c r="D89" s="310">
        <v>10.199999999999999</v>
      </c>
      <c r="E89" s="85">
        <v>10.8</v>
      </c>
      <c r="F89" s="310">
        <v>8.36</v>
      </c>
      <c r="G89" s="89"/>
      <c r="H89" s="440" t="s">
        <v>523</v>
      </c>
      <c r="I89" s="333">
        <f>AVERAGE(D84:D94)</f>
        <v>10.912000000000001</v>
      </c>
    </row>
    <row r="90" spans="1:9" ht="13" x14ac:dyDescent="0.3">
      <c r="A90" s="121" t="s">
        <v>509</v>
      </c>
      <c r="B90" s="82"/>
      <c r="C90" s="467">
        <v>0.61799999999999999</v>
      </c>
      <c r="D90" s="310">
        <v>10.86</v>
      </c>
      <c r="E90" s="85">
        <v>10.8</v>
      </c>
      <c r="F90" s="310">
        <v>8.32</v>
      </c>
      <c r="G90" s="89"/>
      <c r="H90" s="440" t="s">
        <v>526</v>
      </c>
      <c r="I90" s="333">
        <f>AVERAGE(D84:D87)</f>
        <v>11.129999999999999</v>
      </c>
    </row>
    <row r="91" spans="1:9" ht="13" x14ac:dyDescent="0.3">
      <c r="A91" s="121" t="s">
        <v>178</v>
      </c>
      <c r="B91" s="82"/>
      <c r="C91" s="467">
        <v>0.61799999999999999</v>
      </c>
      <c r="D91" s="310">
        <v>10.96</v>
      </c>
      <c r="E91" s="85">
        <v>10.7</v>
      </c>
      <c r="F91" s="310">
        <v>8.36</v>
      </c>
      <c r="G91" s="89"/>
    </row>
    <row r="92" spans="1:9" ht="13" x14ac:dyDescent="0.3">
      <c r="A92" s="121" t="s">
        <v>179</v>
      </c>
      <c r="B92" s="82"/>
      <c r="C92" s="467">
        <v>0.61799999999999999</v>
      </c>
      <c r="D92" s="310">
        <v>10.82</v>
      </c>
      <c r="E92" s="85">
        <v>10.7</v>
      </c>
      <c r="F92" s="310">
        <v>8.36</v>
      </c>
      <c r="G92" s="89"/>
    </row>
    <row r="93" spans="1:9" ht="13" x14ac:dyDescent="0.3">
      <c r="A93" s="121" t="s">
        <v>180</v>
      </c>
      <c r="B93" s="82"/>
      <c r="C93" s="467">
        <v>0.61099999999999999</v>
      </c>
      <c r="D93" s="310">
        <v>10.9</v>
      </c>
      <c r="E93" s="85">
        <v>10</v>
      </c>
      <c r="F93" s="310">
        <v>8.2899999999999991</v>
      </c>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5:H35"/>
    <mergeCell ref="A28:B28"/>
    <mergeCell ref="D28:E28"/>
    <mergeCell ref="G28:H28"/>
    <mergeCell ref="B31:C31"/>
    <mergeCell ref="E31:F31"/>
    <mergeCell ref="G33:H33"/>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19"/>
  <sheetViews>
    <sheetView topLeftCell="A10" workbookViewId="0">
      <selection activeCell="AF4" sqref="AF4"/>
    </sheetView>
  </sheetViews>
  <sheetFormatPr defaultRowHeight="12.5" x14ac:dyDescent="0.25"/>
  <cols>
    <col min="1" max="1" width="16.453125" customWidth="1"/>
    <col min="2" max="2" width="12.36328125" bestFit="1" customWidth="1"/>
    <col min="3" max="14" width="5" bestFit="1" customWidth="1"/>
    <col min="15" max="16" width="5" customWidth="1"/>
    <col min="17" max="17" width="5" bestFit="1" customWidth="1"/>
    <col min="18" max="21" width="5" customWidth="1"/>
    <col min="22" max="22" width="5" bestFit="1" customWidth="1"/>
    <col min="23" max="23" width="5" customWidth="1"/>
    <col min="24" max="24" width="6" bestFit="1" customWidth="1"/>
    <col min="27" max="27" width="15.6328125" customWidth="1"/>
    <col min="28" max="28" width="12.6328125" customWidth="1"/>
  </cols>
  <sheetData>
    <row r="1" spans="1:30" ht="15.5" x14ac:dyDescent="0.35">
      <c r="A1" s="827" t="s">
        <v>1095</v>
      </c>
      <c r="B1" s="828"/>
      <c r="C1" s="828"/>
      <c r="D1" s="828"/>
      <c r="E1" s="828"/>
      <c r="F1" s="828"/>
      <c r="G1" s="828"/>
      <c r="H1" s="828"/>
      <c r="I1" s="828"/>
      <c r="J1" s="828"/>
      <c r="K1" s="828"/>
      <c r="L1" s="828"/>
      <c r="M1" s="828"/>
      <c r="N1" s="828"/>
      <c r="O1" s="828"/>
      <c r="P1" s="828"/>
      <c r="Q1" s="828"/>
      <c r="R1" s="828"/>
      <c r="S1" s="828"/>
      <c r="T1" s="828"/>
      <c r="U1" s="828"/>
      <c r="V1" s="828"/>
      <c r="W1" s="828"/>
      <c r="X1" s="828"/>
    </row>
    <row r="2" spans="1:30" ht="13" x14ac:dyDescent="0.3">
      <c r="A2" s="819" t="s">
        <v>19</v>
      </c>
      <c r="B2" s="821" t="s">
        <v>20</v>
      </c>
      <c r="C2" s="823" t="s">
        <v>117</v>
      </c>
      <c r="D2" s="823"/>
      <c r="E2" s="823"/>
      <c r="F2" s="823"/>
      <c r="G2" s="823"/>
      <c r="H2" s="823"/>
      <c r="I2" s="823"/>
      <c r="J2" s="823"/>
      <c r="K2" s="823"/>
      <c r="L2" s="823"/>
      <c r="M2" s="823"/>
      <c r="N2" s="823"/>
      <c r="O2" s="823"/>
      <c r="P2" s="823"/>
      <c r="Q2" s="823"/>
      <c r="R2" s="823"/>
      <c r="S2" s="823"/>
      <c r="T2" s="823"/>
      <c r="U2" s="823"/>
      <c r="V2" s="823"/>
      <c r="W2" s="823"/>
      <c r="X2" s="823"/>
    </row>
    <row r="3" spans="1:30" ht="26" x14ac:dyDescent="0.3">
      <c r="A3" s="820"/>
      <c r="B3" s="822"/>
      <c r="C3" s="77">
        <v>1991</v>
      </c>
      <c r="D3" s="77">
        <v>1992</v>
      </c>
      <c r="E3" s="77">
        <v>1993</v>
      </c>
      <c r="F3" s="77">
        <v>1994</v>
      </c>
      <c r="G3" s="77">
        <v>1995</v>
      </c>
      <c r="H3" s="77">
        <v>1996</v>
      </c>
      <c r="I3" s="77">
        <v>1997</v>
      </c>
      <c r="J3" s="77">
        <v>1998</v>
      </c>
      <c r="K3" s="77">
        <v>1999</v>
      </c>
      <c r="L3" s="78">
        <v>2000</v>
      </c>
      <c r="M3" s="78">
        <v>2001</v>
      </c>
      <c r="N3" s="77">
        <v>2002</v>
      </c>
      <c r="O3" s="77">
        <v>2003</v>
      </c>
      <c r="P3" s="77">
        <v>2004</v>
      </c>
      <c r="Q3" s="77">
        <v>2005</v>
      </c>
      <c r="R3" s="77">
        <v>2006</v>
      </c>
      <c r="S3" s="77">
        <v>2007</v>
      </c>
      <c r="T3" s="77">
        <v>2008</v>
      </c>
      <c r="U3" s="77">
        <v>2009</v>
      </c>
      <c r="V3" s="77">
        <v>2010</v>
      </c>
      <c r="W3" s="77">
        <v>2011</v>
      </c>
      <c r="X3" s="12" t="s">
        <v>1096</v>
      </c>
      <c r="Y3" s="795" t="s">
        <v>1097</v>
      </c>
      <c r="Z3" s="733"/>
      <c r="AA3" s="819" t="s">
        <v>19</v>
      </c>
      <c r="AB3" s="821" t="s">
        <v>20</v>
      </c>
      <c r="AC3" s="823" t="s">
        <v>1098</v>
      </c>
      <c r="AD3" s="823"/>
    </row>
    <row r="4" spans="1:30" ht="26" x14ac:dyDescent="0.25">
      <c r="A4" s="816" t="s">
        <v>21</v>
      </c>
      <c r="B4" s="395" t="s">
        <v>119</v>
      </c>
      <c r="C4" s="207">
        <v>17.670000000000002</v>
      </c>
      <c r="D4" s="207">
        <v>26.03</v>
      </c>
      <c r="E4" s="207">
        <v>13.73</v>
      </c>
      <c r="F4" s="207">
        <v>29.68</v>
      </c>
      <c r="G4" s="207">
        <v>9.4</v>
      </c>
      <c r="H4" s="207">
        <v>17.100000000000001</v>
      </c>
      <c r="I4" s="207">
        <v>8.23</v>
      </c>
      <c r="J4" s="207">
        <v>4.9000000000000004</v>
      </c>
      <c r="K4" s="207">
        <v>6.2</v>
      </c>
      <c r="L4" s="394">
        <v>23.9</v>
      </c>
      <c r="M4" s="394">
        <v>24.6</v>
      </c>
      <c r="N4" s="394">
        <v>15.4</v>
      </c>
      <c r="O4" s="394">
        <v>14.8</v>
      </c>
      <c r="P4" s="394">
        <v>6.6</v>
      </c>
      <c r="Q4" s="394">
        <v>15.4</v>
      </c>
      <c r="R4" s="394">
        <v>9.1</v>
      </c>
      <c r="S4" s="394">
        <v>9.3000000000000007</v>
      </c>
      <c r="T4" s="394">
        <v>17.3</v>
      </c>
      <c r="U4" s="394">
        <v>12.5</v>
      </c>
      <c r="V4" s="394">
        <v>10.6</v>
      </c>
      <c r="W4" s="514">
        <v>10.8</v>
      </c>
      <c r="X4" s="15">
        <f>AVERAGE(C4:W4)</f>
        <v>14.440000000000003</v>
      </c>
      <c r="Y4" s="734">
        <f>MEDIAN(C4:W4)</f>
        <v>13.73</v>
      </c>
      <c r="AA4" s="820"/>
      <c r="AB4" s="822"/>
      <c r="AC4" s="77">
        <v>2011</v>
      </c>
      <c r="AD4" s="12" t="s">
        <v>1096</v>
      </c>
    </row>
    <row r="5" spans="1:30" x14ac:dyDescent="0.25">
      <c r="A5" s="817"/>
      <c r="B5" s="395" t="s">
        <v>120</v>
      </c>
      <c r="C5" s="207">
        <v>19.82</v>
      </c>
      <c r="D5" s="207">
        <v>15.51</v>
      </c>
      <c r="E5" s="207">
        <v>5.85</v>
      </c>
      <c r="F5" s="207">
        <v>17.02</v>
      </c>
      <c r="G5" s="207">
        <v>6.2</v>
      </c>
      <c r="H5" s="207">
        <v>10.3</v>
      </c>
      <c r="I5" s="207">
        <v>2.4300000000000002</v>
      </c>
      <c r="J5" s="207">
        <v>5.4</v>
      </c>
      <c r="K5" s="207">
        <v>5.5</v>
      </c>
      <c r="L5" s="394">
        <v>8.9</v>
      </c>
      <c r="M5" s="394">
        <v>6.3</v>
      </c>
      <c r="N5" s="394"/>
      <c r="O5" s="394"/>
      <c r="P5" s="394"/>
      <c r="Q5" s="394"/>
      <c r="R5" s="394"/>
      <c r="S5" s="394"/>
      <c r="T5" s="394"/>
      <c r="U5" s="394"/>
      <c r="V5" s="394"/>
      <c r="W5" s="514"/>
      <c r="X5" s="15">
        <f t="shared" ref="X5:X19" si="0">AVERAGE(C5:W5)</f>
        <v>9.3845454545454565</v>
      </c>
      <c r="Y5" s="734">
        <f t="shared" ref="Y5:Y19" si="1">MEDIAN(C5:W5)</f>
        <v>6.3</v>
      </c>
      <c r="AA5" s="816" t="s">
        <v>21</v>
      </c>
      <c r="AB5" s="395" t="s">
        <v>119</v>
      </c>
      <c r="AC5" s="394">
        <f>W4</f>
        <v>10.8</v>
      </c>
      <c r="AD5" s="15">
        <f>X4</f>
        <v>14.440000000000003</v>
      </c>
    </row>
    <row r="6" spans="1:30" ht="14.25" customHeight="1" x14ac:dyDescent="0.25">
      <c r="A6" s="818"/>
      <c r="B6" s="79" t="s">
        <v>118</v>
      </c>
      <c r="C6" s="396">
        <f t="shared" ref="C6:J6" si="2">AVERAGE(C4:C5)</f>
        <v>18.745000000000001</v>
      </c>
      <c r="D6" s="396">
        <f t="shared" si="2"/>
        <v>20.77</v>
      </c>
      <c r="E6" s="396">
        <f t="shared" si="2"/>
        <v>9.7899999999999991</v>
      </c>
      <c r="F6" s="396">
        <f t="shared" si="2"/>
        <v>23.35</v>
      </c>
      <c r="G6" s="396">
        <f t="shared" si="2"/>
        <v>7.8000000000000007</v>
      </c>
      <c r="H6" s="396">
        <f t="shared" si="2"/>
        <v>13.700000000000001</v>
      </c>
      <c r="I6" s="396">
        <f t="shared" si="2"/>
        <v>5.33</v>
      </c>
      <c r="J6" s="396">
        <f t="shared" si="2"/>
        <v>5.15</v>
      </c>
      <c r="K6" s="396">
        <f>AVERAGE(K4:K5)</f>
        <v>5.85</v>
      </c>
      <c r="L6" s="396">
        <f>AVERAGE(L4:L5)</f>
        <v>16.399999999999999</v>
      </c>
      <c r="M6" s="396">
        <f>AVERAGE(M4:M5)</f>
        <v>15.450000000000001</v>
      </c>
      <c r="N6" s="396">
        <f>AVERAGE(N4:N5)</f>
        <v>15.4</v>
      </c>
      <c r="O6" s="396">
        <f t="shared" ref="O6:T6" si="3">AVERAGE(O4:O5)</f>
        <v>14.8</v>
      </c>
      <c r="P6" s="396">
        <f t="shared" si="3"/>
        <v>6.6</v>
      </c>
      <c r="Q6" s="396">
        <f t="shared" si="3"/>
        <v>15.4</v>
      </c>
      <c r="R6" s="396">
        <f t="shared" si="3"/>
        <v>9.1</v>
      </c>
      <c r="S6" s="396">
        <f t="shared" si="3"/>
        <v>9.3000000000000007</v>
      </c>
      <c r="T6" s="396">
        <f t="shared" si="3"/>
        <v>17.3</v>
      </c>
      <c r="U6" s="396">
        <f>AVERAGE(U4:U5)</f>
        <v>12.5</v>
      </c>
      <c r="V6" s="396">
        <f>AVERAGE(V4:V5)</f>
        <v>10.6</v>
      </c>
      <c r="W6" s="396">
        <f>AVERAGE(W4:W5)</f>
        <v>10.8</v>
      </c>
      <c r="X6" s="15">
        <f t="shared" si="0"/>
        <v>12.577857142857143</v>
      </c>
      <c r="Y6" s="734">
        <f t="shared" si="1"/>
        <v>12.5</v>
      </c>
      <c r="AA6" s="818"/>
      <c r="AB6" s="79" t="s">
        <v>118</v>
      </c>
      <c r="AC6" s="207">
        <f>W6</f>
        <v>10.8</v>
      </c>
      <c r="AD6" s="15">
        <f>X6</f>
        <v>12.577857142857143</v>
      </c>
    </row>
    <row r="7" spans="1:30" ht="13" x14ac:dyDescent="0.3">
      <c r="A7" s="824" t="s">
        <v>22</v>
      </c>
      <c r="B7" s="395" t="s">
        <v>119</v>
      </c>
      <c r="C7" s="394">
        <v>442</v>
      </c>
      <c r="D7" s="394">
        <v>289</v>
      </c>
      <c r="E7" s="394">
        <v>504</v>
      </c>
      <c r="F7" s="394">
        <v>382</v>
      </c>
      <c r="G7" s="394">
        <v>474</v>
      </c>
      <c r="H7" s="394">
        <v>578</v>
      </c>
      <c r="I7" s="394">
        <v>393</v>
      </c>
      <c r="J7" s="394">
        <v>388</v>
      </c>
      <c r="K7" s="394">
        <v>224</v>
      </c>
      <c r="L7" s="394">
        <v>431</v>
      </c>
      <c r="M7" s="394">
        <v>401</v>
      </c>
      <c r="N7" s="394">
        <v>289</v>
      </c>
      <c r="O7" s="394">
        <v>268</v>
      </c>
      <c r="P7" s="394">
        <v>268</v>
      </c>
      <c r="Q7" s="204">
        <v>193.23769230769227</v>
      </c>
      <c r="R7" s="204">
        <v>158.27857142857144</v>
      </c>
      <c r="S7" s="122">
        <v>221.96199999999999</v>
      </c>
      <c r="T7" s="122">
        <v>233</v>
      </c>
      <c r="U7" s="122">
        <v>291</v>
      </c>
      <c r="V7" s="122">
        <v>287</v>
      </c>
      <c r="W7" s="122">
        <v>158</v>
      </c>
      <c r="X7" s="15">
        <f t="shared" si="0"/>
        <v>327.30848874934588</v>
      </c>
      <c r="Y7" s="734">
        <f t="shared" si="1"/>
        <v>289</v>
      </c>
      <c r="AA7" s="824" t="s">
        <v>22</v>
      </c>
      <c r="AB7" s="395" t="s">
        <v>119</v>
      </c>
      <c r="AC7" s="204">
        <f>W7</f>
        <v>158</v>
      </c>
      <c r="AD7" s="15">
        <f>X7</f>
        <v>327.30848874934588</v>
      </c>
    </row>
    <row r="8" spans="1:30" ht="13" x14ac:dyDescent="0.3">
      <c r="A8" s="825"/>
      <c r="B8" s="395" t="s">
        <v>120</v>
      </c>
      <c r="C8" s="394">
        <v>381</v>
      </c>
      <c r="D8" s="394">
        <v>282</v>
      </c>
      <c r="E8" s="394">
        <v>451</v>
      </c>
      <c r="F8" s="394">
        <v>356</v>
      </c>
      <c r="G8" s="394">
        <v>502</v>
      </c>
      <c r="H8" s="394">
        <v>589</v>
      </c>
      <c r="I8" s="394">
        <v>365</v>
      </c>
      <c r="J8" s="394">
        <v>372</v>
      </c>
      <c r="K8" s="394">
        <v>220</v>
      </c>
      <c r="L8" s="394">
        <v>443</v>
      </c>
      <c r="M8" s="394">
        <v>395</v>
      </c>
      <c r="N8" s="394">
        <v>288</v>
      </c>
      <c r="O8" s="394">
        <v>271</v>
      </c>
      <c r="P8" s="394">
        <v>249</v>
      </c>
      <c r="Q8" s="204">
        <v>206.98615384615383</v>
      </c>
      <c r="R8" s="204">
        <v>149.7446153846154</v>
      </c>
      <c r="S8" s="122">
        <v>233.56642857142859</v>
      </c>
      <c r="T8" s="122"/>
      <c r="U8" s="122"/>
      <c r="V8" s="122"/>
      <c r="W8" s="122"/>
      <c r="X8" s="15">
        <f t="shared" si="0"/>
        <v>338.48807045895279</v>
      </c>
      <c r="Y8" s="734">
        <f t="shared" si="1"/>
        <v>356</v>
      </c>
      <c r="AA8" s="825"/>
      <c r="AB8" s="395" t="s">
        <v>503</v>
      </c>
      <c r="AC8" s="204">
        <f>W9</f>
        <v>186</v>
      </c>
      <c r="AD8" s="15">
        <f>X9</f>
        <v>299.94366038723183</v>
      </c>
    </row>
    <row r="9" spans="1:30" ht="13" x14ac:dyDescent="0.3">
      <c r="A9" s="825"/>
      <c r="B9" s="395" t="s">
        <v>503</v>
      </c>
      <c r="C9" s="394">
        <v>341</v>
      </c>
      <c r="D9" s="394">
        <v>228</v>
      </c>
      <c r="E9" s="394">
        <v>333</v>
      </c>
      <c r="F9" s="394">
        <v>308</v>
      </c>
      <c r="G9" s="394">
        <v>503</v>
      </c>
      <c r="H9" s="394">
        <v>561</v>
      </c>
      <c r="I9" s="394">
        <v>341</v>
      </c>
      <c r="J9" s="394">
        <v>342</v>
      </c>
      <c r="K9" s="394">
        <v>231</v>
      </c>
      <c r="L9" s="394">
        <v>483</v>
      </c>
      <c r="M9" s="394">
        <v>390</v>
      </c>
      <c r="N9" s="394">
        <v>268</v>
      </c>
      <c r="O9" s="394">
        <v>259</v>
      </c>
      <c r="P9" s="394">
        <v>224</v>
      </c>
      <c r="Q9" s="204">
        <v>220.75615384615381</v>
      </c>
      <c r="R9" s="204">
        <v>151.27000000000001</v>
      </c>
      <c r="S9" s="122">
        <v>232.79071428571427</v>
      </c>
      <c r="T9" s="122">
        <v>230</v>
      </c>
      <c r="U9" s="122">
        <v>244</v>
      </c>
      <c r="V9" s="122">
        <v>222</v>
      </c>
      <c r="W9" s="122">
        <v>186</v>
      </c>
      <c r="X9" s="15">
        <f t="shared" si="0"/>
        <v>299.94366038723183</v>
      </c>
      <c r="Y9" s="734">
        <f t="shared" si="1"/>
        <v>259</v>
      </c>
      <c r="AA9" s="826"/>
      <c r="AB9" s="79" t="s">
        <v>118</v>
      </c>
      <c r="AC9" s="204">
        <f>W10</f>
        <v>172</v>
      </c>
      <c r="AD9" s="15">
        <f>X10</f>
        <v>314.17606872492587</v>
      </c>
    </row>
    <row r="10" spans="1:30" x14ac:dyDescent="0.25">
      <c r="A10" s="826"/>
      <c r="B10" s="79" t="s">
        <v>118</v>
      </c>
      <c r="C10" s="397">
        <f t="shared" ref="C10:J10" si="4">AVERAGE(C7:C9)</f>
        <v>388</v>
      </c>
      <c r="D10" s="397">
        <f t="shared" si="4"/>
        <v>266.33333333333331</v>
      </c>
      <c r="E10" s="397">
        <f t="shared" si="4"/>
        <v>429.33333333333331</v>
      </c>
      <c r="F10" s="397">
        <f t="shared" si="4"/>
        <v>348.66666666666669</v>
      </c>
      <c r="G10" s="397">
        <f t="shared" si="4"/>
        <v>493</v>
      </c>
      <c r="H10" s="397">
        <f t="shared" si="4"/>
        <v>576</v>
      </c>
      <c r="I10" s="397">
        <f t="shared" si="4"/>
        <v>366.33333333333331</v>
      </c>
      <c r="J10" s="397">
        <f t="shared" si="4"/>
        <v>367.33333333333331</v>
      </c>
      <c r="K10" s="397">
        <f>AVERAGE(K7:K9)</f>
        <v>225</v>
      </c>
      <c r="L10" s="398">
        <v>441</v>
      </c>
      <c r="M10" s="398">
        <v>387</v>
      </c>
      <c r="N10" s="397">
        <f t="shared" ref="N10:W10" si="5">AVERAGE(N7:N9)</f>
        <v>281.66666666666669</v>
      </c>
      <c r="O10" s="397">
        <f t="shared" si="5"/>
        <v>266</v>
      </c>
      <c r="P10" s="397">
        <f t="shared" si="5"/>
        <v>247</v>
      </c>
      <c r="Q10" s="397">
        <f t="shared" si="5"/>
        <v>206.99333333333331</v>
      </c>
      <c r="R10" s="397">
        <f t="shared" si="5"/>
        <v>153.09772893772893</v>
      </c>
      <c r="S10" s="397">
        <f t="shared" si="5"/>
        <v>229.4397142857143</v>
      </c>
      <c r="T10" s="397">
        <f t="shared" si="5"/>
        <v>231.5</v>
      </c>
      <c r="U10" s="397">
        <f t="shared" si="5"/>
        <v>267.5</v>
      </c>
      <c r="V10" s="397">
        <f t="shared" si="5"/>
        <v>254.5</v>
      </c>
      <c r="W10" s="397">
        <f t="shared" si="5"/>
        <v>172</v>
      </c>
      <c r="X10" s="15">
        <f t="shared" si="0"/>
        <v>314.17606872492587</v>
      </c>
      <c r="Y10" s="734">
        <f t="shared" si="1"/>
        <v>267.5</v>
      </c>
      <c r="AA10" s="816" t="s">
        <v>23</v>
      </c>
      <c r="AB10" s="395" t="s">
        <v>119</v>
      </c>
      <c r="AC10" s="416">
        <f>V11</f>
        <v>28.3</v>
      </c>
      <c r="AD10" s="15">
        <f>X11</f>
        <v>58.636461349893416</v>
      </c>
    </row>
    <row r="11" spans="1:30" ht="13" x14ac:dyDescent="0.3">
      <c r="A11" s="816" t="s">
        <v>23</v>
      </c>
      <c r="B11" s="395" t="s">
        <v>119</v>
      </c>
      <c r="C11" s="394">
        <v>144</v>
      </c>
      <c r="D11" s="394">
        <v>146</v>
      </c>
      <c r="E11" s="394">
        <v>175</v>
      </c>
      <c r="F11" s="394">
        <v>83</v>
      </c>
      <c r="G11" s="394">
        <v>34</v>
      </c>
      <c r="H11" s="394">
        <v>29</v>
      </c>
      <c r="I11" s="394">
        <v>38</v>
      </c>
      <c r="J11" s="394">
        <v>33</v>
      </c>
      <c r="K11" s="394">
        <v>34</v>
      </c>
      <c r="L11" s="394">
        <v>59</v>
      </c>
      <c r="M11" s="394">
        <v>42</v>
      </c>
      <c r="N11" s="394">
        <v>46</v>
      </c>
      <c r="O11" s="394">
        <v>79</v>
      </c>
      <c r="P11" s="394">
        <v>24</v>
      </c>
      <c r="Q11" s="204">
        <v>33.021419788316948</v>
      </c>
      <c r="R11" s="399">
        <f>AVERAGE(A11:Q11)</f>
        <v>66.601427985887796</v>
      </c>
      <c r="S11" s="115">
        <v>29.742840573556929</v>
      </c>
      <c r="T11" s="115">
        <v>39.799999999999997</v>
      </c>
      <c r="U11" s="115">
        <v>34.200000000000003</v>
      </c>
      <c r="V11" s="115">
        <v>28.3</v>
      </c>
      <c r="W11" s="115">
        <v>33.700000000000003</v>
      </c>
      <c r="X11" s="15">
        <f t="shared" si="0"/>
        <v>58.636461349893416</v>
      </c>
      <c r="Y11" s="734">
        <f t="shared" si="1"/>
        <v>38</v>
      </c>
      <c r="AA11" s="817"/>
      <c r="AB11" s="395" t="s">
        <v>503</v>
      </c>
      <c r="AC11" s="207">
        <f>W13</f>
        <v>47.9</v>
      </c>
      <c r="AD11" s="15">
        <f>X13</f>
        <v>84.407278032373412</v>
      </c>
    </row>
    <row r="12" spans="1:30" ht="13" x14ac:dyDescent="0.3">
      <c r="A12" s="817"/>
      <c r="B12" s="395" t="s">
        <v>120</v>
      </c>
      <c r="C12" s="394">
        <v>138</v>
      </c>
      <c r="D12" s="394">
        <v>140</v>
      </c>
      <c r="E12" s="394">
        <v>164</v>
      </c>
      <c r="F12" s="394">
        <v>79</v>
      </c>
      <c r="G12" s="394">
        <v>37</v>
      </c>
      <c r="H12" s="394">
        <v>33</v>
      </c>
      <c r="I12" s="394">
        <v>45</v>
      </c>
      <c r="J12" s="394">
        <v>40</v>
      </c>
      <c r="K12" s="394">
        <v>37</v>
      </c>
      <c r="L12" s="394">
        <v>57</v>
      </c>
      <c r="M12" s="394">
        <v>42</v>
      </c>
      <c r="N12" s="394">
        <v>49</v>
      </c>
      <c r="O12" s="394">
        <v>63</v>
      </c>
      <c r="P12" s="394">
        <v>27</v>
      </c>
      <c r="Q12" s="204">
        <v>34.148239344480501</v>
      </c>
      <c r="R12" s="399">
        <f>AVERAGE(A12:Q12)</f>
        <v>65.676549289632035</v>
      </c>
      <c r="S12" s="115">
        <v>31.47923603241675</v>
      </c>
      <c r="T12" s="115"/>
      <c r="U12" s="115"/>
      <c r="V12" s="115"/>
      <c r="W12" s="115"/>
      <c r="X12" s="15">
        <f t="shared" si="0"/>
        <v>63.664942627442905</v>
      </c>
      <c r="Y12" s="734">
        <f t="shared" si="1"/>
        <v>45</v>
      </c>
      <c r="AA12" s="818"/>
      <c r="AB12" s="79" t="s">
        <v>118</v>
      </c>
      <c r="AC12" s="416">
        <f>V14</f>
        <v>33.6</v>
      </c>
      <c r="AD12" s="15">
        <f>X14</f>
        <v>67.561469074510043</v>
      </c>
    </row>
    <row r="13" spans="1:30" ht="13" x14ac:dyDescent="0.3">
      <c r="A13" s="817"/>
      <c r="B13" s="395" t="s">
        <v>503</v>
      </c>
      <c r="C13" s="394">
        <v>270</v>
      </c>
      <c r="D13" s="394">
        <v>201</v>
      </c>
      <c r="E13" s="394">
        <v>240</v>
      </c>
      <c r="F13" s="394">
        <v>99</v>
      </c>
      <c r="G13" s="394">
        <v>52</v>
      </c>
      <c r="H13" s="394">
        <v>66</v>
      </c>
      <c r="I13" s="394">
        <v>86</v>
      </c>
      <c r="J13" s="394">
        <v>69</v>
      </c>
      <c r="K13" s="394">
        <v>54</v>
      </c>
      <c r="L13" s="394">
        <v>56</v>
      </c>
      <c r="M13" s="394">
        <v>64</v>
      </c>
      <c r="N13" s="394">
        <v>56</v>
      </c>
      <c r="O13" s="394">
        <v>56</v>
      </c>
      <c r="P13" s="394">
        <v>44</v>
      </c>
      <c r="Q13" s="204">
        <v>47.091899981300472</v>
      </c>
      <c r="R13" s="399">
        <f>AVERAGE(A13:Q13)</f>
        <v>97.33945999875337</v>
      </c>
      <c r="S13" s="115">
        <v>30.821478699787626</v>
      </c>
      <c r="T13" s="115">
        <v>62.2</v>
      </c>
      <c r="U13" s="115">
        <v>35.299999999999997</v>
      </c>
      <c r="V13" s="115">
        <v>38.9</v>
      </c>
      <c r="W13" s="115">
        <v>47.9</v>
      </c>
      <c r="X13" s="15">
        <f t="shared" si="0"/>
        <v>84.407278032373412</v>
      </c>
      <c r="Y13" s="734">
        <f t="shared" si="1"/>
        <v>56</v>
      </c>
      <c r="AA13" s="816" t="s">
        <v>24</v>
      </c>
      <c r="AB13" s="395" t="s">
        <v>119</v>
      </c>
      <c r="AC13" s="207">
        <f>W15</f>
        <v>6.2</v>
      </c>
      <c r="AD13" s="15">
        <f>X15</f>
        <v>6.5730273620559334</v>
      </c>
    </row>
    <row r="14" spans="1:30" x14ac:dyDescent="0.25">
      <c r="A14" s="818"/>
      <c r="B14" s="79" t="s">
        <v>118</v>
      </c>
      <c r="C14" s="397">
        <f t="shared" ref="C14:J14" si="6">AVERAGE(C11:C13)</f>
        <v>184</v>
      </c>
      <c r="D14" s="397">
        <f t="shared" si="6"/>
        <v>162.33333333333334</v>
      </c>
      <c r="E14" s="397">
        <f t="shared" si="6"/>
        <v>193</v>
      </c>
      <c r="F14" s="397">
        <f t="shared" si="6"/>
        <v>87</v>
      </c>
      <c r="G14" s="397">
        <f t="shared" si="6"/>
        <v>41</v>
      </c>
      <c r="H14" s="397">
        <f t="shared" si="6"/>
        <v>42.666666666666664</v>
      </c>
      <c r="I14" s="397">
        <f t="shared" si="6"/>
        <v>56.333333333333336</v>
      </c>
      <c r="J14" s="397">
        <f t="shared" si="6"/>
        <v>47.333333333333336</v>
      </c>
      <c r="K14" s="397">
        <f>AVERAGE(K11:K13)</f>
        <v>41.666666666666664</v>
      </c>
      <c r="L14" s="398">
        <v>60</v>
      </c>
      <c r="M14" s="398">
        <v>50</v>
      </c>
      <c r="N14" s="397">
        <f t="shared" ref="N14:W14" si="7">AVERAGE(N11:N13)</f>
        <v>50.333333333333336</v>
      </c>
      <c r="O14" s="397">
        <f t="shared" si="7"/>
        <v>66</v>
      </c>
      <c r="P14" s="397">
        <f t="shared" si="7"/>
        <v>31.666666666666668</v>
      </c>
      <c r="Q14" s="397">
        <f t="shared" si="7"/>
        <v>38.087186371365974</v>
      </c>
      <c r="R14" s="397">
        <f t="shared" si="7"/>
        <v>76.539145758091067</v>
      </c>
      <c r="S14" s="397">
        <f t="shared" si="7"/>
        <v>30.681185101920438</v>
      </c>
      <c r="T14" s="397">
        <f t="shared" si="7"/>
        <v>51</v>
      </c>
      <c r="U14" s="397">
        <f t="shared" si="7"/>
        <v>34.75</v>
      </c>
      <c r="V14" s="397">
        <f t="shared" si="7"/>
        <v>33.6</v>
      </c>
      <c r="W14" s="397">
        <f t="shared" si="7"/>
        <v>40.799999999999997</v>
      </c>
      <c r="X14" s="15">
        <f t="shared" si="0"/>
        <v>67.561469074510043</v>
      </c>
      <c r="Y14" s="734">
        <f t="shared" si="1"/>
        <v>50</v>
      </c>
      <c r="AA14" s="817"/>
      <c r="AB14" s="395" t="s">
        <v>503</v>
      </c>
      <c r="AC14" s="207">
        <f t="shared" ref="AC14:AD16" si="8">W17</f>
        <v>10.5</v>
      </c>
      <c r="AD14" s="15">
        <f t="shared" si="8"/>
        <v>10.527410768315546</v>
      </c>
    </row>
    <row r="15" spans="1:30" ht="13" x14ac:dyDescent="0.3">
      <c r="A15" s="816" t="s">
        <v>24</v>
      </c>
      <c r="B15" s="395" t="s">
        <v>119</v>
      </c>
      <c r="C15" s="394">
        <v>6</v>
      </c>
      <c r="D15" s="394">
        <v>7</v>
      </c>
      <c r="E15" s="394">
        <v>4</v>
      </c>
      <c r="F15" s="394">
        <v>9</v>
      </c>
      <c r="G15" s="394">
        <v>6</v>
      </c>
      <c r="H15" s="394">
        <v>4</v>
      </c>
      <c r="I15" s="394">
        <v>12</v>
      </c>
      <c r="J15" s="394">
        <v>6</v>
      </c>
      <c r="K15" s="394">
        <v>7</v>
      </c>
      <c r="L15" s="394">
        <v>6</v>
      </c>
      <c r="M15" s="394">
        <v>7</v>
      </c>
      <c r="N15" s="394">
        <v>5</v>
      </c>
      <c r="O15" s="394">
        <v>7</v>
      </c>
      <c r="P15" s="394">
        <v>3</v>
      </c>
      <c r="Q15" s="80">
        <v>5.4026666666666667</v>
      </c>
      <c r="R15" s="400">
        <f>AVERAGE(A15:Q15)</f>
        <v>6.2935111111111111</v>
      </c>
      <c r="S15" s="115">
        <v>5.7373968253968224</v>
      </c>
      <c r="T15" s="115">
        <v>11.2</v>
      </c>
      <c r="U15" s="115">
        <v>6.9</v>
      </c>
      <c r="V15" s="115">
        <v>7.3</v>
      </c>
      <c r="W15" s="115">
        <v>6.2</v>
      </c>
      <c r="X15" s="15">
        <f t="shared" si="0"/>
        <v>6.5730273620559334</v>
      </c>
      <c r="Y15" s="734">
        <f t="shared" si="1"/>
        <v>6.2</v>
      </c>
      <c r="AA15" s="818"/>
      <c r="AB15" s="79" t="s">
        <v>118</v>
      </c>
      <c r="AC15" s="204">
        <f t="shared" si="8"/>
        <v>8.35</v>
      </c>
      <c r="AD15" s="15">
        <f t="shared" si="8"/>
        <v>8.2254223330889022</v>
      </c>
    </row>
    <row r="16" spans="1:30" ht="14" x14ac:dyDescent="0.4">
      <c r="A16" s="817"/>
      <c r="B16" s="395" t="s">
        <v>120</v>
      </c>
      <c r="C16" s="394">
        <v>8</v>
      </c>
      <c r="D16" s="394">
        <v>6</v>
      </c>
      <c r="E16" s="394">
        <v>6</v>
      </c>
      <c r="F16" s="394">
        <v>8</v>
      </c>
      <c r="G16" s="394">
        <v>7</v>
      </c>
      <c r="H16" s="394">
        <v>4</v>
      </c>
      <c r="I16" s="394">
        <v>15</v>
      </c>
      <c r="J16" s="394">
        <v>8</v>
      </c>
      <c r="K16" s="394">
        <v>9</v>
      </c>
      <c r="L16" s="394">
        <v>5</v>
      </c>
      <c r="M16" s="394">
        <v>7</v>
      </c>
      <c r="N16" s="394">
        <v>5</v>
      </c>
      <c r="O16" s="394">
        <v>6</v>
      </c>
      <c r="P16" s="394">
        <v>5</v>
      </c>
      <c r="Q16" s="80">
        <v>6.2253333333333343</v>
      </c>
      <c r="R16" s="400">
        <f>AVERAGE(A16:Q16)</f>
        <v>7.0150222222222229</v>
      </c>
      <c r="S16" s="115">
        <v>5.7020506912442395</v>
      </c>
      <c r="T16" s="115"/>
      <c r="U16" s="115"/>
      <c r="V16" s="115"/>
      <c r="W16" s="115"/>
      <c r="X16" s="15">
        <f t="shared" si="0"/>
        <v>6.9377886027529296</v>
      </c>
      <c r="Y16" s="734">
        <f t="shared" si="1"/>
        <v>6.2253333333333343</v>
      </c>
      <c r="AA16" s="17" t="s">
        <v>25</v>
      </c>
      <c r="AB16" s="395" t="s">
        <v>119</v>
      </c>
      <c r="AC16" s="207">
        <f t="shared" si="8"/>
        <v>2.2000000000000002</v>
      </c>
      <c r="AD16" s="15">
        <f t="shared" si="8"/>
        <v>2.1912202380952386</v>
      </c>
    </row>
    <row r="17" spans="1:25" ht="13" x14ac:dyDescent="0.3">
      <c r="A17" s="817"/>
      <c r="B17" s="395" t="s">
        <v>503</v>
      </c>
      <c r="C17" s="394">
        <v>19</v>
      </c>
      <c r="D17" s="394">
        <v>8</v>
      </c>
      <c r="E17" s="394">
        <v>5</v>
      </c>
      <c r="F17" s="394">
        <v>9</v>
      </c>
      <c r="G17" s="394">
        <v>13</v>
      </c>
      <c r="H17" s="394">
        <v>7</v>
      </c>
      <c r="I17" s="394">
        <v>22</v>
      </c>
      <c r="J17" s="394">
        <v>12</v>
      </c>
      <c r="K17" s="394">
        <v>12</v>
      </c>
      <c r="L17" s="394">
        <v>8</v>
      </c>
      <c r="M17" s="394">
        <v>10</v>
      </c>
      <c r="N17" s="394">
        <v>5</v>
      </c>
      <c r="O17" s="394">
        <v>8</v>
      </c>
      <c r="P17" s="394">
        <v>9</v>
      </c>
      <c r="Q17" s="80">
        <v>7.4459215686274529</v>
      </c>
      <c r="R17" s="400">
        <f>AVERAGE(A17:Q17)</f>
        <v>10.296394771241831</v>
      </c>
      <c r="S17" s="115">
        <v>6.033309794757165</v>
      </c>
      <c r="T17" s="115">
        <v>20.9</v>
      </c>
      <c r="U17" s="115">
        <v>10</v>
      </c>
      <c r="V17" s="115">
        <v>8.9</v>
      </c>
      <c r="W17" s="115">
        <v>10.5</v>
      </c>
      <c r="X17" s="15">
        <f t="shared" si="0"/>
        <v>10.527410768315546</v>
      </c>
      <c r="Y17" s="734">
        <f t="shared" si="1"/>
        <v>9</v>
      </c>
    </row>
    <row r="18" spans="1:25" x14ac:dyDescent="0.25">
      <c r="A18" s="818"/>
      <c r="B18" s="79" t="s">
        <v>118</v>
      </c>
      <c r="C18" s="397">
        <f t="shared" ref="C18:J18" si="9">AVERAGE(C15:C17)</f>
        <v>11</v>
      </c>
      <c r="D18" s="397">
        <f t="shared" si="9"/>
        <v>7</v>
      </c>
      <c r="E18" s="397">
        <f t="shared" si="9"/>
        <v>5</v>
      </c>
      <c r="F18" s="397">
        <f t="shared" si="9"/>
        <v>8.6666666666666661</v>
      </c>
      <c r="G18" s="397">
        <f t="shared" si="9"/>
        <v>8.6666666666666661</v>
      </c>
      <c r="H18" s="397">
        <f t="shared" si="9"/>
        <v>5</v>
      </c>
      <c r="I18" s="397">
        <f t="shared" si="9"/>
        <v>16.333333333333332</v>
      </c>
      <c r="J18" s="397">
        <f t="shared" si="9"/>
        <v>8.6666666666666661</v>
      </c>
      <c r="K18" s="397">
        <f>AVERAGE(K15:K17)</f>
        <v>9.3333333333333339</v>
      </c>
      <c r="L18" s="398">
        <v>6.4</v>
      </c>
      <c r="M18" s="398">
        <v>8</v>
      </c>
      <c r="N18" s="398">
        <f t="shared" ref="N18:W18" si="10">AVERAGE(N15:N17)</f>
        <v>5</v>
      </c>
      <c r="O18" s="398">
        <f t="shared" si="10"/>
        <v>7</v>
      </c>
      <c r="P18" s="397">
        <f t="shared" si="10"/>
        <v>5.666666666666667</v>
      </c>
      <c r="Q18" s="397">
        <f t="shared" si="10"/>
        <v>6.3579738562091519</v>
      </c>
      <c r="R18" s="397">
        <f t="shared" si="10"/>
        <v>7.8683093681917216</v>
      </c>
      <c r="S18" s="397">
        <f t="shared" si="10"/>
        <v>5.824252437132742</v>
      </c>
      <c r="T18" s="397">
        <f t="shared" si="10"/>
        <v>16.049999999999997</v>
      </c>
      <c r="U18" s="397">
        <f t="shared" si="10"/>
        <v>8.4499999999999993</v>
      </c>
      <c r="V18" s="397">
        <f t="shared" si="10"/>
        <v>8.1</v>
      </c>
      <c r="W18" s="397">
        <f t="shared" si="10"/>
        <v>8.35</v>
      </c>
      <c r="X18" s="15">
        <f t="shared" si="0"/>
        <v>8.2254223330889022</v>
      </c>
      <c r="Y18" s="734">
        <f t="shared" si="1"/>
        <v>8</v>
      </c>
    </row>
    <row r="19" spans="1:25" ht="14" x14ac:dyDescent="0.4">
      <c r="A19" s="17" t="s">
        <v>25</v>
      </c>
      <c r="B19" s="395" t="s">
        <v>119</v>
      </c>
      <c r="C19" s="394">
        <v>2.17</v>
      </c>
      <c r="D19" s="394">
        <v>2.1</v>
      </c>
      <c r="E19" s="394">
        <v>2.84</v>
      </c>
      <c r="F19" s="394">
        <v>1.79</v>
      </c>
      <c r="G19" s="394">
        <v>2.14</v>
      </c>
      <c r="H19" s="394">
        <v>2.5099999999999998</v>
      </c>
      <c r="I19" s="394">
        <v>1.7</v>
      </c>
      <c r="J19" s="394">
        <v>1.8</v>
      </c>
      <c r="K19" s="394">
        <v>1.8</v>
      </c>
      <c r="L19" s="394">
        <v>2.4</v>
      </c>
      <c r="M19" s="394">
        <v>2.2999999999999998</v>
      </c>
      <c r="N19" s="394">
        <v>3</v>
      </c>
      <c r="O19" s="394">
        <v>1.7</v>
      </c>
      <c r="P19" s="394">
        <v>2.6</v>
      </c>
      <c r="Q19" s="207">
        <v>2.0656249999999998</v>
      </c>
      <c r="R19" s="207">
        <v>2.4</v>
      </c>
      <c r="S19" s="207">
        <v>1.7</v>
      </c>
      <c r="T19" s="207">
        <v>2.4</v>
      </c>
      <c r="U19" s="207">
        <v>2.7</v>
      </c>
      <c r="V19" s="207">
        <v>1.7</v>
      </c>
      <c r="W19" s="207">
        <v>2.2000000000000002</v>
      </c>
      <c r="X19" s="15">
        <f t="shared" si="0"/>
        <v>2.1912202380952386</v>
      </c>
      <c r="Y19" s="734">
        <f t="shared" si="1"/>
        <v>2.17</v>
      </c>
    </row>
  </sheetData>
  <mergeCells count="15">
    <mergeCell ref="A11:A14"/>
    <mergeCell ref="A15:A18"/>
    <mergeCell ref="A1:X1"/>
    <mergeCell ref="A2:A3"/>
    <mergeCell ref="B2:B3"/>
    <mergeCell ref="C2:X2"/>
    <mergeCell ref="A4:A6"/>
    <mergeCell ref="A7:A10"/>
    <mergeCell ref="AA10:AA12"/>
    <mergeCell ref="AA13:AA15"/>
    <mergeCell ref="AA3:AA4"/>
    <mergeCell ref="AB3:AB4"/>
    <mergeCell ref="AC3:AD3"/>
    <mergeCell ref="AA5:AA6"/>
    <mergeCell ref="AA7:AA9"/>
  </mergeCells>
  <phoneticPr fontId="8" type="noConversion"/>
  <pageMargins left="0.75" right="0.75" top="1" bottom="1" header="0.5" footer="0.5"/>
  <pageSetup orientation="landscape" horizontalDpi="4294967293"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95"/>
  <sheetViews>
    <sheetView topLeftCell="B1" workbookViewId="0">
      <selection activeCell="G8" sqref="G8"/>
    </sheetView>
  </sheetViews>
  <sheetFormatPr defaultRowHeight="12.5" x14ac:dyDescent="0.25"/>
  <cols>
    <col min="1" max="1" width="16.6328125" customWidth="1"/>
    <col min="2" max="2" width="10.08984375" bestFit="1" customWidth="1"/>
    <col min="4" max="4" width="11.54296875" customWidth="1"/>
    <col min="8" max="8" width="12" customWidth="1"/>
    <col min="9" max="9" width="16" customWidth="1"/>
    <col min="10" max="10" width="23.6328125" customWidth="1"/>
    <col min="11" max="11" width="14.90625" customWidth="1"/>
    <col min="20" max="20" width="16" bestFit="1" customWidth="1"/>
  </cols>
  <sheetData>
    <row r="1" spans="1:22" ht="14" x14ac:dyDescent="0.3">
      <c r="A1" s="129" t="s">
        <v>505</v>
      </c>
    </row>
    <row r="2" spans="1:22" ht="13" x14ac:dyDescent="0.3">
      <c r="A2" s="1" t="s">
        <v>168</v>
      </c>
      <c r="B2" s="148">
        <v>40686</v>
      </c>
      <c r="I2" s="1"/>
      <c r="J2" s="29"/>
      <c r="K2" s="160"/>
      <c r="L2" s="1"/>
      <c r="M2" s="1"/>
      <c r="N2" s="8"/>
      <c r="O2" s="159"/>
      <c r="T2" s="274" t="s">
        <v>246</v>
      </c>
      <c r="U2" s="462">
        <v>40686</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489">
        <v>3</v>
      </c>
    </row>
    <row r="4" spans="1:22" ht="13" x14ac:dyDescent="0.3">
      <c r="A4" s="91" t="s">
        <v>213</v>
      </c>
      <c r="B4" s="137">
        <v>0.39861111111111108</v>
      </c>
      <c r="C4" s="82">
        <v>1.28</v>
      </c>
      <c r="D4" s="82">
        <v>9.57</v>
      </c>
      <c r="E4" s="82">
        <v>9.9</v>
      </c>
      <c r="F4" s="82">
        <v>8.44</v>
      </c>
      <c r="G4" s="89"/>
      <c r="I4" s="168"/>
      <c r="J4" s="169"/>
      <c r="K4" s="163"/>
      <c r="L4" s="11"/>
      <c r="M4" s="165"/>
      <c r="N4" s="166"/>
      <c r="O4" s="170"/>
      <c r="T4" s="179" t="s">
        <v>253</v>
      </c>
      <c r="U4" s="490">
        <v>16</v>
      </c>
    </row>
    <row r="5" spans="1:22" ht="13" x14ac:dyDescent="0.3">
      <c r="A5" s="91" t="s">
        <v>214</v>
      </c>
      <c r="B5" s="137">
        <v>0.41111111111111115</v>
      </c>
      <c r="C5" s="82">
        <v>0.28599999999999998</v>
      </c>
      <c r="D5" s="82">
        <v>8.82</v>
      </c>
      <c r="E5" s="82">
        <v>10.3</v>
      </c>
      <c r="F5" s="82">
        <v>8.15</v>
      </c>
      <c r="G5" s="89"/>
      <c r="I5" s="168"/>
      <c r="J5" s="169"/>
      <c r="K5" s="172"/>
      <c r="L5" s="173"/>
      <c r="M5" s="174"/>
      <c r="N5" s="175"/>
      <c r="O5" s="170"/>
      <c r="T5" s="309" t="s">
        <v>257</v>
      </c>
      <c r="U5" s="490">
        <v>4</v>
      </c>
    </row>
    <row r="6" spans="1:22" ht="13" x14ac:dyDescent="0.3">
      <c r="A6" s="91" t="s">
        <v>215</v>
      </c>
      <c r="B6" s="137">
        <v>0.42986111111111108</v>
      </c>
      <c r="C6" s="82">
        <v>0.60199999999999998</v>
      </c>
      <c r="D6" s="82">
        <v>7.87</v>
      </c>
      <c r="E6" s="82">
        <v>14.8</v>
      </c>
      <c r="F6" s="82">
        <v>8.5299999999999994</v>
      </c>
      <c r="G6" s="89"/>
      <c r="I6" s="20"/>
      <c r="J6" s="162"/>
      <c r="K6" s="163"/>
      <c r="L6" s="28"/>
      <c r="M6" s="165"/>
      <c r="N6" s="166"/>
      <c r="O6" s="167"/>
      <c r="T6" s="179" t="s">
        <v>247</v>
      </c>
      <c r="U6" s="490">
        <v>26</v>
      </c>
    </row>
    <row r="7" spans="1:22" ht="14" x14ac:dyDescent="0.3">
      <c r="A7" s="91" t="s">
        <v>208</v>
      </c>
      <c r="B7" s="222" t="s">
        <v>539</v>
      </c>
      <c r="C7" s="223"/>
      <c r="D7" s="223"/>
      <c r="E7" s="223"/>
      <c r="F7" s="224"/>
      <c r="G7" s="188" t="s">
        <v>184</v>
      </c>
      <c r="H7" s="189" t="s">
        <v>195</v>
      </c>
      <c r="I7" s="168"/>
      <c r="J7" s="169"/>
      <c r="K7" s="163"/>
      <c r="L7" s="11"/>
      <c r="M7" s="165"/>
      <c r="N7" s="166"/>
      <c r="O7" s="170"/>
      <c r="T7" s="446" t="s">
        <v>537</v>
      </c>
      <c r="U7" s="490">
        <v>2</v>
      </c>
    </row>
    <row r="8" spans="1:22" ht="13" x14ac:dyDescent="0.3">
      <c r="A8" s="121" t="s">
        <v>506</v>
      </c>
      <c r="B8" s="201">
        <v>0.45763888888888887</v>
      </c>
      <c r="C8" s="82">
        <v>0.60299999999999998</v>
      </c>
      <c r="D8" s="82">
        <v>8.9</v>
      </c>
      <c r="E8" s="82">
        <v>14.1</v>
      </c>
      <c r="F8" s="82">
        <v>8.61</v>
      </c>
      <c r="G8" s="128">
        <v>2.2999999999999998</v>
      </c>
      <c r="H8" s="178">
        <v>10.8</v>
      </c>
      <c r="I8" s="168"/>
      <c r="J8" s="169"/>
      <c r="K8" s="172"/>
      <c r="L8" s="173"/>
      <c r="M8" s="174"/>
      <c r="N8" s="175"/>
      <c r="O8" s="170"/>
      <c r="T8" s="446" t="s">
        <v>538</v>
      </c>
      <c r="U8" s="490">
        <v>4</v>
      </c>
    </row>
    <row r="9" spans="1:22" ht="13" x14ac:dyDescent="0.3">
      <c r="A9" s="121" t="s">
        <v>175</v>
      </c>
      <c r="B9" s="82"/>
      <c r="C9" s="82">
        <v>0.60299999999999998</v>
      </c>
      <c r="D9" s="82">
        <v>8.6999999999999993</v>
      </c>
      <c r="E9" s="82">
        <v>13.7</v>
      </c>
      <c r="F9" s="82">
        <v>8.61</v>
      </c>
      <c r="G9" s="89"/>
      <c r="K9" s="177"/>
      <c r="M9" s="174"/>
      <c r="N9" s="175"/>
      <c r="O9" s="167"/>
      <c r="T9" s="179" t="s">
        <v>249</v>
      </c>
      <c r="U9" s="490">
        <v>57</v>
      </c>
    </row>
    <row r="10" spans="1:22" ht="13" x14ac:dyDescent="0.3">
      <c r="A10" s="121" t="s">
        <v>507</v>
      </c>
      <c r="B10" s="82"/>
      <c r="C10" s="82">
        <v>0.60299999999999998</v>
      </c>
      <c r="D10" s="82">
        <v>8.5500000000000007</v>
      </c>
      <c r="E10" s="82">
        <v>13.4</v>
      </c>
      <c r="F10" s="82">
        <v>8.61</v>
      </c>
      <c r="G10" s="89"/>
      <c r="H10" s="176" t="s">
        <v>521</v>
      </c>
      <c r="I10" s="442">
        <f>AVERAGE(E8:E11)</f>
        <v>13.599999999999998</v>
      </c>
      <c r="K10" s="163"/>
      <c r="L10" s="28"/>
      <c r="M10" s="165"/>
      <c r="N10" s="166"/>
      <c r="O10" s="167"/>
      <c r="T10" s="179" t="s">
        <v>250</v>
      </c>
      <c r="U10" s="490">
        <v>1</v>
      </c>
      <c r="V10" s="20" t="s">
        <v>593</v>
      </c>
    </row>
    <row r="11" spans="1:22" ht="13" x14ac:dyDescent="0.3">
      <c r="A11" s="121" t="s">
        <v>176</v>
      </c>
      <c r="B11" s="82"/>
      <c r="C11" s="82">
        <v>0.60299999999999998</v>
      </c>
      <c r="D11" s="82">
        <v>8.92</v>
      </c>
      <c r="E11" s="82">
        <v>13.2</v>
      </c>
      <c r="F11" s="82">
        <v>8.6</v>
      </c>
      <c r="G11" s="89"/>
      <c r="H11" s="20" t="s">
        <v>549</v>
      </c>
      <c r="I11" s="442">
        <f>AVERAGE(E8:E19)</f>
        <v>12.566666666666668</v>
      </c>
      <c r="K11" s="163"/>
      <c r="L11" s="11"/>
      <c r="M11" s="165"/>
      <c r="N11" s="166"/>
      <c r="O11" s="170"/>
      <c r="T11" s="179" t="s">
        <v>251</v>
      </c>
      <c r="U11" s="208">
        <v>37</v>
      </c>
    </row>
    <row r="12" spans="1:22" ht="13" x14ac:dyDescent="0.3">
      <c r="A12" s="121" t="s">
        <v>508</v>
      </c>
      <c r="B12" s="82"/>
      <c r="C12" s="82">
        <v>0.60299999999999998</v>
      </c>
      <c r="D12" s="82">
        <v>8.4700000000000006</v>
      </c>
      <c r="E12" s="82">
        <v>12.7</v>
      </c>
      <c r="F12" s="82">
        <v>8.59</v>
      </c>
      <c r="G12" s="89"/>
      <c r="H12" s="168"/>
      <c r="I12" s="169"/>
      <c r="K12" s="172"/>
      <c r="L12" s="173"/>
      <c r="M12" s="174"/>
      <c r="N12" s="175"/>
      <c r="O12" s="170"/>
      <c r="T12" s="179" t="s">
        <v>576</v>
      </c>
      <c r="U12" s="490">
        <v>3</v>
      </c>
    </row>
    <row r="13" spans="1:22" ht="13" x14ac:dyDescent="0.3">
      <c r="A13" s="121" t="s">
        <v>177</v>
      </c>
      <c r="B13" s="82"/>
      <c r="C13" s="82">
        <v>0.60299999999999998</v>
      </c>
      <c r="D13" s="82">
        <v>8.4</v>
      </c>
      <c r="E13" s="82">
        <v>12.5</v>
      </c>
      <c r="F13" s="82">
        <v>8.57</v>
      </c>
      <c r="G13" s="89"/>
      <c r="H13" s="440" t="s">
        <v>548</v>
      </c>
      <c r="I13" s="333">
        <f>AVERAGE(D8:D22)</f>
        <v>6.9926666666666648</v>
      </c>
      <c r="K13" s="163"/>
      <c r="L13" s="28"/>
      <c r="M13" s="165"/>
      <c r="N13" s="166"/>
      <c r="O13" s="167"/>
      <c r="T13" s="89"/>
      <c r="U13" s="89"/>
    </row>
    <row r="14" spans="1:22" ht="13" x14ac:dyDescent="0.3">
      <c r="A14" s="121" t="s">
        <v>509</v>
      </c>
      <c r="B14" s="82"/>
      <c r="C14" s="82">
        <v>0.60299999999999998</v>
      </c>
      <c r="D14" s="82">
        <v>8.2100000000000009</v>
      </c>
      <c r="E14" s="82">
        <v>12.5</v>
      </c>
      <c r="F14" s="82">
        <v>8.5299999999999994</v>
      </c>
      <c r="G14" s="89"/>
      <c r="H14" s="440" t="s">
        <v>526</v>
      </c>
      <c r="I14" s="333">
        <f>AVERAGE(D8:D11)</f>
        <v>8.7675000000000001</v>
      </c>
      <c r="K14" s="163"/>
      <c r="L14" s="11"/>
      <c r="M14" s="165"/>
      <c r="N14" s="166"/>
      <c r="O14" s="170"/>
    </row>
    <row r="15" spans="1:22" ht="13" x14ac:dyDescent="0.3">
      <c r="A15" s="121" t="s">
        <v>178</v>
      </c>
      <c r="B15" s="82"/>
      <c r="C15" s="82">
        <v>0.60599999999999998</v>
      </c>
      <c r="D15" s="82">
        <v>7.45</v>
      </c>
      <c r="E15" s="82">
        <v>12.2</v>
      </c>
      <c r="F15" s="186">
        <v>8.35</v>
      </c>
      <c r="G15" s="89"/>
      <c r="K15" s="172"/>
      <c r="L15" s="173"/>
      <c r="M15" s="174"/>
      <c r="N15" s="175"/>
      <c r="O15" s="170"/>
    </row>
    <row r="16" spans="1:22" ht="13" x14ac:dyDescent="0.3">
      <c r="A16" s="121" t="s">
        <v>179</v>
      </c>
      <c r="B16" s="137"/>
      <c r="C16" s="82">
        <v>0.61</v>
      </c>
      <c r="D16" s="82">
        <v>6.71</v>
      </c>
      <c r="E16" s="82">
        <v>12</v>
      </c>
      <c r="F16" s="82">
        <v>8.15</v>
      </c>
      <c r="G16" s="89"/>
      <c r="H16" s="440" t="s">
        <v>547</v>
      </c>
      <c r="I16" s="333">
        <f>AVERAGE(F8:F22)</f>
        <v>8.2440000000000015</v>
      </c>
      <c r="K16" s="163"/>
      <c r="L16" s="28"/>
      <c r="M16" s="165"/>
      <c r="N16" s="166"/>
      <c r="O16" s="167"/>
    </row>
    <row r="17" spans="1:20" ht="13" x14ac:dyDescent="0.3">
      <c r="A17" s="121" t="s">
        <v>180</v>
      </c>
      <c r="B17" s="137"/>
      <c r="C17" s="82">
        <v>0.61499999999999999</v>
      </c>
      <c r="D17" s="312">
        <v>6.27</v>
      </c>
      <c r="E17" s="82">
        <v>11.6</v>
      </c>
      <c r="F17" s="82">
        <v>8.0299999999999994</v>
      </c>
      <c r="G17" s="89"/>
      <c r="H17" s="440" t="s">
        <v>546</v>
      </c>
      <c r="I17" s="441">
        <f>AVERAGE(C8:C22)</f>
        <v>0.61113333333333331</v>
      </c>
      <c r="J17" s="169"/>
      <c r="K17" s="163"/>
      <c r="L17" s="11"/>
      <c r="M17" s="165"/>
      <c r="N17" s="166"/>
      <c r="O17" s="170"/>
    </row>
    <row r="18" spans="1:20" ht="13" x14ac:dyDescent="0.3">
      <c r="A18" s="121" t="s">
        <v>181</v>
      </c>
      <c r="B18" s="82"/>
      <c r="C18" s="82">
        <v>0.61799999999999999</v>
      </c>
      <c r="D18" s="312">
        <v>6.02</v>
      </c>
      <c r="E18" s="82">
        <v>11.6</v>
      </c>
      <c r="F18" s="82">
        <v>8</v>
      </c>
      <c r="G18" s="89"/>
      <c r="I18" s="168"/>
      <c r="J18" s="169"/>
      <c r="K18" s="172"/>
      <c r="L18" s="173"/>
      <c r="M18" s="174"/>
      <c r="N18" s="175"/>
      <c r="O18" s="170"/>
    </row>
    <row r="19" spans="1:20" ht="13" x14ac:dyDescent="0.3">
      <c r="A19" s="121" t="s">
        <v>182</v>
      </c>
      <c r="B19" s="82"/>
      <c r="C19" s="82">
        <v>0.62</v>
      </c>
      <c r="D19" s="312">
        <v>5.59</v>
      </c>
      <c r="E19" s="82">
        <v>11.3</v>
      </c>
      <c r="F19" s="82">
        <v>7.88</v>
      </c>
      <c r="G19" s="89"/>
      <c r="I19" s="168"/>
      <c r="J19" s="169"/>
      <c r="K19" s="172"/>
      <c r="L19" s="173"/>
      <c r="M19" s="174"/>
      <c r="N19" s="175"/>
      <c r="S19" s="149"/>
    </row>
    <row r="20" spans="1:20" ht="13" x14ac:dyDescent="0.3">
      <c r="A20" s="121" t="s">
        <v>183</v>
      </c>
      <c r="B20" s="82"/>
      <c r="C20" s="82">
        <v>0.622</v>
      </c>
      <c r="D20" s="312">
        <v>4.6100000000000003</v>
      </c>
      <c r="E20" s="82">
        <v>11.2</v>
      </c>
      <c r="F20" s="82">
        <v>7.76</v>
      </c>
      <c r="G20" s="89"/>
      <c r="I20" s="168"/>
      <c r="J20" s="169"/>
      <c r="K20" s="172"/>
      <c r="L20" s="173"/>
      <c r="M20" s="174"/>
      <c r="N20" s="175"/>
      <c r="S20" s="447"/>
      <c r="T20" s="447"/>
    </row>
    <row r="21" spans="1:20" ht="13" x14ac:dyDescent="0.3">
      <c r="A21" s="121" t="s">
        <v>206</v>
      </c>
      <c r="B21" s="82"/>
      <c r="C21" s="82">
        <v>0.625</v>
      </c>
      <c r="D21" s="312">
        <v>4.3499999999999996</v>
      </c>
      <c r="E21" s="82">
        <v>11.1</v>
      </c>
      <c r="F21" s="82">
        <v>7.73</v>
      </c>
      <c r="G21" s="89"/>
      <c r="I21" s="168"/>
      <c r="J21" s="169"/>
      <c r="K21" s="172"/>
      <c r="L21" s="173"/>
      <c r="M21" s="174"/>
      <c r="N21" s="175"/>
      <c r="S21" s="86"/>
      <c r="T21" s="86"/>
    </row>
    <row r="22" spans="1:20" ht="13" x14ac:dyDescent="0.3">
      <c r="A22" s="121" t="s">
        <v>207</v>
      </c>
      <c r="B22" s="82"/>
      <c r="C22" s="82">
        <v>0.63</v>
      </c>
      <c r="D22" s="82">
        <v>3.74</v>
      </c>
      <c r="E22" s="82">
        <v>11</v>
      </c>
      <c r="F22" s="82">
        <v>7.64</v>
      </c>
      <c r="G22" s="89"/>
      <c r="S22" s="86"/>
      <c r="T22" s="86"/>
    </row>
    <row r="23" spans="1:20" ht="13" x14ac:dyDescent="0.3">
      <c r="A23" s="121" t="s">
        <v>209</v>
      </c>
      <c r="B23" s="137">
        <v>0.43888888888888888</v>
      </c>
      <c r="C23" s="82">
        <v>1.1599999999999999</v>
      </c>
      <c r="D23" s="82">
        <v>9.14</v>
      </c>
      <c r="E23" s="82">
        <v>10.7</v>
      </c>
      <c r="F23" s="82">
        <v>8.17</v>
      </c>
      <c r="G23" s="179" t="s">
        <v>597</v>
      </c>
      <c r="H23" s="20" t="s">
        <v>591</v>
      </c>
      <c r="S23" s="86"/>
      <c r="T23" s="86"/>
    </row>
    <row r="24" spans="1:20" ht="13" x14ac:dyDescent="0.3">
      <c r="A24" s="306" t="s">
        <v>210</v>
      </c>
      <c r="B24" s="137">
        <v>0.44444444444444442</v>
      </c>
      <c r="C24" s="82">
        <v>1.19</v>
      </c>
      <c r="D24" s="82">
        <v>8.9499999999999993</v>
      </c>
      <c r="E24" s="82">
        <v>12.9</v>
      </c>
      <c r="F24" s="82">
        <v>8.49</v>
      </c>
      <c r="G24" s="179" t="s">
        <v>598</v>
      </c>
      <c r="H24" s="20" t="s">
        <v>562</v>
      </c>
      <c r="S24" s="86"/>
      <c r="T24" s="86"/>
    </row>
    <row r="25" spans="1:20" x14ac:dyDescent="0.25">
      <c r="A25" s="125" t="s">
        <v>11</v>
      </c>
      <c r="B25" s="193" t="s">
        <v>592</v>
      </c>
      <c r="C25" s="126"/>
      <c r="D25" s="126"/>
      <c r="E25" s="126"/>
      <c r="F25" s="126"/>
      <c r="G25" s="126"/>
      <c r="S25" s="86"/>
      <c r="T25" s="86"/>
    </row>
    <row r="26" spans="1:20" x14ac:dyDescent="0.25">
      <c r="A26" s="138"/>
      <c r="B26" s="20" t="s">
        <v>558</v>
      </c>
      <c r="D26" s="322"/>
      <c r="E26" s="322"/>
      <c r="F26" s="322"/>
      <c r="G26" s="322"/>
      <c r="S26" s="86"/>
      <c r="T26" s="86"/>
    </row>
    <row r="27" spans="1:20" x14ac:dyDescent="0.25">
      <c r="A27" s="138"/>
      <c r="B27" s="322"/>
      <c r="C27" s="322"/>
      <c r="D27" s="322"/>
      <c r="E27" s="322"/>
      <c r="F27" s="322"/>
      <c r="G27" s="322"/>
      <c r="S27" s="86"/>
      <c r="T27" s="86"/>
    </row>
    <row r="28" spans="1:20" ht="24" x14ac:dyDescent="0.35">
      <c r="A28" s="951" t="s">
        <v>127</v>
      </c>
      <c r="B28" s="951"/>
      <c r="C28" s="290"/>
      <c r="D28" s="951" t="s">
        <v>130</v>
      </c>
      <c r="E28" s="951"/>
      <c r="F28" s="131"/>
      <c r="G28" s="947" t="s">
        <v>31</v>
      </c>
      <c r="H28" s="947"/>
      <c r="J28" s="135" t="s">
        <v>187</v>
      </c>
      <c r="K28" s="135" t="s">
        <v>188</v>
      </c>
      <c r="L28" s="136" t="s">
        <v>189</v>
      </c>
      <c r="M28" s="135" t="s">
        <v>190</v>
      </c>
      <c r="N28" s="136" t="s">
        <v>191</v>
      </c>
      <c r="S28" s="86"/>
      <c r="T28" s="86"/>
    </row>
    <row r="29" spans="1:20" ht="15.5" x14ac:dyDescent="0.35">
      <c r="A29" s="154" t="s">
        <v>170</v>
      </c>
      <c r="B29" s="291">
        <v>0.39861111111111108</v>
      </c>
      <c r="C29" s="292">
        <v>0.85</v>
      </c>
      <c r="D29" s="154" t="s">
        <v>170</v>
      </c>
      <c r="E29" s="293">
        <v>0.41111111111111115</v>
      </c>
      <c r="F29" s="323">
        <v>4.08</v>
      </c>
      <c r="G29" s="154" t="s">
        <v>170</v>
      </c>
      <c r="H29" s="293">
        <v>0.43055555555555558</v>
      </c>
      <c r="J29" s="132">
        <v>2</v>
      </c>
      <c r="K29" s="132">
        <v>0.18</v>
      </c>
      <c r="L29" s="133">
        <v>2.1</v>
      </c>
      <c r="M29" s="132">
        <f>K29*50</f>
        <v>9</v>
      </c>
      <c r="N29" s="133">
        <f>L29*M29</f>
        <v>18.900000000000002</v>
      </c>
      <c r="S29" s="86"/>
      <c r="T29" s="86"/>
    </row>
    <row r="30" spans="1:20" ht="16" thickBot="1" x14ac:dyDescent="0.4">
      <c r="A30" s="154" t="s">
        <v>185</v>
      </c>
      <c r="B30" s="290">
        <v>10</v>
      </c>
      <c r="C30" s="294"/>
      <c r="D30" s="154" t="s">
        <v>185</v>
      </c>
      <c r="E30" s="304">
        <v>18</v>
      </c>
      <c r="F30" s="295"/>
      <c r="G30" s="154" t="s">
        <v>185</v>
      </c>
      <c r="H30" s="303">
        <v>50</v>
      </c>
      <c r="I30" s="488">
        <v>0.18</v>
      </c>
      <c r="J30" s="132">
        <v>4</v>
      </c>
      <c r="K30" s="132">
        <v>1.1000000000000001</v>
      </c>
      <c r="L30" s="132">
        <v>2.2000000000000002</v>
      </c>
      <c r="M30" s="132">
        <f>K30*2</f>
        <v>2.2000000000000002</v>
      </c>
      <c r="N30" s="133">
        <f>L30*M30</f>
        <v>4.8400000000000007</v>
      </c>
      <c r="S30" s="86"/>
      <c r="T30" s="86"/>
    </row>
    <row r="31" spans="1:20" ht="25.5" thickBot="1" x14ac:dyDescent="0.4">
      <c r="A31" s="156" t="s">
        <v>186</v>
      </c>
      <c r="B31" s="950" t="s">
        <v>561</v>
      </c>
      <c r="C31" s="950"/>
      <c r="D31" s="155" t="s">
        <v>186</v>
      </c>
      <c r="E31" s="952" t="s">
        <v>594</v>
      </c>
      <c r="F31" s="952"/>
      <c r="G31" s="155" t="s">
        <v>186</v>
      </c>
      <c r="H31" s="157" t="s">
        <v>565</v>
      </c>
      <c r="J31" s="132">
        <v>6</v>
      </c>
      <c r="K31" s="132">
        <v>0.8</v>
      </c>
      <c r="L31" s="132">
        <v>2.2999999999999998</v>
      </c>
      <c r="M31" s="132">
        <f>K31*2</f>
        <v>1.6</v>
      </c>
      <c r="N31" s="133">
        <f t="shared" ref="N31:N38" si="0">L31*M31</f>
        <v>3.6799999999999997</v>
      </c>
    </row>
    <row r="32" spans="1:20" ht="24" x14ac:dyDescent="0.35">
      <c r="A32" s="151" t="s">
        <v>187</v>
      </c>
      <c r="B32" s="151" t="s">
        <v>188</v>
      </c>
      <c r="C32" s="153" t="s">
        <v>189</v>
      </c>
      <c r="D32" s="151" t="s">
        <v>187</v>
      </c>
      <c r="E32" s="151" t="s">
        <v>188</v>
      </c>
      <c r="F32" s="153" t="s">
        <v>189</v>
      </c>
      <c r="G32" s="151" t="s">
        <v>188</v>
      </c>
      <c r="H32" s="153" t="s">
        <v>189</v>
      </c>
      <c r="J32" s="132">
        <v>8</v>
      </c>
      <c r="K32" s="132">
        <v>0.85</v>
      </c>
      <c r="L32" s="132">
        <v>1.9</v>
      </c>
      <c r="M32" s="132">
        <f>K32*2</f>
        <v>1.7</v>
      </c>
      <c r="N32" s="133">
        <f t="shared" si="0"/>
        <v>3.23</v>
      </c>
    </row>
    <row r="33" spans="1:14" ht="15.5" x14ac:dyDescent="0.35">
      <c r="A33" s="152">
        <v>2</v>
      </c>
      <c r="B33" s="132">
        <v>0.38</v>
      </c>
      <c r="C33" s="132">
        <v>0.1</v>
      </c>
      <c r="D33" s="152">
        <v>2</v>
      </c>
      <c r="E33" s="132">
        <v>0.25</v>
      </c>
      <c r="F33" s="132">
        <v>0.5</v>
      </c>
      <c r="G33" s="947" t="s">
        <v>31</v>
      </c>
      <c r="H33" s="947"/>
      <c r="J33" s="132">
        <v>10</v>
      </c>
      <c r="K33" s="132">
        <v>1</v>
      </c>
      <c r="L33" s="132">
        <v>1.1000000000000001</v>
      </c>
      <c r="M33" s="132">
        <f t="shared" ref="M33:M38" si="1">K33*2</f>
        <v>2</v>
      </c>
      <c r="N33" s="133">
        <f t="shared" si="0"/>
        <v>2.2000000000000002</v>
      </c>
    </row>
    <row r="34" spans="1:14" ht="15.5" x14ac:dyDescent="0.35">
      <c r="A34" s="152">
        <v>4</v>
      </c>
      <c r="B34" s="132">
        <v>0.35</v>
      </c>
      <c r="C34" s="132">
        <v>0.2</v>
      </c>
      <c r="D34" s="152">
        <v>4</v>
      </c>
      <c r="E34" s="132">
        <v>1.1000000000000001</v>
      </c>
      <c r="F34" s="132">
        <v>2.2000000000000002</v>
      </c>
      <c r="G34" s="132">
        <v>0.18</v>
      </c>
      <c r="H34" s="133">
        <v>2.1</v>
      </c>
      <c r="I34" s="444">
        <v>18.899999999999999</v>
      </c>
      <c r="J34" s="132">
        <v>12</v>
      </c>
      <c r="K34" s="134">
        <v>0.88</v>
      </c>
      <c r="L34" s="132">
        <v>2.1</v>
      </c>
      <c r="M34" s="132">
        <f t="shared" si="1"/>
        <v>1.76</v>
      </c>
      <c r="N34" s="133">
        <f t="shared" si="0"/>
        <v>3.6960000000000002</v>
      </c>
    </row>
    <row r="35" spans="1:14" ht="15.5" x14ac:dyDescent="0.35">
      <c r="A35" s="152">
        <v>6</v>
      </c>
      <c r="B35" s="132">
        <v>0.4</v>
      </c>
      <c r="C35" s="132">
        <v>0.5</v>
      </c>
      <c r="D35" s="331">
        <v>6</v>
      </c>
      <c r="E35" s="132">
        <v>0.8</v>
      </c>
      <c r="F35" s="132">
        <v>2.2999999999999998</v>
      </c>
      <c r="G35" s="948" t="s">
        <v>196</v>
      </c>
      <c r="H35" s="949"/>
      <c r="I35" s="158"/>
      <c r="J35" s="132">
        <v>14</v>
      </c>
      <c r="K35" s="134">
        <v>0.95</v>
      </c>
      <c r="L35" s="134">
        <v>1.8</v>
      </c>
      <c r="M35" s="132">
        <f t="shared" si="1"/>
        <v>1.9</v>
      </c>
      <c r="N35" s="133">
        <f t="shared" si="0"/>
        <v>3.42</v>
      </c>
    </row>
    <row r="36" spans="1:14" ht="15.5" x14ac:dyDescent="0.35">
      <c r="A36" s="152">
        <v>8</v>
      </c>
      <c r="B36" s="132">
        <v>0.35</v>
      </c>
      <c r="C36" s="132">
        <v>2.1</v>
      </c>
      <c r="D36" s="152">
        <v>8</v>
      </c>
      <c r="E36" s="132">
        <v>0.85</v>
      </c>
      <c r="F36" s="132">
        <v>1.9</v>
      </c>
      <c r="G36" s="132" t="s">
        <v>595</v>
      </c>
      <c r="H36" s="133">
        <v>0.6</v>
      </c>
      <c r="I36" s="444">
        <v>0.57999999999999996</v>
      </c>
      <c r="J36" s="132">
        <v>16</v>
      </c>
      <c r="K36" s="134">
        <v>0.88</v>
      </c>
      <c r="L36" s="134">
        <v>0.9</v>
      </c>
      <c r="M36" s="132">
        <f>K36*3</f>
        <v>2.64</v>
      </c>
      <c r="N36" s="133">
        <f t="shared" si="0"/>
        <v>2.3760000000000003</v>
      </c>
    </row>
    <row r="37" spans="1:14" ht="15.5" x14ac:dyDescent="0.35">
      <c r="A37" s="152">
        <v>12</v>
      </c>
      <c r="B37" s="132"/>
      <c r="C37" s="132"/>
      <c r="D37" s="152">
        <v>10</v>
      </c>
      <c r="E37" s="132">
        <v>1</v>
      </c>
      <c r="F37" s="132">
        <v>1.1000000000000001</v>
      </c>
      <c r="G37" s="132" t="s">
        <v>197</v>
      </c>
      <c r="H37" s="133"/>
      <c r="I37" s="158"/>
      <c r="J37" s="132">
        <v>18</v>
      </c>
      <c r="K37" s="82"/>
      <c r="L37" s="194"/>
      <c r="M37" s="132">
        <f t="shared" si="1"/>
        <v>0</v>
      </c>
      <c r="N37" s="133">
        <f t="shared" si="0"/>
        <v>0</v>
      </c>
    </row>
    <row r="38" spans="1:14" ht="15.5" x14ac:dyDescent="0.35">
      <c r="A38" s="123"/>
      <c r="B38" s="132"/>
      <c r="C38" s="132"/>
      <c r="D38" s="152">
        <v>12</v>
      </c>
      <c r="E38" s="134">
        <v>0.88</v>
      </c>
      <c r="F38" s="132">
        <v>2.1</v>
      </c>
      <c r="G38" s="132" t="s">
        <v>596</v>
      </c>
      <c r="H38" s="133">
        <v>0.7</v>
      </c>
      <c r="I38" s="445">
        <v>0.61</v>
      </c>
      <c r="J38" s="132">
        <v>20</v>
      </c>
      <c r="K38" s="132"/>
      <c r="L38" s="132"/>
      <c r="M38" s="132">
        <f t="shared" si="1"/>
        <v>0</v>
      </c>
      <c r="N38" s="133">
        <f t="shared" si="0"/>
        <v>0</v>
      </c>
    </row>
    <row r="39" spans="1:14" ht="15.5" x14ac:dyDescent="0.35">
      <c r="C39" s="443">
        <v>2.86</v>
      </c>
      <c r="D39" s="152">
        <v>14</v>
      </c>
      <c r="E39" s="134">
        <v>0.95</v>
      </c>
      <c r="F39" s="134">
        <v>1.8</v>
      </c>
      <c r="N39" s="6">
        <f>SUM(N29:N38)</f>
        <v>42.341999999999999</v>
      </c>
    </row>
    <row r="40" spans="1:14" ht="15.5" x14ac:dyDescent="0.35">
      <c r="A40" s="319"/>
      <c r="D40" s="152">
        <v>16</v>
      </c>
      <c r="E40" s="134">
        <v>0.88</v>
      </c>
      <c r="F40" s="134">
        <v>0.9</v>
      </c>
    </row>
    <row r="41" spans="1:14" ht="15.5" x14ac:dyDescent="0.35">
      <c r="A41" s="319"/>
      <c r="D41" s="152">
        <v>18</v>
      </c>
      <c r="E41" s="82"/>
      <c r="F41" s="194"/>
    </row>
    <row r="42" spans="1:14" ht="15.5" x14ac:dyDescent="0.35">
      <c r="F42" s="366">
        <v>23.8</v>
      </c>
    </row>
    <row r="43" spans="1:14" ht="14" x14ac:dyDescent="0.3">
      <c r="A43" s="129" t="s">
        <v>211</v>
      </c>
      <c r="C43" s="11" t="s">
        <v>212</v>
      </c>
      <c r="D43" s="148">
        <v>40686</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v>0.4694444444444445</v>
      </c>
      <c r="C45" s="225">
        <v>0.60299999999999998</v>
      </c>
      <c r="D45" s="225">
        <v>8.34</v>
      </c>
      <c r="E45" s="490">
        <v>14</v>
      </c>
      <c r="F45" s="225">
        <v>8.6300000000000008</v>
      </c>
      <c r="G45" s="128">
        <v>1.2</v>
      </c>
      <c r="H45" s="82">
        <v>8</v>
      </c>
    </row>
    <row r="46" spans="1:14" ht="14" x14ac:dyDescent="0.3">
      <c r="A46" s="121" t="s">
        <v>175</v>
      </c>
      <c r="B46" s="82"/>
      <c r="C46" s="225">
        <v>0.60399999999999998</v>
      </c>
      <c r="D46" s="225">
        <v>8.58</v>
      </c>
      <c r="E46" s="490">
        <v>13.7</v>
      </c>
      <c r="F46" s="225">
        <v>8.6300000000000008</v>
      </c>
      <c r="G46" s="89"/>
    </row>
    <row r="47" spans="1:14" ht="14" x14ac:dyDescent="0.3">
      <c r="A47" s="121" t="s">
        <v>507</v>
      </c>
      <c r="B47" s="82"/>
      <c r="C47" s="225">
        <v>0.60299999999999998</v>
      </c>
      <c r="D47" s="225">
        <v>8.5299999999999994</v>
      </c>
      <c r="E47" s="490">
        <v>13.5</v>
      </c>
      <c r="F47" s="225">
        <v>8.6300000000000008</v>
      </c>
      <c r="G47" s="89"/>
      <c r="H47" s="176" t="s">
        <v>521</v>
      </c>
      <c r="I47" s="442">
        <f>AVERAGE(E45:E48)</f>
        <v>13.65</v>
      </c>
    </row>
    <row r="48" spans="1:14" ht="14" x14ac:dyDescent="0.3">
      <c r="A48" s="121" t="s">
        <v>176</v>
      </c>
      <c r="B48" s="82"/>
      <c r="C48" s="225">
        <v>0.60199999999999998</v>
      </c>
      <c r="D48" s="225">
        <v>8.61</v>
      </c>
      <c r="E48" s="490">
        <v>13.4</v>
      </c>
      <c r="F48" s="225">
        <v>8.6199999999999992</v>
      </c>
      <c r="G48" s="89"/>
      <c r="H48" s="20" t="s">
        <v>599</v>
      </c>
      <c r="I48" s="442">
        <f>AVERAGE(E45:E54)</f>
        <v>12.819999999999999</v>
      </c>
    </row>
    <row r="49" spans="1:10" ht="14" x14ac:dyDescent="0.3">
      <c r="A49" s="121" t="s">
        <v>508</v>
      </c>
      <c r="B49" s="82"/>
      <c r="C49" s="225">
        <v>0.60399999999999998</v>
      </c>
      <c r="D49" s="225">
        <v>8.6</v>
      </c>
      <c r="E49" s="490">
        <v>13.1</v>
      </c>
      <c r="F49" s="225">
        <v>8.61</v>
      </c>
      <c r="G49" s="89"/>
      <c r="H49" s="168"/>
      <c r="I49" s="169"/>
    </row>
    <row r="50" spans="1:10" ht="14" x14ac:dyDescent="0.3">
      <c r="A50" s="121" t="s">
        <v>177</v>
      </c>
      <c r="B50" s="82"/>
      <c r="C50" s="225">
        <v>0.60699999999999998</v>
      </c>
      <c r="D50" s="225">
        <v>8.3000000000000007</v>
      </c>
      <c r="E50" s="490">
        <v>12.6</v>
      </c>
      <c r="F50" s="225">
        <v>8.58</v>
      </c>
      <c r="G50" s="89"/>
      <c r="H50" s="440" t="s">
        <v>600</v>
      </c>
      <c r="I50" s="333">
        <f>AVERAGE(D45:D53)</f>
        <v>8.0666666666666682</v>
      </c>
    </row>
    <row r="51" spans="1:10" ht="14" x14ac:dyDescent="0.3">
      <c r="A51" s="121" t="s">
        <v>509</v>
      </c>
      <c r="B51" s="82"/>
      <c r="C51" s="225">
        <v>0.60799999999999998</v>
      </c>
      <c r="D51" s="225">
        <v>7.52</v>
      </c>
      <c r="E51" s="490">
        <v>12.2</v>
      </c>
      <c r="F51" s="225">
        <v>8.34</v>
      </c>
      <c r="G51" s="89"/>
      <c r="H51" s="440" t="s">
        <v>526</v>
      </c>
      <c r="I51" s="333">
        <f>AVERAGE(D45:D48)</f>
        <v>8.5150000000000006</v>
      </c>
    </row>
    <row r="52" spans="1:10" ht="14" x14ac:dyDescent="0.3">
      <c r="A52" s="121" t="s">
        <v>178</v>
      </c>
      <c r="B52" s="82"/>
      <c r="C52" s="225">
        <v>0.60599999999999998</v>
      </c>
      <c r="D52" s="225">
        <v>7.25</v>
      </c>
      <c r="E52" s="490">
        <v>12.1</v>
      </c>
      <c r="F52" s="225">
        <v>8.2799999999999994</v>
      </c>
      <c r="G52" s="89"/>
    </row>
    <row r="53" spans="1:10" ht="14" x14ac:dyDescent="0.3">
      <c r="A53" s="121" t="s">
        <v>179</v>
      </c>
      <c r="B53" s="82"/>
      <c r="C53" s="225">
        <v>0.61</v>
      </c>
      <c r="D53" s="225">
        <v>6.87</v>
      </c>
      <c r="E53" s="490">
        <v>11.9</v>
      </c>
      <c r="F53" s="225">
        <v>8.1999999999999993</v>
      </c>
      <c r="G53" s="89"/>
    </row>
    <row r="54" spans="1:10" ht="14" x14ac:dyDescent="0.3">
      <c r="A54" s="121" t="s">
        <v>180</v>
      </c>
      <c r="B54" s="82"/>
      <c r="C54" s="225">
        <v>0.61299999999999999</v>
      </c>
      <c r="D54" s="225">
        <v>6.36</v>
      </c>
      <c r="E54" s="490">
        <v>11.7</v>
      </c>
      <c r="F54" s="225">
        <v>8.06</v>
      </c>
      <c r="G54" s="89"/>
    </row>
    <row r="55" spans="1:10" ht="14" x14ac:dyDescent="0.3">
      <c r="A55" s="121" t="s">
        <v>181</v>
      </c>
      <c r="B55" s="137"/>
      <c r="C55" s="225">
        <v>0.61599999999999999</v>
      </c>
      <c r="D55" s="225">
        <v>6.36</v>
      </c>
      <c r="E55" s="490">
        <v>11.3</v>
      </c>
      <c r="F55" s="225">
        <v>7.91</v>
      </c>
      <c r="G55" s="89"/>
    </row>
    <row r="56" spans="1:10" ht="14" x14ac:dyDescent="0.3">
      <c r="A56" s="121" t="s">
        <v>182</v>
      </c>
      <c r="B56" s="137"/>
      <c r="C56" s="225">
        <v>0.62</v>
      </c>
      <c r="D56" s="225">
        <v>4.8499999999999996</v>
      </c>
      <c r="E56" s="490">
        <v>11.1</v>
      </c>
      <c r="F56" s="225">
        <v>7.84</v>
      </c>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v>0.47569444444444442</v>
      </c>
      <c r="C59" s="490">
        <v>0.60299999999999998</v>
      </c>
      <c r="D59" s="490">
        <v>8.25</v>
      </c>
      <c r="E59" s="225">
        <v>13.9</v>
      </c>
      <c r="F59" s="490">
        <v>8.6</v>
      </c>
      <c r="G59" s="128">
        <v>1.7</v>
      </c>
      <c r="H59" s="82">
        <v>4.95</v>
      </c>
    </row>
    <row r="60" spans="1:10" ht="14" x14ac:dyDescent="0.3">
      <c r="A60" s="121" t="s">
        <v>175</v>
      </c>
      <c r="B60" s="82"/>
      <c r="C60" s="490">
        <v>0.60399999999999998</v>
      </c>
      <c r="D60" s="490">
        <v>8.6199999999999992</v>
      </c>
      <c r="E60" s="225">
        <v>14</v>
      </c>
      <c r="F60" s="490">
        <v>8.67</v>
      </c>
      <c r="G60" s="89"/>
    </row>
    <row r="61" spans="1:10" ht="14" x14ac:dyDescent="0.3">
      <c r="A61" s="121" t="s">
        <v>507</v>
      </c>
      <c r="B61" s="82"/>
      <c r="C61" s="490">
        <v>0.60299999999999998</v>
      </c>
      <c r="D61" s="490">
        <v>8.86</v>
      </c>
      <c r="E61" s="225">
        <v>13.9</v>
      </c>
      <c r="F61" s="490">
        <v>8.67</v>
      </c>
      <c r="G61" s="89"/>
      <c r="H61" s="176" t="s">
        <v>521</v>
      </c>
      <c r="I61" s="442">
        <f>AVERAGE(E59:E62)</f>
        <v>13.725</v>
      </c>
    </row>
    <row r="62" spans="1:10" ht="14" x14ac:dyDescent="0.3">
      <c r="A62" s="121" t="s">
        <v>176</v>
      </c>
      <c r="B62" s="82"/>
      <c r="C62" s="490">
        <v>0.60199999999999998</v>
      </c>
      <c r="D62" s="490">
        <v>8.8699999999999992</v>
      </c>
      <c r="E62" s="225">
        <v>13.1</v>
      </c>
      <c r="F62" s="490">
        <v>8.6300000000000008</v>
      </c>
      <c r="G62" s="89"/>
      <c r="H62" s="20" t="s">
        <v>601</v>
      </c>
      <c r="I62" s="442">
        <f>AVERAGE(E59:E70)</f>
        <v>12.877777777777776</v>
      </c>
    </row>
    <row r="63" spans="1:10" ht="14" x14ac:dyDescent="0.3">
      <c r="A63" s="121" t="s">
        <v>508</v>
      </c>
      <c r="B63" s="82"/>
      <c r="C63" s="490">
        <v>0.60299999999999998</v>
      </c>
      <c r="D63" s="454">
        <v>8.7200000000000006</v>
      </c>
      <c r="E63" s="225">
        <v>12.6</v>
      </c>
      <c r="F63" s="490">
        <v>8.57</v>
      </c>
      <c r="G63" s="89"/>
      <c r="H63" s="168"/>
      <c r="I63" s="169"/>
    </row>
    <row r="64" spans="1:10" ht="14" x14ac:dyDescent="0.3">
      <c r="A64" s="121" t="s">
        <v>177</v>
      </c>
      <c r="B64" s="82"/>
      <c r="C64" s="490">
        <v>0.60299999999999998</v>
      </c>
      <c r="D64" s="490">
        <v>8.11</v>
      </c>
      <c r="E64" s="225">
        <v>12.3</v>
      </c>
      <c r="F64" s="490">
        <v>8.4700000000000006</v>
      </c>
      <c r="G64" s="89"/>
      <c r="H64" s="440" t="s">
        <v>602</v>
      </c>
      <c r="I64" s="333">
        <f>AVERAGE(D59:D70)</f>
        <v>8.1444444444444439</v>
      </c>
    </row>
    <row r="65" spans="1:9" ht="14" x14ac:dyDescent="0.3">
      <c r="A65" s="121" t="s">
        <v>509</v>
      </c>
      <c r="B65" s="82"/>
      <c r="C65" s="490">
        <v>0.60299999999999998</v>
      </c>
      <c r="D65" s="490">
        <v>7.95</v>
      </c>
      <c r="E65" s="225">
        <v>12.2</v>
      </c>
      <c r="F65" s="490">
        <v>8.33</v>
      </c>
      <c r="G65" s="89"/>
      <c r="H65" s="440" t="s">
        <v>526</v>
      </c>
      <c r="I65" s="333">
        <f>AVERAGE(D59:D62)</f>
        <v>8.6499999999999986</v>
      </c>
    </row>
    <row r="66" spans="1:9" ht="14" x14ac:dyDescent="0.3">
      <c r="A66" s="121" t="s">
        <v>178</v>
      </c>
      <c r="B66" s="82"/>
      <c r="C66" s="490">
        <v>0.60299999999999998</v>
      </c>
      <c r="D66" s="490">
        <v>7.7</v>
      </c>
      <c r="E66" s="225">
        <v>12.1</v>
      </c>
      <c r="F66" s="490">
        <v>8.31</v>
      </c>
      <c r="G66" s="89"/>
    </row>
    <row r="67" spans="1:9" ht="14" x14ac:dyDescent="0.3">
      <c r="A67" s="121" t="s">
        <v>179</v>
      </c>
      <c r="B67" s="82"/>
      <c r="C67" s="490">
        <v>0.61099999999999999</v>
      </c>
      <c r="D67" s="490">
        <v>6.22</v>
      </c>
      <c r="E67" s="225">
        <v>11.8</v>
      </c>
      <c r="F67" s="490">
        <v>8.0399999999999991</v>
      </c>
      <c r="G67" s="89"/>
    </row>
    <row r="68" spans="1:9" ht="14" x14ac:dyDescent="0.3">
      <c r="A68" s="306" t="s">
        <v>180</v>
      </c>
      <c r="B68" s="137"/>
      <c r="C68" s="490"/>
      <c r="D68" s="490"/>
      <c r="E68" s="225"/>
      <c r="F68" s="490"/>
      <c r="G68" s="89"/>
    </row>
    <row r="69" spans="1:9" ht="14" x14ac:dyDescent="0.3">
      <c r="A69" s="306" t="s">
        <v>181</v>
      </c>
      <c r="B69" s="137"/>
      <c r="C69" s="490"/>
      <c r="D69" s="490"/>
      <c r="E69" s="225"/>
      <c r="F69" s="490"/>
      <c r="G69" s="89"/>
    </row>
    <row r="70" spans="1:9" ht="14" x14ac:dyDescent="0.3">
      <c r="A70" s="306" t="s">
        <v>182</v>
      </c>
      <c r="B70" s="137"/>
      <c r="C70" s="490"/>
      <c r="D70" s="490"/>
      <c r="E70" s="225"/>
      <c r="F70" s="490"/>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v>0.47916666666666669</v>
      </c>
      <c r="C73" s="490">
        <v>0.59</v>
      </c>
      <c r="D73" s="490">
        <v>8.8000000000000007</v>
      </c>
      <c r="E73" s="490">
        <v>14.6</v>
      </c>
      <c r="F73" s="490">
        <v>8.57</v>
      </c>
      <c r="G73" s="128">
        <v>1.6</v>
      </c>
      <c r="H73" s="82">
        <v>3.9</v>
      </c>
    </row>
    <row r="74" spans="1:9" ht="13" x14ac:dyDescent="0.3">
      <c r="A74" s="121" t="s">
        <v>175</v>
      </c>
      <c r="B74" s="82"/>
      <c r="C74" s="490">
        <v>0.57699999999999996</v>
      </c>
      <c r="D74" s="490">
        <v>8.7200000000000006</v>
      </c>
      <c r="E74" s="490">
        <v>13.7</v>
      </c>
      <c r="F74" s="490">
        <v>8.59</v>
      </c>
      <c r="G74" s="89"/>
    </row>
    <row r="75" spans="1:9" ht="13" x14ac:dyDescent="0.3">
      <c r="A75" s="121" t="s">
        <v>507</v>
      </c>
      <c r="B75" s="82"/>
      <c r="C75" s="490">
        <v>0.58699999999999997</v>
      </c>
      <c r="D75" s="490">
        <v>8.73</v>
      </c>
      <c r="E75" s="490">
        <v>13.2</v>
      </c>
      <c r="F75" s="490">
        <v>8.61</v>
      </c>
      <c r="G75" s="89"/>
      <c r="H75" s="176" t="s">
        <v>521</v>
      </c>
      <c r="I75" s="442">
        <f>AVERAGE(E72:E75)</f>
        <v>13.833333333333334</v>
      </c>
    </row>
    <row r="76" spans="1:9" ht="13" x14ac:dyDescent="0.3">
      <c r="A76" s="121" t="s">
        <v>176</v>
      </c>
      <c r="B76" s="82"/>
      <c r="C76" s="490">
        <v>0.55400000000000005</v>
      </c>
      <c r="D76" s="490">
        <v>8.83</v>
      </c>
      <c r="E76" s="490">
        <v>13</v>
      </c>
      <c r="F76" s="490">
        <v>8.6300000000000008</v>
      </c>
      <c r="G76" s="89"/>
      <c r="H76" s="20" t="s">
        <v>604</v>
      </c>
      <c r="I76" s="442">
        <f>AVERAGE(E72:E82)</f>
        <v>13.3</v>
      </c>
    </row>
    <row r="77" spans="1:9" ht="13" x14ac:dyDescent="0.3">
      <c r="A77" s="121" t="s">
        <v>508</v>
      </c>
      <c r="B77" s="82"/>
      <c r="C77" s="490">
        <v>0.56499999999999995</v>
      </c>
      <c r="D77" s="490">
        <v>8.7200000000000006</v>
      </c>
      <c r="E77" s="490">
        <v>12.9</v>
      </c>
      <c r="F77" s="490">
        <v>8.59</v>
      </c>
      <c r="G77" s="89"/>
      <c r="H77" s="168"/>
      <c r="I77" s="169"/>
    </row>
    <row r="78" spans="1:9" ht="13" x14ac:dyDescent="0.3">
      <c r="A78" s="121" t="s">
        <v>177</v>
      </c>
      <c r="B78" s="82"/>
      <c r="C78" s="490">
        <v>0.58799999999999997</v>
      </c>
      <c r="D78" s="490">
        <v>8.6199999999999992</v>
      </c>
      <c r="E78" s="490">
        <v>12.9</v>
      </c>
      <c r="F78" s="490">
        <v>8.59</v>
      </c>
      <c r="G78" s="89"/>
      <c r="H78" s="440" t="s">
        <v>603</v>
      </c>
      <c r="I78" s="333">
        <f>AVERAGE(D72:D86)</f>
        <v>8.7439999999999998</v>
      </c>
    </row>
    <row r="79" spans="1:9" ht="13" x14ac:dyDescent="0.3">
      <c r="A79" s="121" t="s">
        <v>509</v>
      </c>
      <c r="B79" s="82"/>
      <c r="C79" s="490">
        <v>0.64300000000000002</v>
      </c>
      <c r="D79" s="490">
        <v>8.73</v>
      </c>
      <c r="E79" s="490">
        <v>12.8</v>
      </c>
      <c r="F79" s="490">
        <v>8.51</v>
      </c>
      <c r="G79" s="89"/>
      <c r="H79" s="440" t="s">
        <v>526</v>
      </c>
      <c r="I79" s="333">
        <f>AVERAGE(D72:D75)</f>
        <v>8.7500000000000018</v>
      </c>
    </row>
    <row r="80" spans="1:9" ht="13" x14ac:dyDescent="0.3">
      <c r="A80" s="121" t="s">
        <v>178</v>
      </c>
      <c r="B80" s="82"/>
      <c r="C80" s="490"/>
      <c r="D80" s="490"/>
      <c r="E80" s="490"/>
      <c r="F80" s="490"/>
      <c r="G80" s="89"/>
    </row>
    <row r="81" spans="1:9" ht="13" x14ac:dyDescent="0.3">
      <c r="A81" s="121" t="s">
        <v>179</v>
      </c>
      <c r="B81" s="82"/>
      <c r="C81" s="490"/>
      <c r="D81" s="490"/>
      <c r="E81" s="490"/>
      <c r="F81" s="490"/>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v>0.4861111111111111</v>
      </c>
      <c r="C84" s="490">
        <v>0.60299999999999998</v>
      </c>
      <c r="D84" s="310">
        <v>8.64</v>
      </c>
      <c r="E84" s="85">
        <v>14.4</v>
      </c>
      <c r="F84" s="310">
        <v>8.65</v>
      </c>
      <c r="G84" s="186">
        <v>1.7</v>
      </c>
      <c r="H84" s="82">
        <v>6.4</v>
      </c>
    </row>
    <row r="85" spans="1:9" ht="13" x14ac:dyDescent="0.3">
      <c r="A85" s="121" t="s">
        <v>175</v>
      </c>
      <c r="B85" s="82"/>
      <c r="C85" s="490">
        <v>0.59899999999999998</v>
      </c>
      <c r="D85" s="310">
        <v>8.74</v>
      </c>
      <c r="E85" s="85">
        <v>13.7</v>
      </c>
      <c r="F85" s="310">
        <v>8.6300000000000008</v>
      </c>
      <c r="G85" s="89"/>
    </row>
    <row r="86" spans="1:9" ht="13" x14ac:dyDescent="0.3">
      <c r="A86" s="121" t="s">
        <v>507</v>
      </c>
      <c r="B86" s="82"/>
      <c r="C86" s="490">
        <v>0.59699999999999998</v>
      </c>
      <c r="D86" s="310">
        <v>8.91</v>
      </c>
      <c r="E86" s="85">
        <v>13.5</v>
      </c>
      <c r="F86" s="310">
        <v>8.64</v>
      </c>
      <c r="G86" s="89"/>
      <c r="H86" s="176" t="s">
        <v>521</v>
      </c>
      <c r="I86" s="442">
        <f>AVERAGE(E84:E87)</f>
        <v>13.725000000000001</v>
      </c>
    </row>
    <row r="87" spans="1:9" ht="13" x14ac:dyDescent="0.3">
      <c r="A87" s="121" t="s">
        <v>176</v>
      </c>
      <c r="B87" s="82"/>
      <c r="C87" s="490">
        <v>0.57999999999999996</v>
      </c>
      <c r="D87" s="310">
        <v>8.86</v>
      </c>
      <c r="E87" s="85">
        <v>13.3</v>
      </c>
      <c r="F87" s="310">
        <v>8.66</v>
      </c>
      <c r="G87" s="89"/>
      <c r="H87" s="20" t="s">
        <v>605</v>
      </c>
      <c r="I87" s="442">
        <f>AVERAGE(E84:E94)</f>
        <v>12.95</v>
      </c>
    </row>
    <row r="88" spans="1:9" ht="13" x14ac:dyDescent="0.3">
      <c r="A88" s="121" t="s">
        <v>508</v>
      </c>
      <c r="B88" s="82"/>
      <c r="C88" s="490">
        <v>0.58099999999999996</v>
      </c>
      <c r="D88" s="310">
        <v>8.66</v>
      </c>
      <c r="E88" s="85">
        <v>13</v>
      </c>
      <c r="F88" s="310">
        <v>8.6300000000000008</v>
      </c>
      <c r="G88" s="89"/>
      <c r="H88" s="168"/>
      <c r="I88" s="169"/>
    </row>
    <row r="89" spans="1:9" ht="13" x14ac:dyDescent="0.3">
      <c r="A89" s="121" t="s">
        <v>177</v>
      </c>
      <c r="B89" s="82"/>
      <c r="C89" s="490">
        <v>0.59399999999999997</v>
      </c>
      <c r="D89" s="310">
        <v>8.6199999999999992</v>
      </c>
      <c r="E89" s="85">
        <v>12.7</v>
      </c>
      <c r="F89" s="310">
        <v>8.59</v>
      </c>
      <c r="G89" s="89"/>
      <c r="H89" s="440" t="s">
        <v>606</v>
      </c>
      <c r="I89" s="333">
        <f>AVERAGE(D84:D94)</f>
        <v>8.2899999999999991</v>
      </c>
    </row>
    <row r="90" spans="1:9" ht="13" x14ac:dyDescent="0.3">
      <c r="A90" s="121" t="s">
        <v>509</v>
      </c>
      <c r="B90" s="82"/>
      <c r="C90" s="490">
        <v>0.57799999999999996</v>
      </c>
      <c r="D90" s="310">
        <v>8.32</v>
      </c>
      <c r="E90" s="85">
        <v>12.6</v>
      </c>
      <c r="F90" s="310">
        <v>8.59</v>
      </c>
      <c r="G90" s="89"/>
      <c r="H90" s="440" t="s">
        <v>526</v>
      </c>
      <c r="I90" s="333">
        <f>AVERAGE(D84:D87)</f>
        <v>8.7875000000000014</v>
      </c>
    </row>
    <row r="91" spans="1:9" ht="13" x14ac:dyDescent="0.3">
      <c r="A91" s="121" t="s">
        <v>178</v>
      </c>
      <c r="B91" s="82"/>
      <c r="C91" s="490">
        <v>0.59199999999999997</v>
      </c>
      <c r="D91" s="310">
        <v>8.36</v>
      </c>
      <c r="E91" s="85">
        <v>12.4</v>
      </c>
      <c r="F91" s="310">
        <v>8.5299999999999994</v>
      </c>
      <c r="G91" s="89"/>
    </row>
    <row r="92" spans="1:9" ht="13" x14ac:dyDescent="0.3">
      <c r="A92" s="121" t="s">
        <v>179</v>
      </c>
      <c r="B92" s="82"/>
      <c r="C92" s="490">
        <v>0.61</v>
      </c>
      <c r="D92" s="310">
        <v>7.19</v>
      </c>
      <c r="E92" s="85">
        <v>12.1</v>
      </c>
      <c r="F92" s="310">
        <v>8.26</v>
      </c>
      <c r="G92" s="89"/>
    </row>
    <row r="93" spans="1:9" ht="13" x14ac:dyDescent="0.3">
      <c r="A93" s="121" t="s">
        <v>180</v>
      </c>
      <c r="B93" s="82"/>
      <c r="C93" s="490">
        <v>0.61299999999999999</v>
      </c>
      <c r="D93" s="310">
        <v>6.6</v>
      </c>
      <c r="E93" s="85">
        <v>11.8</v>
      </c>
      <c r="F93" s="310">
        <v>8.1199999999999992</v>
      </c>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5:H35"/>
    <mergeCell ref="A28:B28"/>
    <mergeCell ref="D28:E28"/>
    <mergeCell ref="G28:H28"/>
    <mergeCell ref="B31:C31"/>
    <mergeCell ref="E31:F31"/>
    <mergeCell ref="G33:H33"/>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V95"/>
  <sheetViews>
    <sheetView topLeftCell="A7" workbookViewId="0">
      <selection activeCell="G8" sqref="G8"/>
    </sheetView>
  </sheetViews>
  <sheetFormatPr defaultRowHeight="12.5" x14ac:dyDescent="0.25"/>
  <cols>
    <col min="1" max="1" width="16.6328125" customWidth="1"/>
    <col min="2" max="2" width="10.08984375" bestFit="1" customWidth="1"/>
    <col min="4" max="4" width="11.54296875" customWidth="1"/>
    <col min="8" max="8" width="12" customWidth="1"/>
    <col min="9" max="9" width="16" customWidth="1"/>
    <col min="10" max="10" width="23.6328125" customWidth="1"/>
    <col min="11" max="11" width="14.90625" customWidth="1"/>
    <col min="20" max="20" width="16" bestFit="1" customWidth="1"/>
  </cols>
  <sheetData>
    <row r="1" spans="1:22" ht="14" x14ac:dyDescent="0.3">
      <c r="A1" s="129" t="s">
        <v>505</v>
      </c>
    </row>
    <row r="2" spans="1:22" ht="13" x14ac:dyDescent="0.3">
      <c r="A2" s="1" t="s">
        <v>168</v>
      </c>
      <c r="B2" s="148">
        <v>40721</v>
      </c>
      <c r="I2" s="1"/>
      <c r="J2" s="29"/>
      <c r="K2" s="160"/>
      <c r="L2" s="1"/>
      <c r="M2" s="1"/>
      <c r="N2" s="8"/>
      <c r="O2" s="159"/>
      <c r="T2" s="509" t="s">
        <v>246</v>
      </c>
      <c r="U2" s="510">
        <v>40721</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506">
        <v>3</v>
      </c>
    </row>
    <row r="4" spans="1:22" ht="13" x14ac:dyDescent="0.3">
      <c r="A4" s="91" t="s">
        <v>213</v>
      </c>
      <c r="B4" s="137">
        <v>0.39583333333333331</v>
      </c>
      <c r="C4" s="82">
        <v>1.81</v>
      </c>
      <c r="D4" s="82">
        <v>8.31</v>
      </c>
      <c r="E4" s="82">
        <v>14.3</v>
      </c>
      <c r="F4" s="82">
        <v>8.4499999999999993</v>
      </c>
      <c r="G4" s="89"/>
      <c r="I4" s="168"/>
      <c r="J4" s="169"/>
      <c r="K4" s="163"/>
      <c r="L4" s="11"/>
      <c r="M4" s="165"/>
      <c r="N4" s="166"/>
      <c r="O4" s="170"/>
      <c r="T4" s="179" t="s">
        <v>253</v>
      </c>
      <c r="U4" s="507">
        <v>30</v>
      </c>
    </row>
    <row r="5" spans="1:22" ht="13" x14ac:dyDescent="0.3">
      <c r="A5" s="91" t="s">
        <v>214</v>
      </c>
      <c r="B5" s="137">
        <v>0.4284722222222222</v>
      </c>
      <c r="C5" s="82">
        <v>0.20100000000000001</v>
      </c>
      <c r="D5" s="82">
        <v>8.01</v>
      </c>
      <c r="E5" s="82">
        <v>15.9</v>
      </c>
      <c r="F5" s="82">
        <v>8.02</v>
      </c>
      <c r="G5" s="89"/>
      <c r="I5" s="168"/>
      <c r="J5" s="169"/>
      <c r="K5" s="172"/>
      <c r="L5" s="173"/>
      <c r="M5" s="174"/>
      <c r="N5" s="175"/>
      <c r="O5" s="170"/>
      <c r="T5" s="309" t="s">
        <v>257</v>
      </c>
      <c r="U5" s="507" t="s">
        <v>627</v>
      </c>
    </row>
    <row r="6" spans="1:22" ht="13" x14ac:dyDescent="0.3">
      <c r="A6" s="91" t="s">
        <v>215</v>
      </c>
      <c r="B6" s="137">
        <v>0.44444444444444442</v>
      </c>
      <c r="C6" s="82">
        <v>0.45800000000000002</v>
      </c>
      <c r="D6" s="82">
        <v>5.9</v>
      </c>
      <c r="E6" s="82">
        <v>20.2</v>
      </c>
      <c r="F6" s="82">
        <v>8.74</v>
      </c>
      <c r="G6" s="89"/>
      <c r="I6" s="20"/>
      <c r="J6" s="162"/>
      <c r="K6" s="163"/>
      <c r="L6" s="28"/>
      <c r="M6" s="165"/>
      <c r="N6" s="166"/>
      <c r="O6" s="167"/>
      <c r="T6" s="179" t="s">
        <v>247</v>
      </c>
      <c r="U6" s="507">
        <v>29</v>
      </c>
    </row>
    <row r="7" spans="1:22" ht="14" x14ac:dyDescent="0.3">
      <c r="A7" s="91" t="s">
        <v>208</v>
      </c>
      <c r="B7" s="222" t="s">
        <v>539</v>
      </c>
      <c r="C7" s="223"/>
      <c r="D7" s="223"/>
      <c r="E7" s="223"/>
      <c r="F7" s="224"/>
      <c r="G7" s="188" t="s">
        <v>184</v>
      </c>
      <c r="H7" s="189" t="s">
        <v>195</v>
      </c>
      <c r="I7" s="168"/>
      <c r="J7" s="169"/>
      <c r="K7" s="163"/>
      <c r="L7" s="11"/>
      <c r="M7" s="165"/>
      <c r="N7" s="166"/>
      <c r="O7" s="170"/>
      <c r="T7" s="446" t="s">
        <v>537</v>
      </c>
      <c r="U7" s="507">
        <v>6</v>
      </c>
    </row>
    <row r="8" spans="1:22" ht="13" x14ac:dyDescent="0.3">
      <c r="A8" s="121" t="s">
        <v>506</v>
      </c>
      <c r="B8" s="201">
        <v>0.48472222222222222</v>
      </c>
      <c r="C8" s="82">
        <v>0.13300000000000001</v>
      </c>
      <c r="D8" s="82">
        <v>8.11</v>
      </c>
      <c r="E8" s="82">
        <v>20.5</v>
      </c>
      <c r="F8" s="82">
        <v>8.84</v>
      </c>
      <c r="G8" s="128">
        <v>2.2999999999999998</v>
      </c>
      <c r="H8" s="178">
        <v>10.85</v>
      </c>
      <c r="I8" s="168"/>
      <c r="J8" s="169"/>
      <c r="K8" s="172"/>
      <c r="L8" s="173"/>
      <c r="M8" s="174"/>
      <c r="N8" s="175"/>
      <c r="O8" s="170"/>
      <c r="T8" s="446" t="s">
        <v>538</v>
      </c>
      <c r="U8" s="507">
        <v>4</v>
      </c>
    </row>
    <row r="9" spans="1:22" ht="13" x14ac:dyDescent="0.3">
      <c r="A9" s="121" t="s">
        <v>175</v>
      </c>
      <c r="B9" s="82"/>
      <c r="C9" s="82">
        <v>0.13500000000000001</v>
      </c>
      <c r="D9" s="82">
        <v>8.2899999999999991</v>
      </c>
      <c r="E9" s="82">
        <v>20.5</v>
      </c>
      <c r="F9" s="82">
        <v>8.82</v>
      </c>
      <c r="G9" s="89"/>
      <c r="K9" s="177"/>
      <c r="M9" s="174"/>
      <c r="N9" s="175"/>
      <c r="O9" s="167"/>
      <c r="T9" s="179" t="s">
        <v>249</v>
      </c>
      <c r="U9" s="507">
        <v>69</v>
      </c>
    </row>
    <row r="10" spans="1:22" ht="13" x14ac:dyDescent="0.3">
      <c r="A10" s="121" t="s">
        <v>507</v>
      </c>
      <c r="B10" s="82"/>
      <c r="C10" s="82">
        <v>0.13600000000000001</v>
      </c>
      <c r="D10" s="82">
        <v>7.72</v>
      </c>
      <c r="E10" s="82">
        <v>20.399999999999999</v>
      </c>
      <c r="F10" s="82">
        <v>8.81</v>
      </c>
      <c r="G10" s="89"/>
      <c r="H10" s="176" t="s">
        <v>521</v>
      </c>
      <c r="I10" s="442">
        <f>AVERAGE(E8:E11)</f>
        <v>20.375</v>
      </c>
      <c r="K10" s="163"/>
      <c r="L10" s="28"/>
      <c r="M10" s="165"/>
      <c r="N10" s="166"/>
      <c r="O10" s="167"/>
      <c r="T10" s="179" t="s">
        <v>250</v>
      </c>
      <c r="U10" s="507">
        <v>21</v>
      </c>
      <c r="V10" s="20"/>
    </row>
    <row r="11" spans="1:22" ht="13" x14ac:dyDescent="0.3">
      <c r="A11" s="121" t="s">
        <v>176</v>
      </c>
      <c r="B11" s="82"/>
      <c r="C11" s="86">
        <v>0.13600000000000001</v>
      </c>
      <c r="D11" s="82">
        <v>8.06</v>
      </c>
      <c r="E11" s="82">
        <v>20.100000000000001</v>
      </c>
      <c r="F11" s="82">
        <v>8.75</v>
      </c>
      <c r="G11" s="89"/>
      <c r="H11" s="20" t="s">
        <v>549</v>
      </c>
      <c r="I11" s="442">
        <f>AVERAGE(E8:E19)</f>
        <v>19.900000000000002</v>
      </c>
      <c r="K11" s="163"/>
      <c r="L11" s="11"/>
      <c r="M11" s="165"/>
      <c r="N11" s="166"/>
      <c r="O11" s="170"/>
      <c r="T11" s="511" t="s">
        <v>628</v>
      </c>
      <c r="U11" s="507">
        <v>26</v>
      </c>
    </row>
    <row r="12" spans="1:22" ht="13" x14ac:dyDescent="0.3">
      <c r="A12" s="121" t="s">
        <v>508</v>
      </c>
      <c r="B12" s="82"/>
      <c r="C12" s="82">
        <v>0.13700000000000001</v>
      </c>
      <c r="D12" s="82">
        <v>8.01</v>
      </c>
      <c r="E12" s="82">
        <v>20</v>
      </c>
      <c r="F12" s="82">
        <v>8.81</v>
      </c>
      <c r="G12" s="89"/>
      <c r="H12" s="168"/>
      <c r="I12" s="169"/>
      <c r="K12" s="172"/>
      <c r="L12" s="173"/>
      <c r="M12" s="174"/>
      <c r="N12" s="175"/>
      <c r="O12" s="170"/>
      <c r="T12" s="179" t="s">
        <v>251</v>
      </c>
      <c r="U12" s="208">
        <v>60</v>
      </c>
    </row>
    <row r="13" spans="1:22" ht="13" x14ac:dyDescent="0.3">
      <c r="A13" s="121" t="s">
        <v>177</v>
      </c>
      <c r="B13" s="82"/>
      <c r="C13" s="82">
        <v>0.13700000000000001</v>
      </c>
      <c r="D13" s="82">
        <v>7.8</v>
      </c>
      <c r="E13" s="82">
        <v>20</v>
      </c>
      <c r="F13" s="186">
        <v>8.8000000000000007</v>
      </c>
      <c r="G13" s="89"/>
      <c r="H13" s="440" t="s">
        <v>548</v>
      </c>
      <c r="I13" s="333">
        <f>AVERAGE(D8:D22)</f>
        <v>7.24</v>
      </c>
      <c r="K13" s="163"/>
      <c r="L13" s="28"/>
      <c r="M13" s="165"/>
      <c r="N13" s="166"/>
      <c r="O13" s="167"/>
      <c r="T13" s="179" t="s">
        <v>576</v>
      </c>
      <c r="U13" s="507">
        <v>7</v>
      </c>
    </row>
    <row r="14" spans="1:22" ht="13" x14ac:dyDescent="0.3">
      <c r="A14" s="121" t="s">
        <v>509</v>
      </c>
      <c r="B14" s="82"/>
      <c r="C14" s="82">
        <v>0.13700000000000001</v>
      </c>
      <c r="D14" s="82">
        <v>7.82</v>
      </c>
      <c r="E14" s="82">
        <v>19.899999999999999</v>
      </c>
      <c r="F14" s="82">
        <v>8.76</v>
      </c>
      <c r="G14" s="89"/>
      <c r="H14" s="440" t="s">
        <v>526</v>
      </c>
      <c r="I14" s="333">
        <f>AVERAGE(D8:D11)</f>
        <v>8.0449999999999999</v>
      </c>
      <c r="K14" s="163"/>
      <c r="L14" s="11"/>
      <c r="M14" s="165"/>
      <c r="N14" s="166"/>
      <c r="O14" s="170"/>
    </row>
    <row r="15" spans="1:22" ht="13" x14ac:dyDescent="0.3">
      <c r="A15" s="121" t="s">
        <v>178</v>
      </c>
      <c r="B15" s="82"/>
      <c r="C15" s="82">
        <v>0.13600000000000001</v>
      </c>
      <c r="D15" s="82">
        <v>7.59</v>
      </c>
      <c r="E15" s="82">
        <v>19.899999999999999</v>
      </c>
      <c r="F15" s="82">
        <v>8.74</v>
      </c>
      <c r="G15" s="89"/>
      <c r="K15" s="172"/>
      <c r="L15" s="173"/>
      <c r="M15" s="174"/>
      <c r="N15" s="175"/>
      <c r="O15" s="170"/>
    </row>
    <row r="16" spans="1:22" ht="13" x14ac:dyDescent="0.3">
      <c r="A16" s="121" t="s">
        <v>179</v>
      </c>
      <c r="B16" s="137"/>
      <c r="C16" s="82">
        <v>0.13800000000000001</v>
      </c>
      <c r="D16" s="82">
        <v>7.28</v>
      </c>
      <c r="E16" s="82">
        <v>19.600000000000001</v>
      </c>
      <c r="F16" s="82">
        <v>8.61</v>
      </c>
      <c r="G16" s="89"/>
      <c r="H16" s="440" t="s">
        <v>547</v>
      </c>
      <c r="I16" s="333">
        <f>AVERAGE(F8:F20)</f>
        <v>8.680769230769231</v>
      </c>
      <c r="K16" s="163"/>
      <c r="L16" s="28"/>
      <c r="M16" s="165"/>
      <c r="N16" s="166"/>
      <c r="O16" s="167"/>
    </row>
    <row r="17" spans="1:20" ht="13" x14ac:dyDescent="0.3">
      <c r="A17" s="121" t="s">
        <v>180</v>
      </c>
      <c r="B17" s="137"/>
      <c r="C17" s="82">
        <v>0.13900000000000001</v>
      </c>
      <c r="D17" s="312">
        <v>7.15</v>
      </c>
      <c r="E17" s="82">
        <v>19.5</v>
      </c>
      <c r="F17" s="82">
        <v>8.58</v>
      </c>
      <c r="G17" s="89"/>
      <c r="H17" s="440" t="s">
        <v>546</v>
      </c>
      <c r="I17" s="441">
        <f>AVERAGE(C8:C22)</f>
        <v>0.13786666666666667</v>
      </c>
      <c r="J17" s="169"/>
      <c r="K17" s="163"/>
      <c r="L17" s="11"/>
      <c r="M17" s="165"/>
      <c r="N17" s="166"/>
      <c r="O17" s="170"/>
    </row>
    <row r="18" spans="1:20" ht="13" x14ac:dyDescent="0.3">
      <c r="A18" s="121" t="s">
        <v>181</v>
      </c>
      <c r="B18" s="82"/>
      <c r="C18" s="82">
        <v>0.14000000000000001</v>
      </c>
      <c r="D18" s="312">
        <v>7.07</v>
      </c>
      <c r="E18" s="82">
        <v>19.3</v>
      </c>
      <c r="F18" s="82">
        <v>8.52</v>
      </c>
      <c r="G18" s="89"/>
      <c r="I18" s="168"/>
      <c r="J18" s="169"/>
      <c r="K18" s="172"/>
      <c r="L18" s="173"/>
      <c r="M18" s="174"/>
      <c r="N18" s="175"/>
      <c r="O18" s="170"/>
    </row>
    <row r="19" spans="1:20" ht="13" x14ac:dyDescent="0.3">
      <c r="A19" s="121" t="s">
        <v>182</v>
      </c>
      <c r="B19" s="82"/>
      <c r="C19" s="82">
        <v>0.14099999999999999</v>
      </c>
      <c r="D19" s="312">
        <v>6.54</v>
      </c>
      <c r="E19" s="82">
        <v>19.100000000000001</v>
      </c>
      <c r="F19" s="82">
        <v>8.4499999999999993</v>
      </c>
      <c r="G19" s="89"/>
      <c r="I19" s="168"/>
      <c r="J19" s="169"/>
      <c r="K19" s="172"/>
      <c r="L19" s="173"/>
      <c r="M19" s="174"/>
      <c r="N19" s="175"/>
      <c r="S19" s="149"/>
    </row>
    <row r="20" spans="1:20" ht="13" x14ac:dyDescent="0.3">
      <c r="A20" s="121" t="s">
        <v>183</v>
      </c>
      <c r="B20" s="82"/>
      <c r="C20" s="82">
        <v>0.14000000000000001</v>
      </c>
      <c r="D20" s="312">
        <v>6.4</v>
      </c>
      <c r="E20" s="82">
        <v>19</v>
      </c>
      <c r="F20" s="82">
        <v>8.36</v>
      </c>
      <c r="G20" s="89"/>
      <c r="I20" s="168"/>
      <c r="J20" s="169"/>
      <c r="K20" s="172"/>
      <c r="L20" s="173"/>
      <c r="M20" s="174"/>
      <c r="N20" s="175"/>
      <c r="S20" s="447"/>
      <c r="T20" s="447"/>
    </row>
    <row r="21" spans="1:20" ht="13" x14ac:dyDescent="0.3">
      <c r="A21" s="121" t="s">
        <v>206</v>
      </c>
      <c r="B21" s="82"/>
      <c r="C21" s="82">
        <v>0.14099999999999999</v>
      </c>
      <c r="D21" s="312">
        <v>5.91</v>
      </c>
      <c r="E21" s="82">
        <v>18.5</v>
      </c>
      <c r="F21" s="82">
        <v>8.16</v>
      </c>
      <c r="G21" s="89"/>
      <c r="I21" s="168"/>
      <c r="J21" s="169"/>
      <c r="K21" s="172"/>
      <c r="L21" s="173"/>
      <c r="M21" s="174"/>
      <c r="N21" s="175"/>
      <c r="S21" s="86"/>
      <c r="T21" s="86"/>
    </row>
    <row r="22" spans="1:20" ht="13" x14ac:dyDescent="0.3">
      <c r="A22" s="121" t="s">
        <v>207</v>
      </c>
      <c r="B22" s="82"/>
      <c r="C22" s="82">
        <v>0.14199999999999999</v>
      </c>
      <c r="D22" s="82">
        <v>4.8499999999999996</v>
      </c>
      <c r="E22" s="82">
        <v>18.3</v>
      </c>
      <c r="F22" s="82">
        <v>8.0500000000000007</v>
      </c>
      <c r="G22" s="89"/>
      <c r="S22" s="86"/>
      <c r="T22" s="86"/>
    </row>
    <row r="23" spans="1:20" ht="13" x14ac:dyDescent="0.3">
      <c r="A23" s="121" t="s">
        <v>209</v>
      </c>
      <c r="B23" s="137">
        <v>0.4548611111111111</v>
      </c>
      <c r="C23" s="82">
        <v>1.29</v>
      </c>
      <c r="D23" s="82">
        <v>7.26</v>
      </c>
      <c r="E23" s="82">
        <v>15.2</v>
      </c>
      <c r="F23" s="186">
        <v>8.41</v>
      </c>
      <c r="G23" s="179" t="s">
        <v>633</v>
      </c>
      <c r="H23" s="20" t="s">
        <v>530</v>
      </c>
      <c r="S23" s="86"/>
      <c r="T23" s="86"/>
    </row>
    <row r="24" spans="1:20" ht="13" x14ac:dyDescent="0.3">
      <c r="A24" s="306" t="s">
        <v>210</v>
      </c>
      <c r="B24" s="137">
        <v>0.46180555555555558</v>
      </c>
      <c r="C24" s="82">
        <v>1.27</v>
      </c>
      <c r="D24" s="82">
        <v>7.39</v>
      </c>
      <c r="E24" s="82">
        <v>17.899999999999999</v>
      </c>
      <c r="F24" s="186">
        <v>8.5500000000000007</v>
      </c>
      <c r="G24" s="179" t="s">
        <v>634</v>
      </c>
      <c r="H24" s="20" t="s">
        <v>635</v>
      </c>
      <c r="S24" s="86"/>
      <c r="T24" s="86"/>
    </row>
    <row r="25" spans="1:20" x14ac:dyDescent="0.25">
      <c r="A25" s="125" t="s">
        <v>11</v>
      </c>
      <c r="B25" s="193" t="s">
        <v>629</v>
      </c>
      <c r="C25" s="126"/>
      <c r="D25" s="126"/>
      <c r="E25" s="126"/>
      <c r="F25" s="126"/>
      <c r="G25" s="126"/>
      <c r="S25" s="86"/>
      <c r="T25" s="86"/>
    </row>
    <row r="26" spans="1:20" x14ac:dyDescent="0.25">
      <c r="A26" s="138"/>
      <c r="B26" s="20" t="s">
        <v>558</v>
      </c>
      <c r="D26" s="322"/>
      <c r="E26" s="322"/>
      <c r="F26" s="322"/>
      <c r="G26" s="322"/>
      <c r="S26" s="86"/>
      <c r="T26" s="86"/>
    </row>
    <row r="27" spans="1:20" x14ac:dyDescent="0.25">
      <c r="A27" s="138"/>
      <c r="B27" s="322"/>
      <c r="C27" s="322"/>
      <c r="D27" s="322"/>
      <c r="E27" s="322"/>
      <c r="F27" s="322"/>
      <c r="G27" s="322"/>
      <c r="S27" s="86"/>
      <c r="T27" s="86"/>
    </row>
    <row r="28" spans="1:20" ht="24" x14ac:dyDescent="0.35">
      <c r="A28" s="951" t="s">
        <v>127</v>
      </c>
      <c r="B28" s="951"/>
      <c r="C28" s="290"/>
      <c r="D28" s="951" t="s">
        <v>130</v>
      </c>
      <c r="E28" s="951"/>
      <c r="F28" s="131"/>
      <c r="G28" s="947" t="s">
        <v>31</v>
      </c>
      <c r="H28" s="947"/>
      <c r="J28" s="135" t="s">
        <v>187</v>
      </c>
      <c r="K28" s="135" t="s">
        <v>188</v>
      </c>
      <c r="L28" s="136" t="s">
        <v>189</v>
      </c>
      <c r="M28" s="135" t="s">
        <v>190</v>
      </c>
      <c r="N28" s="136" t="s">
        <v>191</v>
      </c>
      <c r="S28" s="86"/>
      <c r="T28" s="86"/>
    </row>
    <row r="29" spans="1:20" ht="15.5" x14ac:dyDescent="0.35">
      <c r="A29" s="154" t="s">
        <v>170</v>
      </c>
      <c r="B29" s="291">
        <v>0.39583333333333331</v>
      </c>
      <c r="C29" s="292">
        <v>0.7</v>
      </c>
      <c r="D29" s="154" t="s">
        <v>170</v>
      </c>
      <c r="E29" s="293">
        <v>0.4284722222222222</v>
      </c>
      <c r="F29" s="323">
        <v>3.95</v>
      </c>
      <c r="G29" s="154" t="s">
        <v>170</v>
      </c>
      <c r="H29" s="293">
        <v>0.44444444444444442</v>
      </c>
      <c r="J29" s="132">
        <v>2</v>
      </c>
      <c r="K29" s="132">
        <v>0.16</v>
      </c>
      <c r="L29" s="132">
        <v>1.2</v>
      </c>
      <c r="M29" s="132">
        <f>K29*50</f>
        <v>8</v>
      </c>
      <c r="N29" s="133">
        <f>L29*M29</f>
        <v>9.6</v>
      </c>
      <c r="S29" s="86"/>
      <c r="T29" s="86"/>
    </row>
    <row r="30" spans="1:20" ht="15.65" customHeight="1" thickBot="1" x14ac:dyDescent="0.4">
      <c r="A30" s="154" t="s">
        <v>185</v>
      </c>
      <c r="B30" s="290">
        <v>7</v>
      </c>
      <c r="C30" s="294"/>
      <c r="D30" s="154" t="s">
        <v>185</v>
      </c>
      <c r="E30" s="304">
        <v>18</v>
      </c>
      <c r="F30" s="295"/>
      <c r="G30" s="154" t="s">
        <v>185</v>
      </c>
      <c r="H30" s="303">
        <v>50</v>
      </c>
      <c r="I30" s="505">
        <v>0.09</v>
      </c>
      <c r="J30" s="132">
        <v>4</v>
      </c>
      <c r="K30" s="132">
        <v>1</v>
      </c>
      <c r="L30" s="132">
        <v>1.3</v>
      </c>
      <c r="M30" s="132">
        <f>K30*2</f>
        <v>2</v>
      </c>
      <c r="N30" s="133">
        <f>L30*M30</f>
        <v>2.6</v>
      </c>
      <c r="S30" s="86"/>
      <c r="T30" s="86"/>
    </row>
    <row r="31" spans="1:20" ht="25.5" thickBot="1" x14ac:dyDescent="0.4">
      <c r="A31" s="156" t="s">
        <v>186</v>
      </c>
      <c r="B31" s="950" t="s">
        <v>630</v>
      </c>
      <c r="C31" s="950"/>
      <c r="D31" s="155" t="s">
        <v>186</v>
      </c>
      <c r="E31" s="952" t="s">
        <v>631</v>
      </c>
      <c r="F31" s="952"/>
      <c r="G31" s="155" t="s">
        <v>186</v>
      </c>
      <c r="H31" s="157" t="s">
        <v>565</v>
      </c>
      <c r="J31" s="132">
        <v>6</v>
      </c>
      <c r="K31" s="132">
        <v>0.82</v>
      </c>
      <c r="L31" s="132">
        <v>1.9</v>
      </c>
      <c r="M31" s="132">
        <f>K31*2</f>
        <v>1.64</v>
      </c>
      <c r="N31" s="133">
        <f t="shared" ref="N31:N38" si="0">L31*M31</f>
        <v>3.1159999999999997</v>
      </c>
    </row>
    <row r="32" spans="1:20" ht="24" x14ac:dyDescent="0.35">
      <c r="A32" s="151" t="s">
        <v>187</v>
      </c>
      <c r="B32" s="151" t="s">
        <v>188</v>
      </c>
      <c r="C32" s="153" t="s">
        <v>189</v>
      </c>
      <c r="D32" s="151" t="s">
        <v>187</v>
      </c>
      <c r="E32" s="151" t="s">
        <v>188</v>
      </c>
      <c r="F32" s="153" t="s">
        <v>189</v>
      </c>
      <c r="G32" s="151" t="s">
        <v>188</v>
      </c>
      <c r="H32" s="153" t="s">
        <v>189</v>
      </c>
      <c r="J32" s="132">
        <v>8</v>
      </c>
      <c r="K32" s="132">
        <v>0.88</v>
      </c>
      <c r="L32" s="132">
        <v>0.5</v>
      </c>
      <c r="M32" s="132">
        <f>K32*2</f>
        <v>1.76</v>
      </c>
      <c r="N32" s="133">
        <f t="shared" si="0"/>
        <v>0.88</v>
      </c>
    </row>
    <row r="33" spans="1:14" ht="15.5" x14ac:dyDescent="0.35">
      <c r="A33" s="152">
        <v>2</v>
      </c>
      <c r="B33" s="132">
        <v>0.3</v>
      </c>
      <c r="C33" s="132">
        <v>0.2</v>
      </c>
      <c r="D33" s="152">
        <v>2</v>
      </c>
      <c r="E33" s="132">
        <v>0.9</v>
      </c>
      <c r="F33" s="132">
        <v>0.8</v>
      </c>
      <c r="G33" s="947" t="s">
        <v>31</v>
      </c>
      <c r="H33" s="947"/>
      <c r="J33" s="132">
        <v>10</v>
      </c>
      <c r="K33" s="132">
        <v>0.78</v>
      </c>
      <c r="L33" s="132">
        <v>0.6</v>
      </c>
      <c r="M33" s="132">
        <f t="shared" ref="M33:M38" si="1">K33*2</f>
        <v>1.56</v>
      </c>
      <c r="N33" s="133">
        <f t="shared" si="0"/>
        <v>0.93599999999999994</v>
      </c>
    </row>
    <row r="34" spans="1:14" ht="15.5" x14ac:dyDescent="0.35">
      <c r="A34" s="152">
        <v>4</v>
      </c>
      <c r="B34" s="132">
        <v>0.32</v>
      </c>
      <c r="C34" s="132">
        <v>0.4</v>
      </c>
      <c r="D34" s="152">
        <v>4</v>
      </c>
      <c r="E34" s="132">
        <v>1</v>
      </c>
      <c r="F34" s="132">
        <v>1.3</v>
      </c>
      <c r="G34" s="132">
        <v>0.16</v>
      </c>
      <c r="H34" s="133">
        <v>1.2</v>
      </c>
      <c r="I34" s="444">
        <v>9.6</v>
      </c>
      <c r="J34" s="132">
        <v>12</v>
      </c>
      <c r="K34" s="134">
        <v>0.82</v>
      </c>
      <c r="L34" s="132">
        <v>2.7</v>
      </c>
      <c r="M34" s="132">
        <f t="shared" si="1"/>
        <v>1.64</v>
      </c>
      <c r="N34" s="133">
        <f t="shared" si="0"/>
        <v>4.4279999999999999</v>
      </c>
    </row>
    <row r="35" spans="1:14" ht="15.5" x14ac:dyDescent="0.35">
      <c r="A35" s="152">
        <v>6</v>
      </c>
      <c r="B35" s="132">
        <v>0.3</v>
      </c>
      <c r="C35" s="132">
        <v>0.7</v>
      </c>
      <c r="D35" s="331">
        <v>6</v>
      </c>
      <c r="E35" s="132">
        <v>0.82</v>
      </c>
      <c r="F35" s="132">
        <v>1.9</v>
      </c>
      <c r="G35" s="948" t="s">
        <v>196</v>
      </c>
      <c r="H35" s="949"/>
      <c r="I35" s="158"/>
      <c r="J35" s="132">
        <v>14</v>
      </c>
      <c r="K35" s="134">
        <v>0.65</v>
      </c>
      <c r="L35" s="134">
        <v>1.1000000000000001</v>
      </c>
      <c r="M35" s="132">
        <f t="shared" si="1"/>
        <v>1.3</v>
      </c>
      <c r="N35" s="133">
        <f t="shared" si="0"/>
        <v>1.4300000000000002</v>
      </c>
    </row>
    <row r="36" spans="1:14" ht="15.5" x14ac:dyDescent="0.35">
      <c r="A36" s="152">
        <v>8</v>
      </c>
      <c r="B36" s="132"/>
      <c r="C36" s="132"/>
      <c r="D36" s="152">
        <v>8</v>
      </c>
      <c r="E36" s="132">
        <v>0.88</v>
      </c>
      <c r="F36" s="132">
        <v>0.5</v>
      </c>
      <c r="G36" s="132" t="s">
        <v>487</v>
      </c>
      <c r="H36" s="133">
        <v>0.4</v>
      </c>
      <c r="I36" s="444">
        <v>0.32</v>
      </c>
      <c r="J36" s="132">
        <v>16</v>
      </c>
      <c r="K36" s="134">
        <v>0.77</v>
      </c>
      <c r="L36" s="134">
        <v>0.6</v>
      </c>
      <c r="M36" s="132">
        <f>K36*3</f>
        <v>2.31</v>
      </c>
      <c r="N36" s="133">
        <f t="shared" si="0"/>
        <v>1.3859999999999999</v>
      </c>
    </row>
    <row r="37" spans="1:14" ht="15.5" x14ac:dyDescent="0.35">
      <c r="A37" s="152">
        <v>12</v>
      </c>
      <c r="B37" s="132"/>
      <c r="C37" s="132"/>
      <c r="D37" s="152">
        <v>10</v>
      </c>
      <c r="E37" s="132">
        <v>0.78</v>
      </c>
      <c r="F37" s="132">
        <v>0.6</v>
      </c>
      <c r="G37" s="132" t="s">
        <v>197</v>
      </c>
      <c r="H37" s="133"/>
      <c r="I37" s="158"/>
      <c r="J37" s="132">
        <v>18</v>
      </c>
      <c r="K37" s="82"/>
      <c r="L37" s="194"/>
      <c r="M37" s="132">
        <f t="shared" si="1"/>
        <v>0</v>
      </c>
      <c r="N37" s="133">
        <f t="shared" si="0"/>
        <v>0</v>
      </c>
    </row>
    <row r="38" spans="1:14" ht="15.5" x14ac:dyDescent="0.35">
      <c r="A38" s="123"/>
      <c r="B38" s="132"/>
      <c r="C38" s="132"/>
      <c r="D38" s="152">
        <v>12</v>
      </c>
      <c r="E38" s="134">
        <v>0.82</v>
      </c>
      <c r="F38" s="132">
        <v>2.7</v>
      </c>
      <c r="G38" s="132" t="s">
        <v>632</v>
      </c>
      <c r="H38" s="133">
        <v>0.4</v>
      </c>
      <c r="I38" s="445">
        <v>0.24</v>
      </c>
      <c r="J38" s="132">
        <v>20</v>
      </c>
      <c r="K38" s="132"/>
      <c r="L38" s="132"/>
      <c r="M38" s="132">
        <f t="shared" si="1"/>
        <v>0</v>
      </c>
      <c r="N38" s="133">
        <f t="shared" si="0"/>
        <v>0</v>
      </c>
    </row>
    <row r="39" spans="1:14" ht="15.5" x14ac:dyDescent="0.35">
      <c r="C39" s="443">
        <v>1</v>
      </c>
      <c r="D39" s="152">
        <v>14</v>
      </c>
      <c r="E39" s="134">
        <v>0.65</v>
      </c>
      <c r="F39" s="134">
        <v>1.1000000000000001</v>
      </c>
      <c r="N39" s="6">
        <f>SUM(N29:N38)</f>
        <v>24.375999999999998</v>
      </c>
    </row>
    <row r="40" spans="1:14" ht="15.5" x14ac:dyDescent="0.35">
      <c r="A40" s="319"/>
      <c r="D40" s="152">
        <v>16</v>
      </c>
      <c r="E40" s="134">
        <v>0.77</v>
      </c>
      <c r="F40" s="134">
        <v>0.6</v>
      </c>
    </row>
    <row r="41" spans="1:14" ht="15.5" x14ac:dyDescent="0.35">
      <c r="A41" s="319"/>
      <c r="D41" s="152">
        <v>18</v>
      </c>
      <c r="E41" s="82"/>
      <c r="F41" s="194"/>
    </row>
    <row r="42" spans="1:14" ht="15.5" x14ac:dyDescent="0.35">
      <c r="F42" s="366">
        <v>16.899999999999999</v>
      </c>
    </row>
    <row r="43" spans="1:14" ht="14" x14ac:dyDescent="0.3">
      <c r="A43" s="129" t="s">
        <v>211</v>
      </c>
      <c r="C43" s="11" t="s">
        <v>212</v>
      </c>
      <c r="D43" s="148">
        <v>40721</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v>0.49652777777777773</v>
      </c>
      <c r="C45" s="225">
        <v>0.13900000000000001</v>
      </c>
      <c r="D45" s="225">
        <v>8.34</v>
      </c>
      <c r="E45" s="507">
        <v>20.9</v>
      </c>
      <c r="F45" s="225">
        <v>8.83</v>
      </c>
      <c r="G45" s="128">
        <v>2.4</v>
      </c>
      <c r="H45" s="82">
        <v>8.3000000000000007</v>
      </c>
    </row>
    <row r="46" spans="1:14" ht="14" x14ac:dyDescent="0.3">
      <c r="A46" s="121" t="s">
        <v>175</v>
      </c>
      <c r="B46" s="82"/>
      <c r="C46" s="225">
        <v>0.13400000000000001</v>
      </c>
      <c r="D46" s="225">
        <v>7.99</v>
      </c>
      <c r="E46" s="507">
        <v>20.7</v>
      </c>
      <c r="F46" s="225">
        <v>8.85</v>
      </c>
      <c r="G46" s="89"/>
    </row>
    <row r="47" spans="1:14" ht="14" x14ac:dyDescent="0.3">
      <c r="A47" s="121" t="s">
        <v>507</v>
      </c>
      <c r="B47" s="82"/>
      <c r="C47" s="225">
        <v>0.13600000000000001</v>
      </c>
      <c r="D47" s="225">
        <v>8.1300000000000008</v>
      </c>
      <c r="E47" s="507">
        <v>20.5</v>
      </c>
      <c r="F47" s="225">
        <v>8.86</v>
      </c>
      <c r="G47" s="89"/>
      <c r="H47" s="176" t="s">
        <v>521</v>
      </c>
      <c r="I47" s="442">
        <f>AVERAGE(E45:E48)</f>
        <v>20.549999999999997</v>
      </c>
    </row>
    <row r="48" spans="1:14" ht="14" x14ac:dyDescent="0.3">
      <c r="A48" s="121" t="s">
        <v>176</v>
      </c>
      <c r="B48" s="82"/>
      <c r="C48" s="429">
        <v>0.13600000000000001</v>
      </c>
      <c r="D48" s="225">
        <v>7.93</v>
      </c>
      <c r="E48" s="507">
        <v>20.100000000000001</v>
      </c>
      <c r="F48" s="225">
        <v>8.82</v>
      </c>
      <c r="G48" s="89"/>
      <c r="H48" s="20" t="s">
        <v>599</v>
      </c>
      <c r="I48" s="442">
        <f>AVERAGE(E45:E54)</f>
        <v>20.09</v>
      </c>
    </row>
    <row r="49" spans="1:10" ht="14" x14ac:dyDescent="0.3">
      <c r="A49" s="121" t="s">
        <v>508</v>
      </c>
      <c r="B49" s="82"/>
      <c r="C49" s="225">
        <v>0.13700000000000001</v>
      </c>
      <c r="D49" s="225">
        <v>8.02</v>
      </c>
      <c r="E49" s="507">
        <v>20</v>
      </c>
      <c r="F49" s="225">
        <v>8.81</v>
      </c>
      <c r="G49" s="89"/>
      <c r="H49" s="168"/>
      <c r="I49" s="169"/>
    </row>
    <row r="50" spans="1:10" ht="14" x14ac:dyDescent="0.3">
      <c r="A50" s="121" t="s">
        <v>177</v>
      </c>
      <c r="B50" s="82"/>
      <c r="C50" s="225">
        <v>0.13700000000000001</v>
      </c>
      <c r="D50" s="225">
        <v>7.71</v>
      </c>
      <c r="E50" s="507">
        <v>19.899999999999999</v>
      </c>
      <c r="F50" s="225">
        <v>8.77</v>
      </c>
      <c r="G50" s="89"/>
      <c r="H50" s="440" t="s">
        <v>600</v>
      </c>
      <c r="I50" s="333">
        <f>AVERAGE(D45:D53)</f>
        <v>7.8955555555555561</v>
      </c>
    </row>
    <row r="51" spans="1:10" ht="14" x14ac:dyDescent="0.3">
      <c r="A51" s="121" t="s">
        <v>509</v>
      </c>
      <c r="B51" s="82"/>
      <c r="C51" s="225">
        <v>0.13700000000000001</v>
      </c>
      <c r="D51" s="225">
        <v>7.92</v>
      </c>
      <c r="E51" s="507">
        <v>19.899999999999999</v>
      </c>
      <c r="F51" s="225">
        <v>8.76</v>
      </c>
      <c r="G51" s="89"/>
      <c r="H51" s="440" t="s">
        <v>526</v>
      </c>
      <c r="I51" s="333">
        <f>AVERAGE(D45:D48)</f>
        <v>8.0975000000000001</v>
      </c>
    </row>
    <row r="52" spans="1:10" ht="14" x14ac:dyDescent="0.3">
      <c r="A52" s="121" t="s">
        <v>178</v>
      </c>
      <c r="B52" s="82"/>
      <c r="C52" s="225">
        <v>0.13800000000000001</v>
      </c>
      <c r="D52" s="225">
        <v>7.56</v>
      </c>
      <c r="E52" s="507">
        <v>19.8</v>
      </c>
      <c r="F52" s="225">
        <v>8.69</v>
      </c>
      <c r="G52" s="89"/>
    </row>
    <row r="53" spans="1:10" ht="14" x14ac:dyDescent="0.3">
      <c r="A53" s="121" t="s">
        <v>179</v>
      </c>
      <c r="B53" s="82"/>
      <c r="C53" s="225">
        <v>0.13900000000000001</v>
      </c>
      <c r="D53" s="225">
        <v>7.46</v>
      </c>
      <c r="E53" s="507">
        <v>19.7</v>
      </c>
      <c r="F53" s="225">
        <v>8.6300000000000008</v>
      </c>
      <c r="G53" s="89"/>
    </row>
    <row r="54" spans="1:10" ht="14" x14ac:dyDescent="0.3">
      <c r="A54" s="121" t="s">
        <v>180</v>
      </c>
      <c r="B54" s="82"/>
      <c r="C54" s="225">
        <v>0.13900000000000001</v>
      </c>
      <c r="D54" s="225">
        <v>6.98</v>
      </c>
      <c r="E54" s="507">
        <v>19.399999999999999</v>
      </c>
      <c r="F54" s="225">
        <v>8.5399999999999991</v>
      </c>
      <c r="G54" s="89"/>
    </row>
    <row r="55" spans="1:10" ht="14" x14ac:dyDescent="0.3">
      <c r="A55" s="121" t="s">
        <v>181</v>
      </c>
      <c r="B55" s="137"/>
      <c r="C55" s="225">
        <v>0.14099999999999999</v>
      </c>
      <c r="D55" s="225">
        <v>6.77</v>
      </c>
      <c r="E55" s="507">
        <v>18.899999999999999</v>
      </c>
      <c r="F55" s="225">
        <v>8.3000000000000007</v>
      </c>
      <c r="G55" s="89"/>
    </row>
    <row r="56" spans="1:10" ht="14" x14ac:dyDescent="0.3">
      <c r="A56" s="121" t="s">
        <v>182</v>
      </c>
      <c r="B56" s="137"/>
      <c r="C56" s="225">
        <v>0.14099999999999999</v>
      </c>
      <c r="D56" s="225">
        <v>4.46</v>
      </c>
      <c r="E56" s="507">
        <v>18.5</v>
      </c>
      <c r="F56" s="225">
        <v>8.06</v>
      </c>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v>0.50972222222222219</v>
      </c>
      <c r="C59" s="507">
        <v>0.46600000000000003</v>
      </c>
      <c r="D59" s="507">
        <v>7.55</v>
      </c>
      <c r="E59" s="225">
        <v>20.6</v>
      </c>
      <c r="F59" s="507">
        <v>8.81</v>
      </c>
      <c r="G59" s="128">
        <v>2.4</v>
      </c>
      <c r="H59" s="82">
        <v>5</v>
      </c>
    </row>
    <row r="60" spans="1:10" ht="14" x14ac:dyDescent="0.3">
      <c r="A60" s="121" t="s">
        <v>175</v>
      </c>
      <c r="B60" s="82"/>
      <c r="C60" s="507">
        <v>0.46600000000000003</v>
      </c>
      <c r="D60" s="507">
        <v>7.84</v>
      </c>
      <c r="E60" s="225">
        <v>20.2</v>
      </c>
      <c r="F60" s="507">
        <v>8.81</v>
      </c>
      <c r="G60" s="89"/>
    </row>
    <row r="61" spans="1:10" ht="14" x14ac:dyDescent="0.3">
      <c r="A61" s="121" t="s">
        <v>507</v>
      </c>
      <c r="B61" s="82"/>
      <c r="C61" s="507">
        <v>0.46400000000000002</v>
      </c>
      <c r="D61" s="507">
        <v>8.0299999999999994</v>
      </c>
      <c r="E61" s="225">
        <v>20.100000000000001</v>
      </c>
      <c r="F61" s="507">
        <v>8.83</v>
      </c>
      <c r="G61" s="89"/>
      <c r="H61" s="176" t="s">
        <v>521</v>
      </c>
      <c r="I61" s="442">
        <f>AVERAGE(E59:E62)</f>
        <v>20.225000000000001</v>
      </c>
    </row>
    <row r="62" spans="1:10" ht="14" x14ac:dyDescent="0.3">
      <c r="A62" s="121" t="s">
        <v>176</v>
      </c>
      <c r="B62" s="82"/>
      <c r="C62" s="507">
        <v>0.46600000000000003</v>
      </c>
      <c r="D62" s="507">
        <v>8.2100000000000009</v>
      </c>
      <c r="E62" s="225">
        <v>20</v>
      </c>
      <c r="F62" s="507">
        <v>8.77</v>
      </c>
      <c r="G62" s="89"/>
      <c r="H62" s="20" t="s">
        <v>601</v>
      </c>
      <c r="I62" s="442">
        <f>AVERAGE(E59:E70)</f>
        <v>20.033333333333339</v>
      </c>
    </row>
    <row r="63" spans="1:10" ht="14" x14ac:dyDescent="0.3">
      <c r="A63" s="121" t="s">
        <v>508</v>
      </c>
      <c r="B63" s="82"/>
      <c r="C63" s="454">
        <v>0.46600000000000003</v>
      </c>
      <c r="D63" s="454">
        <v>7.79</v>
      </c>
      <c r="E63" s="225">
        <v>20</v>
      </c>
      <c r="F63" s="507">
        <v>8.7799999999999994</v>
      </c>
      <c r="G63" s="89"/>
      <c r="H63" s="168"/>
      <c r="I63" s="169"/>
    </row>
    <row r="64" spans="1:10" ht="14" x14ac:dyDescent="0.3">
      <c r="A64" s="121" t="s">
        <v>177</v>
      </c>
      <c r="B64" s="82"/>
      <c r="C64" s="507">
        <v>0.46500000000000002</v>
      </c>
      <c r="D64" s="507">
        <v>7.56</v>
      </c>
      <c r="E64" s="225">
        <v>19.899999999999999</v>
      </c>
      <c r="F64" s="507">
        <v>8.77</v>
      </c>
      <c r="G64" s="89"/>
      <c r="H64" s="440" t="s">
        <v>602</v>
      </c>
      <c r="I64" s="333">
        <f>AVERAGE(D59:D70)</f>
        <v>7.6322222222222216</v>
      </c>
    </row>
    <row r="65" spans="1:9" ht="14" x14ac:dyDescent="0.3">
      <c r="A65" s="121" t="s">
        <v>509</v>
      </c>
      <c r="B65" s="82"/>
      <c r="C65" s="507">
        <v>0.46400000000000002</v>
      </c>
      <c r="D65" s="507">
        <v>7.4</v>
      </c>
      <c r="E65" s="225">
        <v>19.899999999999999</v>
      </c>
      <c r="F65" s="507">
        <v>8.73</v>
      </c>
      <c r="G65" s="89"/>
      <c r="H65" s="440" t="s">
        <v>526</v>
      </c>
      <c r="I65" s="333">
        <f>AVERAGE(D59:D62)</f>
        <v>7.9075000000000006</v>
      </c>
    </row>
    <row r="66" spans="1:9" ht="14" x14ac:dyDescent="0.3">
      <c r="A66" s="121" t="s">
        <v>178</v>
      </c>
      <c r="B66" s="82"/>
      <c r="C66" s="507">
        <v>0.46400000000000002</v>
      </c>
      <c r="D66" s="507">
        <v>7.04</v>
      </c>
      <c r="E66" s="225">
        <v>19.8</v>
      </c>
      <c r="F66" s="507">
        <v>8.7100000000000009</v>
      </c>
      <c r="G66" s="89"/>
    </row>
    <row r="67" spans="1:9" ht="14" x14ac:dyDescent="0.3">
      <c r="A67" s="121" t="s">
        <v>179</v>
      </c>
      <c r="B67" s="82"/>
      <c r="C67" s="507">
        <v>0.46400000000000002</v>
      </c>
      <c r="D67" s="507">
        <v>7.27</v>
      </c>
      <c r="E67" s="225">
        <v>19.8</v>
      </c>
      <c r="F67" s="507">
        <v>8.61</v>
      </c>
      <c r="G67" s="89"/>
    </row>
    <row r="68" spans="1:9" ht="14" x14ac:dyDescent="0.3">
      <c r="A68" s="306" t="s">
        <v>180</v>
      </c>
      <c r="B68" s="137"/>
      <c r="C68" s="507"/>
      <c r="D68" s="507"/>
      <c r="E68" s="225"/>
      <c r="F68" s="507"/>
      <c r="G68" s="89"/>
    </row>
    <row r="69" spans="1:9" ht="14" x14ac:dyDescent="0.3">
      <c r="A69" s="306" t="s">
        <v>181</v>
      </c>
      <c r="B69" s="137"/>
      <c r="C69" s="507"/>
      <c r="D69" s="507"/>
      <c r="E69" s="225"/>
      <c r="F69" s="507"/>
      <c r="G69" s="89"/>
    </row>
    <row r="70" spans="1:9" ht="14" x14ac:dyDescent="0.3">
      <c r="A70" s="306" t="s">
        <v>182</v>
      </c>
      <c r="B70" s="137"/>
      <c r="C70" s="507"/>
      <c r="D70" s="507"/>
      <c r="E70" s="225"/>
      <c r="F70" s="507"/>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v>0.53680555555555554</v>
      </c>
      <c r="C73" s="507">
        <v>0.13300000000000001</v>
      </c>
      <c r="D73" s="507">
        <v>7.97</v>
      </c>
      <c r="E73" s="507">
        <v>21.2</v>
      </c>
      <c r="F73" s="507">
        <v>8.81</v>
      </c>
      <c r="G73" s="128">
        <v>2.2999999999999998</v>
      </c>
      <c r="H73" s="82">
        <v>4</v>
      </c>
    </row>
    <row r="74" spans="1:9" ht="13" x14ac:dyDescent="0.3">
      <c r="A74" s="121" t="s">
        <v>175</v>
      </c>
      <c r="B74" s="82"/>
      <c r="C74" s="507">
        <v>0.13300000000000001</v>
      </c>
      <c r="D74" s="507">
        <v>7.81</v>
      </c>
      <c r="E74" s="507">
        <v>21.1</v>
      </c>
      <c r="F74" s="507">
        <v>8.81</v>
      </c>
      <c r="G74" s="89"/>
    </row>
    <row r="75" spans="1:9" ht="13" x14ac:dyDescent="0.3">
      <c r="A75" s="121" t="s">
        <v>507</v>
      </c>
      <c r="B75" s="82"/>
      <c r="C75" s="507">
        <v>0.13400000000000001</v>
      </c>
      <c r="D75" s="507">
        <v>7.61</v>
      </c>
      <c r="E75" s="507">
        <v>21.1</v>
      </c>
      <c r="F75" s="507">
        <v>8.82</v>
      </c>
      <c r="G75" s="89"/>
      <c r="H75" s="176" t="s">
        <v>521</v>
      </c>
      <c r="I75" s="442">
        <f>AVERAGE(E72:E75)</f>
        <v>21.133333333333333</v>
      </c>
    </row>
    <row r="76" spans="1:9" ht="13" x14ac:dyDescent="0.3">
      <c r="A76" s="121" t="s">
        <v>176</v>
      </c>
      <c r="B76" s="82"/>
      <c r="C76" s="507">
        <v>0.13400000000000001</v>
      </c>
      <c r="D76" s="507">
        <v>7.86</v>
      </c>
      <c r="E76" s="507">
        <v>21</v>
      </c>
      <c r="F76" s="507">
        <v>8.81</v>
      </c>
      <c r="G76" s="89"/>
      <c r="H76" s="20" t="s">
        <v>604</v>
      </c>
      <c r="I76" s="442">
        <f>AVERAGE(E72:E82)</f>
        <v>20.575000000000003</v>
      </c>
    </row>
    <row r="77" spans="1:9" ht="13" x14ac:dyDescent="0.3">
      <c r="A77" s="121" t="s">
        <v>508</v>
      </c>
      <c r="B77" s="82"/>
      <c r="C77" s="507">
        <v>0.13600000000000001</v>
      </c>
      <c r="D77" s="507">
        <v>7.55</v>
      </c>
      <c r="E77" s="507">
        <v>20.3</v>
      </c>
      <c r="F77" s="507">
        <v>8.81</v>
      </c>
      <c r="G77" s="89"/>
      <c r="H77" s="168"/>
      <c r="I77" s="169"/>
    </row>
    <row r="78" spans="1:9" ht="13" x14ac:dyDescent="0.3">
      <c r="A78" s="121" t="s">
        <v>177</v>
      </c>
      <c r="B78" s="82"/>
      <c r="C78" s="507">
        <v>0.14000000000000001</v>
      </c>
      <c r="D78" s="507">
        <v>7.45</v>
      </c>
      <c r="E78" s="507">
        <v>20.100000000000001</v>
      </c>
      <c r="F78" s="507">
        <v>8.7799999999999994</v>
      </c>
      <c r="G78" s="89"/>
      <c r="H78" s="440" t="s">
        <v>603</v>
      </c>
      <c r="I78" s="333">
        <f>AVERAGE(D72:D86)</f>
        <v>7.6418181818181816</v>
      </c>
    </row>
    <row r="79" spans="1:9" ht="13" x14ac:dyDescent="0.3">
      <c r="A79" s="121" t="s">
        <v>509</v>
      </c>
      <c r="B79" s="82"/>
      <c r="C79" s="507">
        <v>0.13800000000000001</v>
      </c>
      <c r="D79" s="507">
        <v>7.38</v>
      </c>
      <c r="E79" s="507">
        <v>19.899999999999999</v>
      </c>
      <c r="F79" s="507">
        <v>8.68</v>
      </c>
      <c r="G79" s="89"/>
      <c r="H79" s="440" t="s">
        <v>526</v>
      </c>
      <c r="I79" s="333">
        <f>AVERAGE(D72:D75)</f>
        <v>7.7966666666666669</v>
      </c>
    </row>
    <row r="80" spans="1:9" ht="13" x14ac:dyDescent="0.3">
      <c r="A80" s="121" t="s">
        <v>178</v>
      </c>
      <c r="B80" s="82"/>
      <c r="C80" s="507">
        <v>0.14399999999999999</v>
      </c>
      <c r="D80" s="507">
        <v>6.9</v>
      </c>
      <c r="E80" s="507">
        <v>19.899999999999999</v>
      </c>
      <c r="F80" s="507">
        <v>8.49</v>
      </c>
      <c r="G80" s="89"/>
    </row>
    <row r="81" spans="1:9" ht="13" x14ac:dyDescent="0.3">
      <c r="A81" s="121" t="s">
        <v>179</v>
      </c>
      <c r="B81" s="82"/>
      <c r="C81" s="507"/>
      <c r="D81" s="507"/>
      <c r="E81" s="507"/>
      <c r="F81" s="507"/>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v>4.6527777777777779E-2</v>
      </c>
      <c r="C84" s="507">
        <v>0.13300000000000001</v>
      </c>
      <c r="D84" s="310">
        <v>7.89</v>
      </c>
      <c r="E84" s="85">
        <v>21.3</v>
      </c>
      <c r="F84" s="310">
        <v>8.8000000000000007</v>
      </c>
      <c r="G84" s="186">
        <v>2.4</v>
      </c>
      <c r="H84" s="82">
        <v>6.2</v>
      </c>
    </row>
    <row r="85" spans="1:9" ht="13" x14ac:dyDescent="0.3">
      <c r="A85" s="121" t="s">
        <v>175</v>
      </c>
      <c r="B85" s="82"/>
      <c r="C85" s="507">
        <v>0.13300000000000001</v>
      </c>
      <c r="D85" s="310">
        <v>7.78</v>
      </c>
      <c r="E85" s="85">
        <v>21.3</v>
      </c>
      <c r="F85" s="310">
        <v>8.81</v>
      </c>
      <c r="G85" s="89"/>
    </row>
    <row r="86" spans="1:9" ht="13" x14ac:dyDescent="0.3">
      <c r="A86" s="121" t="s">
        <v>507</v>
      </c>
      <c r="B86" s="82"/>
      <c r="C86" s="507">
        <v>0.13300000000000001</v>
      </c>
      <c r="D86" s="310">
        <v>7.86</v>
      </c>
      <c r="E86" s="85">
        <v>21.1</v>
      </c>
      <c r="F86" s="310">
        <v>8.81</v>
      </c>
      <c r="G86" s="89"/>
      <c r="H86" s="176" t="s">
        <v>521</v>
      </c>
      <c r="I86" s="442">
        <f>AVERAGE(E84:E87)</f>
        <v>21.15</v>
      </c>
    </row>
    <row r="87" spans="1:9" ht="13" x14ac:dyDescent="0.3">
      <c r="A87" s="121" t="s">
        <v>176</v>
      </c>
      <c r="B87" s="82"/>
      <c r="C87" s="507">
        <v>0.46300000000000002</v>
      </c>
      <c r="D87" s="310">
        <v>7.57</v>
      </c>
      <c r="E87" s="85">
        <v>20.9</v>
      </c>
      <c r="F87" s="310">
        <v>8.8000000000000007</v>
      </c>
      <c r="G87" s="89"/>
      <c r="H87" s="20" t="s">
        <v>605</v>
      </c>
      <c r="I87" s="442">
        <f>AVERAGE(E84:E94)</f>
        <v>20.48</v>
      </c>
    </row>
    <row r="88" spans="1:9" ht="13" x14ac:dyDescent="0.3">
      <c r="A88" s="121" t="s">
        <v>508</v>
      </c>
      <c r="B88" s="82"/>
      <c r="C88" s="507">
        <v>0.46300000000000002</v>
      </c>
      <c r="D88" s="310">
        <v>7.84</v>
      </c>
      <c r="E88" s="85">
        <v>20.399999999999999</v>
      </c>
      <c r="F88" s="310">
        <v>8.82</v>
      </c>
      <c r="G88" s="89"/>
      <c r="H88" s="168"/>
      <c r="I88" s="169"/>
    </row>
    <row r="89" spans="1:9" ht="13" x14ac:dyDescent="0.3">
      <c r="A89" s="121" t="s">
        <v>177</v>
      </c>
      <c r="B89" s="82"/>
      <c r="C89" s="507">
        <v>0.45900000000000002</v>
      </c>
      <c r="D89" s="310">
        <v>7.68</v>
      </c>
      <c r="E89" s="85">
        <v>20.3</v>
      </c>
      <c r="F89" s="310">
        <v>8.82</v>
      </c>
      <c r="G89" s="89"/>
      <c r="H89" s="440" t="s">
        <v>606</v>
      </c>
      <c r="I89" s="333">
        <f>AVERAGE(D84:D94)</f>
        <v>7.5720000000000001</v>
      </c>
    </row>
    <row r="90" spans="1:9" ht="13" x14ac:dyDescent="0.3">
      <c r="A90" s="121" t="s">
        <v>509</v>
      </c>
      <c r="B90" s="82"/>
      <c r="C90" s="507">
        <v>0.45</v>
      </c>
      <c r="D90" s="310">
        <v>7.61</v>
      </c>
      <c r="E90" s="85">
        <v>20.100000000000001</v>
      </c>
      <c r="F90" s="310">
        <v>8.81</v>
      </c>
      <c r="G90" s="89"/>
      <c r="H90" s="440" t="s">
        <v>526</v>
      </c>
      <c r="I90" s="333">
        <f>AVERAGE(D84:D87)</f>
        <v>7.7750000000000004</v>
      </c>
    </row>
    <row r="91" spans="1:9" ht="13" x14ac:dyDescent="0.3">
      <c r="A91" s="121" t="s">
        <v>178</v>
      </c>
      <c r="B91" s="82"/>
      <c r="C91" s="507">
        <v>0.45900000000000002</v>
      </c>
      <c r="D91" s="310">
        <v>7.48</v>
      </c>
      <c r="E91" s="85">
        <v>20</v>
      </c>
      <c r="F91" s="310">
        <v>8.7799999999999994</v>
      </c>
      <c r="G91" s="89"/>
    </row>
    <row r="92" spans="1:9" ht="13" x14ac:dyDescent="0.3">
      <c r="A92" s="121" t="s">
        <v>179</v>
      </c>
      <c r="B92" s="82"/>
      <c r="C92" s="507">
        <v>0.45600000000000002</v>
      </c>
      <c r="D92" s="310">
        <v>7.37</v>
      </c>
      <c r="E92" s="85">
        <v>20</v>
      </c>
      <c r="F92" s="310">
        <v>8.76</v>
      </c>
      <c r="G92" s="89"/>
    </row>
    <row r="93" spans="1:9" ht="13" x14ac:dyDescent="0.3">
      <c r="A93" s="121" t="s">
        <v>180</v>
      </c>
      <c r="B93" s="82"/>
      <c r="C93" s="507">
        <v>0.441</v>
      </c>
      <c r="D93" s="310">
        <v>6.64</v>
      </c>
      <c r="E93" s="85">
        <v>19.399999999999999</v>
      </c>
      <c r="F93" s="310">
        <v>8.4499999999999993</v>
      </c>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5:H35"/>
    <mergeCell ref="A28:B28"/>
    <mergeCell ref="D28:E28"/>
    <mergeCell ref="G28:H28"/>
    <mergeCell ref="B31:C31"/>
    <mergeCell ref="E31:F31"/>
    <mergeCell ref="G33:H33"/>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95"/>
  <sheetViews>
    <sheetView workbookViewId="0">
      <selection activeCell="G8" sqref="G8"/>
    </sheetView>
  </sheetViews>
  <sheetFormatPr defaultRowHeight="12.5" x14ac:dyDescent="0.25"/>
  <cols>
    <col min="1" max="1" width="16.6328125" customWidth="1"/>
    <col min="2" max="2" width="10.08984375" bestFit="1" customWidth="1"/>
    <col min="4" max="4" width="11.54296875" customWidth="1"/>
    <col min="8" max="8" width="12" customWidth="1"/>
    <col min="9" max="9" width="16" customWidth="1"/>
    <col min="10" max="10" width="23.6328125" customWidth="1"/>
    <col min="11" max="11" width="14.90625" customWidth="1"/>
    <col min="20" max="20" width="16" bestFit="1" customWidth="1"/>
    <col min="21" max="21" width="9.08984375" bestFit="1" customWidth="1"/>
  </cols>
  <sheetData>
    <row r="1" spans="1:22" ht="14" x14ac:dyDescent="0.3">
      <c r="A1" s="129" t="s">
        <v>505</v>
      </c>
    </row>
    <row r="2" spans="1:22" ht="13" x14ac:dyDescent="0.3">
      <c r="A2" s="1" t="s">
        <v>168</v>
      </c>
      <c r="B2" s="148">
        <v>40743</v>
      </c>
      <c r="I2" s="1"/>
      <c r="J2" s="29"/>
      <c r="K2" s="160"/>
      <c r="L2" s="1"/>
      <c r="M2" s="1"/>
      <c r="N2" s="8"/>
      <c r="O2" s="159"/>
      <c r="T2" s="509" t="s">
        <v>246</v>
      </c>
      <c r="U2" s="510">
        <v>40743</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514">
        <v>6</v>
      </c>
    </row>
    <row r="4" spans="1:22" ht="13" x14ac:dyDescent="0.3">
      <c r="A4" s="91" t="s">
        <v>213</v>
      </c>
      <c r="B4" s="137">
        <v>0.49652777777777773</v>
      </c>
      <c r="C4" s="82">
        <v>1.34</v>
      </c>
      <c r="D4" s="82">
        <v>7.66</v>
      </c>
      <c r="E4" s="82">
        <v>18.100000000000001</v>
      </c>
      <c r="F4" s="82">
        <v>8.2899999999999991</v>
      </c>
      <c r="G4" s="89"/>
      <c r="I4" s="168"/>
      <c r="J4" s="169"/>
      <c r="K4" s="163"/>
      <c r="L4" s="11"/>
      <c r="M4" s="165"/>
      <c r="N4" s="166"/>
      <c r="O4" s="170"/>
      <c r="T4" s="179" t="s">
        <v>253</v>
      </c>
      <c r="U4" s="515">
        <v>27</v>
      </c>
    </row>
    <row r="5" spans="1:22" ht="13" x14ac:dyDescent="0.3">
      <c r="A5" s="91" t="s">
        <v>214</v>
      </c>
      <c r="B5" s="137">
        <v>0.52083333333333337</v>
      </c>
      <c r="C5" s="82">
        <v>9.6000000000000002E-2</v>
      </c>
      <c r="D5" s="82">
        <v>6.7</v>
      </c>
      <c r="E5" s="82">
        <v>20.6</v>
      </c>
      <c r="F5" s="82">
        <v>7.94</v>
      </c>
      <c r="G5" s="89"/>
      <c r="I5" s="168"/>
      <c r="J5" s="169"/>
      <c r="K5" s="172"/>
      <c r="L5" s="173"/>
      <c r="M5" s="174"/>
      <c r="N5" s="175"/>
      <c r="O5" s="170"/>
      <c r="T5" s="309" t="s">
        <v>257</v>
      </c>
      <c r="U5" s="532" t="s">
        <v>646</v>
      </c>
    </row>
    <row r="6" spans="1:22" ht="13" x14ac:dyDescent="0.3">
      <c r="A6" s="91" t="s">
        <v>215</v>
      </c>
      <c r="B6" s="137">
        <v>0.53472222222222221</v>
      </c>
      <c r="C6" s="82">
        <v>0.158</v>
      </c>
      <c r="D6" s="82">
        <v>6.2</v>
      </c>
      <c r="E6" s="82">
        <v>23.9</v>
      </c>
      <c r="F6" s="82">
        <v>8.3000000000000007</v>
      </c>
      <c r="G6" s="89"/>
      <c r="I6" s="20"/>
      <c r="J6" s="162"/>
      <c r="K6" s="163"/>
      <c r="L6" s="28"/>
      <c r="M6" s="165"/>
      <c r="N6" s="166"/>
      <c r="O6" s="167"/>
      <c r="T6" s="179" t="s">
        <v>247</v>
      </c>
      <c r="U6" s="515">
        <v>44</v>
      </c>
    </row>
    <row r="7" spans="1:22" ht="14" x14ac:dyDescent="0.3">
      <c r="A7" s="91" t="s">
        <v>208</v>
      </c>
      <c r="B7" s="222" t="s">
        <v>539</v>
      </c>
      <c r="C7" s="223"/>
      <c r="D7" s="223"/>
      <c r="E7" s="223"/>
      <c r="F7" s="224"/>
      <c r="G7" s="188" t="s">
        <v>184</v>
      </c>
      <c r="H7" s="189" t="s">
        <v>195</v>
      </c>
      <c r="I7" s="168"/>
      <c r="J7" s="169"/>
      <c r="K7" s="163"/>
      <c r="L7" s="11"/>
      <c r="M7" s="165"/>
      <c r="N7" s="166"/>
      <c r="O7" s="170"/>
      <c r="T7" s="446" t="s">
        <v>537</v>
      </c>
      <c r="U7" s="515">
        <v>3</v>
      </c>
    </row>
    <row r="8" spans="1:22" ht="13" x14ac:dyDescent="0.3">
      <c r="A8" s="121" t="s">
        <v>506</v>
      </c>
      <c r="B8" s="201">
        <v>5.5555555555555552E-2</v>
      </c>
      <c r="C8" s="82">
        <v>0.105</v>
      </c>
      <c r="D8" s="82">
        <v>6.03</v>
      </c>
      <c r="E8" s="82">
        <v>23.3</v>
      </c>
      <c r="F8" s="82">
        <v>7.98</v>
      </c>
      <c r="G8" s="128">
        <v>2.2999999999999998</v>
      </c>
      <c r="H8" s="178">
        <v>10.75</v>
      </c>
      <c r="I8" s="168"/>
      <c r="J8" s="169"/>
      <c r="K8" s="172"/>
      <c r="L8" s="173"/>
      <c r="M8" s="174"/>
      <c r="N8" s="175"/>
      <c r="O8" s="170"/>
      <c r="T8" s="446" t="s">
        <v>538</v>
      </c>
      <c r="U8" s="515">
        <v>2</v>
      </c>
    </row>
    <row r="9" spans="1:22" ht="13" x14ac:dyDescent="0.3">
      <c r="A9" s="121" t="s">
        <v>175</v>
      </c>
      <c r="B9" s="82"/>
      <c r="C9" s="82">
        <v>0.106</v>
      </c>
      <c r="D9" s="82">
        <v>6.03</v>
      </c>
      <c r="E9" s="82">
        <v>23</v>
      </c>
      <c r="F9" s="82">
        <v>7.94</v>
      </c>
      <c r="G9" s="89"/>
      <c r="K9" s="177"/>
      <c r="M9" s="174"/>
      <c r="N9" s="175"/>
      <c r="O9" s="167"/>
      <c r="T9" s="179" t="s">
        <v>249</v>
      </c>
      <c r="U9" s="515">
        <v>31</v>
      </c>
    </row>
    <row r="10" spans="1:22" ht="13" x14ac:dyDescent="0.3">
      <c r="A10" s="121" t="s">
        <v>507</v>
      </c>
      <c r="B10" s="82"/>
      <c r="C10" s="82">
        <v>0.108</v>
      </c>
      <c r="D10" s="82">
        <v>5.84</v>
      </c>
      <c r="E10" s="82">
        <v>22.6</v>
      </c>
      <c r="F10" s="82">
        <v>7.9</v>
      </c>
      <c r="G10" s="89"/>
      <c r="H10" s="176" t="s">
        <v>521</v>
      </c>
      <c r="I10" s="442">
        <f>AVERAGE(E8:E11)</f>
        <v>22.85</v>
      </c>
      <c r="K10" s="163"/>
      <c r="L10" s="28"/>
      <c r="M10" s="165"/>
      <c r="N10" s="166"/>
      <c r="O10" s="167"/>
      <c r="T10" s="179" t="s">
        <v>250</v>
      </c>
      <c r="U10" s="515">
        <v>9</v>
      </c>
      <c r="V10" s="20"/>
    </row>
    <row r="11" spans="1:22" ht="13" x14ac:dyDescent="0.3">
      <c r="A11" s="121" t="s">
        <v>176</v>
      </c>
      <c r="B11" s="82"/>
      <c r="C11" s="82">
        <v>0.108</v>
      </c>
      <c r="D11" s="82">
        <v>5.51</v>
      </c>
      <c r="E11" s="82">
        <v>22.5</v>
      </c>
      <c r="F11" s="82">
        <v>7.9</v>
      </c>
      <c r="G11" s="89"/>
      <c r="H11" s="20" t="s">
        <v>549</v>
      </c>
      <c r="I11" s="442">
        <f>AVERAGE(E8:E19)</f>
        <v>22.241666666666664</v>
      </c>
      <c r="K11" s="163"/>
      <c r="L11" s="11"/>
      <c r="M11" s="165"/>
      <c r="N11" s="166"/>
      <c r="O11" s="170"/>
      <c r="T11" s="511" t="s">
        <v>628</v>
      </c>
      <c r="U11" s="515">
        <v>26</v>
      </c>
    </row>
    <row r="12" spans="1:22" ht="13" x14ac:dyDescent="0.3">
      <c r="A12" s="121" t="s">
        <v>508</v>
      </c>
      <c r="B12" s="82"/>
      <c r="C12" s="82">
        <v>0.108</v>
      </c>
      <c r="D12" s="82">
        <v>5.44</v>
      </c>
      <c r="E12" s="82">
        <v>22.2</v>
      </c>
      <c r="F12" s="82">
        <v>7.83</v>
      </c>
      <c r="G12" s="89"/>
      <c r="H12" s="168"/>
      <c r="I12" s="169"/>
      <c r="K12" s="172"/>
      <c r="L12" s="173"/>
      <c r="M12" s="174"/>
      <c r="N12" s="175"/>
      <c r="O12" s="170"/>
      <c r="T12" s="179" t="s">
        <v>251</v>
      </c>
      <c r="U12" s="208">
        <v>19</v>
      </c>
    </row>
    <row r="13" spans="1:22" ht="13" x14ac:dyDescent="0.3">
      <c r="A13" s="121" t="s">
        <v>177</v>
      </c>
      <c r="B13" s="82"/>
      <c r="C13" s="82">
        <v>0.108</v>
      </c>
      <c r="D13" s="82">
        <v>5.18</v>
      </c>
      <c r="E13" s="82">
        <v>22.3</v>
      </c>
      <c r="F13" s="186">
        <v>7.8</v>
      </c>
      <c r="G13" s="89"/>
      <c r="H13" s="440" t="s">
        <v>548</v>
      </c>
      <c r="I13" s="333">
        <f>AVERAGE(D8:D22)</f>
        <v>4.6426666666666669</v>
      </c>
      <c r="K13" s="163"/>
      <c r="L13" s="28"/>
      <c r="M13" s="165"/>
      <c r="N13" s="166"/>
      <c r="O13" s="167"/>
      <c r="T13" s="179" t="s">
        <v>576</v>
      </c>
      <c r="U13" s="515">
        <v>12</v>
      </c>
    </row>
    <row r="14" spans="1:22" ht="13" x14ac:dyDescent="0.3">
      <c r="A14" s="121" t="s">
        <v>509</v>
      </c>
      <c r="B14" s="82"/>
      <c r="C14" s="82">
        <v>0.107</v>
      </c>
      <c r="D14" s="82">
        <v>5.52</v>
      </c>
      <c r="E14" s="82">
        <v>22.2</v>
      </c>
      <c r="F14" s="82">
        <v>7.77</v>
      </c>
      <c r="G14" s="89"/>
      <c r="H14" s="440" t="s">
        <v>526</v>
      </c>
      <c r="I14" s="333">
        <f>AVERAGE(D8:D11)</f>
        <v>5.8524999999999991</v>
      </c>
      <c r="K14" s="163"/>
      <c r="L14" s="11"/>
      <c r="M14" s="165"/>
      <c r="N14" s="166"/>
      <c r="O14" s="170"/>
    </row>
    <row r="15" spans="1:22" ht="13" x14ac:dyDescent="0.3">
      <c r="A15" s="121" t="s">
        <v>178</v>
      </c>
      <c r="B15" s="82"/>
      <c r="C15" s="82">
        <v>0.109</v>
      </c>
      <c r="D15" s="82">
        <v>5.2</v>
      </c>
      <c r="E15" s="82">
        <v>22.2</v>
      </c>
      <c r="F15" s="82">
        <v>7.72</v>
      </c>
      <c r="G15" s="89"/>
      <c r="K15" s="172"/>
      <c r="L15" s="173"/>
      <c r="M15" s="174"/>
      <c r="N15" s="175"/>
      <c r="O15" s="170"/>
    </row>
    <row r="16" spans="1:22" ht="13" x14ac:dyDescent="0.3">
      <c r="A16" s="121" t="s">
        <v>179</v>
      </c>
      <c r="B16" s="137"/>
      <c r="C16" s="82">
        <v>0.109</v>
      </c>
      <c r="D16" s="82">
        <v>4.71</v>
      </c>
      <c r="E16" s="82">
        <v>21.9</v>
      </c>
      <c r="F16" s="82">
        <v>7.62</v>
      </c>
      <c r="G16" s="89"/>
      <c r="H16" s="440" t="s">
        <v>547</v>
      </c>
      <c r="I16" s="333">
        <f>AVERAGE(F8:F20)</f>
        <v>7.743846153846154</v>
      </c>
      <c r="K16" s="163"/>
      <c r="L16" s="28"/>
      <c r="M16" s="165"/>
      <c r="N16" s="166"/>
      <c r="O16" s="167"/>
    </row>
    <row r="17" spans="1:20" ht="13" x14ac:dyDescent="0.3">
      <c r="A17" s="121" t="s">
        <v>180</v>
      </c>
      <c r="B17" s="137"/>
      <c r="C17" s="192">
        <v>0.109</v>
      </c>
      <c r="D17" s="312">
        <v>4.7</v>
      </c>
      <c r="E17" s="82">
        <v>21.7</v>
      </c>
      <c r="F17" s="82">
        <v>7.6</v>
      </c>
      <c r="G17" s="89"/>
      <c r="H17" s="440" t="s">
        <v>546</v>
      </c>
      <c r="I17" s="441">
        <f>AVERAGE(C8:C22)</f>
        <v>0.10893333333333335</v>
      </c>
      <c r="J17" s="169"/>
      <c r="K17" s="163"/>
      <c r="L17" s="11"/>
      <c r="M17" s="165"/>
      <c r="N17" s="166"/>
      <c r="O17" s="170"/>
    </row>
    <row r="18" spans="1:20" ht="13" x14ac:dyDescent="0.3">
      <c r="A18" s="121" t="s">
        <v>181</v>
      </c>
      <c r="B18" s="82"/>
      <c r="C18" s="82">
        <v>0.11</v>
      </c>
      <c r="D18" s="312">
        <v>4.33</v>
      </c>
      <c r="E18" s="82">
        <v>21.6</v>
      </c>
      <c r="F18" s="82">
        <v>7.57</v>
      </c>
      <c r="G18" s="89"/>
      <c r="I18" s="168"/>
      <c r="J18" s="169"/>
      <c r="K18" s="172"/>
      <c r="L18" s="173"/>
      <c r="M18" s="174"/>
      <c r="N18" s="175"/>
      <c r="O18" s="170"/>
    </row>
    <row r="19" spans="1:20" ht="13" x14ac:dyDescent="0.3">
      <c r="A19" s="121" t="s">
        <v>182</v>
      </c>
      <c r="B19" s="82"/>
      <c r="C19" s="82">
        <v>0.11</v>
      </c>
      <c r="D19" s="312">
        <v>4.04</v>
      </c>
      <c r="E19" s="82">
        <v>21.4</v>
      </c>
      <c r="F19" s="82">
        <v>7.54</v>
      </c>
      <c r="G19" s="89"/>
      <c r="I19" s="168"/>
      <c r="J19" s="169"/>
      <c r="K19" s="172"/>
      <c r="L19" s="173"/>
      <c r="M19" s="174"/>
      <c r="N19" s="175"/>
      <c r="S19" s="149"/>
    </row>
    <row r="20" spans="1:20" ht="13" x14ac:dyDescent="0.3">
      <c r="A20" s="121" t="s">
        <v>183</v>
      </c>
      <c r="B20" s="82"/>
      <c r="C20" s="82">
        <v>0.111</v>
      </c>
      <c r="D20" s="312">
        <v>3.89</v>
      </c>
      <c r="E20" s="82">
        <v>21.2</v>
      </c>
      <c r="F20" s="82">
        <v>7.5</v>
      </c>
      <c r="G20" s="89"/>
      <c r="I20" s="168"/>
      <c r="J20" s="169"/>
      <c r="K20" s="172"/>
      <c r="L20" s="173"/>
      <c r="M20" s="174"/>
      <c r="N20" s="175"/>
      <c r="S20" s="447"/>
      <c r="T20" s="447"/>
    </row>
    <row r="21" spans="1:20" ht="13" x14ac:dyDescent="0.3">
      <c r="A21" s="121" t="s">
        <v>206</v>
      </c>
      <c r="B21" s="82"/>
      <c r="C21" s="82">
        <v>0.112</v>
      </c>
      <c r="D21" s="312">
        <v>3.02</v>
      </c>
      <c r="E21" s="82">
        <v>20.9</v>
      </c>
      <c r="F21" s="82">
        <v>7.44</v>
      </c>
      <c r="G21" s="89"/>
      <c r="I21" s="168"/>
      <c r="J21" s="169"/>
      <c r="K21" s="172"/>
      <c r="L21" s="173"/>
      <c r="M21" s="174"/>
      <c r="N21" s="175"/>
      <c r="S21" s="86"/>
      <c r="T21" s="86"/>
    </row>
    <row r="22" spans="1:20" ht="13" x14ac:dyDescent="0.3">
      <c r="A22" s="121" t="s">
        <v>207</v>
      </c>
      <c r="B22" s="82"/>
      <c r="C22" s="82">
        <v>0.114</v>
      </c>
      <c r="D22" s="82">
        <v>0.2</v>
      </c>
      <c r="E22" s="82">
        <v>20.5</v>
      </c>
      <c r="F22" s="82">
        <v>7.44</v>
      </c>
      <c r="G22" s="89"/>
      <c r="S22" s="86"/>
      <c r="T22" s="86"/>
    </row>
    <row r="23" spans="1:20" ht="13" x14ac:dyDescent="0.3">
      <c r="A23" s="121" t="s">
        <v>209</v>
      </c>
      <c r="B23" s="137"/>
      <c r="C23" s="82"/>
      <c r="D23" s="82"/>
      <c r="E23" s="82"/>
      <c r="F23" s="186"/>
      <c r="G23" s="179"/>
      <c r="H23" s="20"/>
      <c r="S23" s="86"/>
      <c r="T23" s="86"/>
    </row>
    <row r="24" spans="1:20" ht="13" x14ac:dyDescent="0.3">
      <c r="A24" s="306" t="s">
        <v>210</v>
      </c>
      <c r="B24" s="137"/>
      <c r="C24" s="82"/>
      <c r="D24" s="82"/>
      <c r="E24" s="82"/>
      <c r="F24" s="186"/>
      <c r="G24" s="179"/>
      <c r="H24" s="20"/>
      <c r="S24" s="86"/>
      <c r="T24" s="86"/>
    </row>
    <row r="25" spans="1:20" x14ac:dyDescent="0.25">
      <c r="A25" s="125" t="s">
        <v>11</v>
      </c>
      <c r="B25" s="193" t="s">
        <v>629</v>
      </c>
      <c r="C25" s="126"/>
      <c r="D25" s="126"/>
      <c r="E25" s="126"/>
      <c r="F25" s="126"/>
      <c r="G25" s="126"/>
      <c r="S25" s="86"/>
      <c r="T25" s="86"/>
    </row>
    <row r="26" spans="1:20" x14ac:dyDescent="0.25">
      <c r="A26" s="138"/>
      <c r="B26" s="20" t="s">
        <v>558</v>
      </c>
      <c r="D26" s="322"/>
      <c r="E26" s="322"/>
      <c r="F26" s="322"/>
      <c r="G26" s="322"/>
      <c r="S26" s="86"/>
      <c r="T26" s="86"/>
    </row>
    <row r="27" spans="1:20" x14ac:dyDescent="0.25">
      <c r="A27" s="138"/>
      <c r="B27" s="322"/>
      <c r="C27" s="322"/>
      <c r="D27" s="322"/>
      <c r="E27" s="322"/>
      <c r="F27" s="322"/>
      <c r="G27" s="322"/>
      <c r="S27" s="86"/>
      <c r="T27" s="86"/>
    </row>
    <row r="28" spans="1:20" ht="23" x14ac:dyDescent="0.25">
      <c r="A28" s="953" t="s">
        <v>127</v>
      </c>
      <c r="B28" s="954"/>
      <c r="C28" s="955"/>
      <c r="D28" s="953" t="s">
        <v>130</v>
      </c>
      <c r="E28" s="954"/>
      <c r="F28" s="955"/>
      <c r="G28" s="956" t="s">
        <v>31</v>
      </c>
      <c r="H28" s="956"/>
      <c r="J28" s="135" t="s">
        <v>187</v>
      </c>
      <c r="K28" s="135" t="s">
        <v>188</v>
      </c>
      <c r="L28" s="136" t="s">
        <v>189</v>
      </c>
      <c r="M28" s="135" t="s">
        <v>190</v>
      </c>
      <c r="N28" s="136" t="s">
        <v>191</v>
      </c>
      <c r="S28" s="86"/>
      <c r="T28" s="86"/>
    </row>
    <row r="29" spans="1:20" ht="15.5" x14ac:dyDescent="0.35">
      <c r="A29" s="518" t="s">
        <v>170</v>
      </c>
      <c r="B29" s="519">
        <v>0.49652777777777773</v>
      </c>
      <c r="C29" s="520">
        <v>0.75</v>
      </c>
      <c r="D29" s="518" t="s">
        <v>170</v>
      </c>
      <c r="E29" s="519">
        <v>0.52083333333333337</v>
      </c>
      <c r="F29" s="521">
        <v>4.16</v>
      </c>
      <c r="G29" s="518" t="s">
        <v>170</v>
      </c>
      <c r="H29" s="519">
        <v>0.53541666666666665</v>
      </c>
      <c r="J29" s="132">
        <v>2</v>
      </c>
      <c r="K29" s="132">
        <v>0.2</v>
      </c>
      <c r="L29" s="132">
        <v>2.2999999999999998</v>
      </c>
      <c r="M29" s="132">
        <f>K29*50</f>
        <v>10</v>
      </c>
      <c r="N29" s="133">
        <f>L29*M29</f>
        <v>23</v>
      </c>
      <c r="S29" s="86"/>
      <c r="T29" s="86"/>
    </row>
    <row r="30" spans="1:20" ht="15.5" x14ac:dyDescent="0.35">
      <c r="A30" s="518" t="s">
        <v>185</v>
      </c>
      <c r="B30" s="517">
        <v>8</v>
      </c>
      <c r="C30" s="522"/>
      <c r="D30" s="518" t="s">
        <v>185</v>
      </c>
      <c r="E30" s="520">
        <v>19</v>
      </c>
      <c r="F30" s="522"/>
      <c r="G30" s="518" t="s">
        <v>185</v>
      </c>
      <c r="H30" s="520" t="s">
        <v>327</v>
      </c>
      <c r="I30" s="512"/>
      <c r="J30" s="132">
        <v>4</v>
      </c>
      <c r="K30" s="132">
        <v>1.3</v>
      </c>
      <c r="L30" s="132">
        <v>2.1</v>
      </c>
      <c r="M30" s="132">
        <f>K30*2</f>
        <v>2.6</v>
      </c>
      <c r="N30" s="133">
        <f>L30*M30</f>
        <v>5.4600000000000009</v>
      </c>
      <c r="S30" s="86"/>
      <c r="T30" s="86"/>
    </row>
    <row r="31" spans="1:20" ht="15.5" x14ac:dyDescent="0.35">
      <c r="A31" s="523" t="s">
        <v>186</v>
      </c>
      <c r="B31" s="957" t="s">
        <v>330</v>
      </c>
      <c r="C31" s="957"/>
      <c r="D31" s="523" t="s">
        <v>186</v>
      </c>
      <c r="E31" s="957" t="s">
        <v>673</v>
      </c>
      <c r="F31" s="957"/>
      <c r="G31" s="523" t="s">
        <v>186</v>
      </c>
      <c r="H31" s="524" t="s">
        <v>674</v>
      </c>
      <c r="J31" s="132">
        <v>6</v>
      </c>
      <c r="K31" s="132">
        <v>1.5</v>
      </c>
      <c r="L31" s="132">
        <v>1.7</v>
      </c>
      <c r="M31" s="132">
        <f>K31*2</f>
        <v>3</v>
      </c>
      <c r="N31" s="133">
        <f t="shared" ref="N31:N38" si="0">L31*M31</f>
        <v>5.0999999999999996</v>
      </c>
    </row>
    <row r="32" spans="1:20" ht="24" x14ac:dyDescent="0.35">
      <c r="A32" s="313" t="s">
        <v>187</v>
      </c>
      <c r="B32" s="313" t="s">
        <v>188</v>
      </c>
      <c r="C32" s="314" t="s">
        <v>189</v>
      </c>
      <c r="D32" s="313" t="s">
        <v>187</v>
      </c>
      <c r="E32" s="313" t="s">
        <v>188</v>
      </c>
      <c r="F32" s="314" t="s">
        <v>189</v>
      </c>
      <c r="G32" s="313" t="s">
        <v>188</v>
      </c>
      <c r="H32" s="314" t="s">
        <v>189</v>
      </c>
      <c r="J32" s="132">
        <v>8</v>
      </c>
      <c r="K32" s="132">
        <v>1.1499999999999999</v>
      </c>
      <c r="L32" s="132">
        <v>2.1</v>
      </c>
      <c r="M32" s="132">
        <f>K32*2</f>
        <v>2.2999999999999998</v>
      </c>
      <c r="N32" s="133">
        <f t="shared" si="0"/>
        <v>4.83</v>
      </c>
    </row>
    <row r="33" spans="1:14" ht="15.5" x14ac:dyDescent="0.35">
      <c r="A33" s="152">
        <v>2</v>
      </c>
      <c r="B33" s="132">
        <v>0.35</v>
      </c>
      <c r="C33" s="132">
        <v>0.4</v>
      </c>
      <c r="D33" s="152">
        <v>2</v>
      </c>
      <c r="E33" s="132">
        <v>0.2</v>
      </c>
      <c r="F33" s="132">
        <v>0.2</v>
      </c>
      <c r="G33" s="947" t="s">
        <v>31</v>
      </c>
      <c r="H33" s="947"/>
      <c r="J33" s="132">
        <v>10</v>
      </c>
      <c r="K33" s="132">
        <v>1.1000000000000001</v>
      </c>
      <c r="L33" s="132">
        <v>1.1000000000000001</v>
      </c>
      <c r="M33" s="132">
        <f t="shared" ref="M33:M38" si="1">K33*2</f>
        <v>2.2000000000000002</v>
      </c>
      <c r="N33" s="133">
        <f t="shared" si="0"/>
        <v>2.4200000000000004</v>
      </c>
    </row>
    <row r="34" spans="1:14" ht="15.5" x14ac:dyDescent="0.35">
      <c r="A34" s="152">
        <v>4</v>
      </c>
      <c r="B34" s="132">
        <v>0.25</v>
      </c>
      <c r="C34" s="132">
        <v>0.2</v>
      </c>
      <c r="D34" s="152">
        <v>4</v>
      </c>
      <c r="E34" s="132">
        <v>1.3</v>
      </c>
      <c r="F34" s="132">
        <v>2.1</v>
      </c>
      <c r="G34" s="132">
        <v>0.2</v>
      </c>
      <c r="H34" s="133">
        <v>2.2999999999999998</v>
      </c>
      <c r="I34" s="444">
        <v>23</v>
      </c>
      <c r="J34" s="132">
        <v>12</v>
      </c>
      <c r="K34" s="134">
        <v>1.05</v>
      </c>
      <c r="L34" s="132">
        <v>2.8</v>
      </c>
      <c r="M34" s="132">
        <f t="shared" si="1"/>
        <v>2.1</v>
      </c>
      <c r="N34" s="133">
        <f t="shared" si="0"/>
        <v>5.88</v>
      </c>
    </row>
    <row r="35" spans="1:14" ht="15.5" x14ac:dyDescent="0.35">
      <c r="A35" s="152">
        <v>6</v>
      </c>
      <c r="B35" s="132">
        <v>0.4</v>
      </c>
      <c r="C35" s="132">
        <v>0.8</v>
      </c>
      <c r="D35" s="331">
        <v>6</v>
      </c>
      <c r="E35" s="132">
        <v>1.5</v>
      </c>
      <c r="F35" s="132">
        <v>1.7</v>
      </c>
      <c r="G35" s="948" t="s">
        <v>196</v>
      </c>
      <c r="H35" s="949"/>
      <c r="I35" s="158"/>
      <c r="J35" s="132">
        <v>14</v>
      </c>
      <c r="K35" s="134">
        <v>0.95</v>
      </c>
      <c r="L35" s="134">
        <v>2.1</v>
      </c>
      <c r="M35" s="132">
        <f t="shared" si="1"/>
        <v>1.9</v>
      </c>
      <c r="N35" s="133">
        <f t="shared" si="0"/>
        <v>3.9899999999999998</v>
      </c>
    </row>
    <row r="36" spans="1:14" ht="15.5" x14ac:dyDescent="0.35">
      <c r="A36" s="152">
        <v>8</v>
      </c>
      <c r="B36" s="132">
        <v>0.3</v>
      </c>
      <c r="C36" s="132">
        <v>1.1000000000000001</v>
      </c>
      <c r="D36" s="152">
        <v>8</v>
      </c>
      <c r="E36" s="132">
        <v>1.1499999999999999</v>
      </c>
      <c r="F36" s="132">
        <v>2.1</v>
      </c>
      <c r="G36" s="132"/>
      <c r="H36" s="133"/>
      <c r="I36" s="444"/>
      <c r="J36" s="132">
        <v>16</v>
      </c>
      <c r="K36" s="134">
        <v>0.25</v>
      </c>
      <c r="L36" s="134">
        <v>1.7</v>
      </c>
      <c r="M36" s="132">
        <f>K36*3</f>
        <v>0.75</v>
      </c>
      <c r="N36" s="133">
        <f t="shared" si="0"/>
        <v>1.2749999999999999</v>
      </c>
    </row>
    <row r="37" spans="1:14" ht="15.5" x14ac:dyDescent="0.35">
      <c r="A37" s="152">
        <v>12</v>
      </c>
      <c r="B37" s="132"/>
      <c r="C37" s="132"/>
      <c r="D37" s="152">
        <v>10</v>
      </c>
      <c r="E37" s="132">
        <v>1.1000000000000001</v>
      </c>
      <c r="F37" s="132">
        <v>1.1000000000000001</v>
      </c>
      <c r="G37" s="132" t="s">
        <v>197</v>
      </c>
      <c r="H37" s="133"/>
      <c r="I37" s="158"/>
      <c r="J37" s="132">
        <v>18</v>
      </c>
      <c r="K37" s="82">
        <v>0.85</v>
      </c>
      <c r="L37" s="194">
        <v>0.2</v>
      </c>
      <c r="M37" s="132">
        <f>K37*3</f>
        <v>2.5499999999999998</v>
      </c>
      <c r="N37" s="133">
        <f t="shared" si="0"/>
        <v>0.51</v>
      </c>
    </row>
    <row r="38" spans="1:14" ht="15.5" x14ac:dyDescent="0.35">
      <c r="A38" s="123"/>
      <c r="B38" s="132"/>
      <c r="C38" s="132"/>
      <c r="D38" s="152">
        <v>12</v>
      </c>
      <c r="E38" s="134">
        <v>1.05</v>
      </c>
      <c r="F38" s="132">
        <v>2.8</v>
      </c>
      <c r="G38" s="132"/>
      <c r="H38" s="133"/>
      <c r="I38" s="445"/>
      <c r="J38" s="132">
        <v>20</v>
      </c>
      <c r="K38" s="132"/>
      <c r="L38" s="132"/>
      <c r="M38" s="132">
        <f t="shared" si="1"/>
        <v>0</v>
      </c>
      <c r="N38" s="133">
        <f t="shared" si="0"/>
        <v>0</v>
      </c>
    </row>
    <row r="39" spans="1:14" ht="15.5" x14ac:dyDescent="0.35">
      <c r="C39" s="443">
        <v>1.68</v>
      </c>
      <c r="D39" s="152">
        <v>14</v>
      </c>
      <c r="E39" s="134">
        <v>0.95</v>
      </c>
      <c r="F39" s="134">
        <v>2.1</v>
      </c>
      <c r="N39" s="6">
        <f>SUM(N29:N38)</f>
        <v>52.465000000000003</v>
      </c>
    </row>
    <row r="40" spans="1:14" ht="15.5" x14ac:dyDescent="0.35">
      <c r="A40" s="319"/>
      <c r="D40" s="152">
        <v>16</v>
      </c>
      <c r="E40" s="134">
        <v>0.25</v>
      </c>
      <c r="F40" s="134">
        <v>1.7</v>
      </c>
    </row>
    <row r="41" spans="1:14" ht="15.5" x14ac:dyDescent="0.35">
      <c r="A41" s="319"/>
      <c r="D41" s="152">
        <v>18</v>
      </c>
      <c r="E41" s="82">
        <v>0.85</v>
      </c>
      <c r="F41" s="194">
        <v>0.2</v>
      </c>
    </row>
    <row r="42" spans="1:14" ht="15.5" x14ac:dyDescent="0.35">
      <c r="F42" s="366">
        <v>29.5</v>
      </c>
    </row>
    <row r="43" spans="1:14" ht="14" x14ac:dyDescent="0.3">
      <c r="A43" s="129" t="s">
        <v>211</v>
      </c>
      <c r="C43" s="11" t="s">
        <v>212</v>
      </c>
      <c r="D43" s="148">
        <v>40743</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v>7.2222222222222229E-2</v>
      </c>
      <c r="C45" s="225">
        <v>0.107</v>
      </c>
      <c r="D45" s="225">
        <v>5.7</v>
      </c>
      <c r="E45" s="515">
        <v>23</v>
      </c>
      <c r="F45" s="225">
        <v>7.94</v>
      </c>
      <c r="G45" s="128">
        <v>2.2000000000000002</v>
      </c>
      <c r="H45" s="82">
        <v>8.3000000000000007</v>
      </c>
    </row>
    <row r="46" spans="1:14" ht="14" x14ac:dyDescent="0.3">
      <c r="A46" s="121" t="s">
        <v>175</v>
      </c>
      <c r="B46" s="82"/>
      <c r="C46" s="225">
        <v>0.108</v>
      </c>
      <c r="D46" s="225">
        <v>5.38</v>
      </c>
      <c r="E46" s="515">
        <v>22.8</v>
      </c>
      <c r="F46" s="225">
        <v>7.88</v>
      </c>
      <c r="G46" s="89"/>
    </row>
    <row r="47" spans="1:14" ht="14" x14ac:dyDescent="0.3">
      <c r="A47" s="121" t="s">
        <v>507</v>
      </c>
      <c r="B47" s="82"/>
      <c r="C47" s="225">
        <v>0.108</v>
      </c>
      <c r="D47" s="225">
        <v>5.5</v>
      </c>
      <c r="E47" s="515">
        <v>22.5</v>
      </c>
      <c r="F47" s="225">
        <v>7.86</v>
      </c>
      <c r="G47" s="89"/>
      <c r="H47" s="176" t="s">
        <v>521</v>
      </c>
      <c r="I47" s="442">
        <f>AVERAGE(E45:E48)</f>
        <v>22.674999999999997</v>
      </c>
    </row>
    <row r="48" spans="1:14" ht="14" x14ac:dyDescent="0.3">
      <c r="A48" s="121" t="s">
        <v>176</v>
      </c>
      <c r="B48" s="82"/>
      <c r="C48" s="429">
        <v>0.109</v>
      </c>
      <c r="D48" s="225">
        <v>5.18</v>
      </c>
      <c r="E48" s="515">
        <v>22.4</v>
      </c>
      <c r="F48" s="225">
        <v>7.86</v>
      </c>
      <c r="G48" s="89"/>
      <c r="H48" s="20" t="s">
        <v>599</v>
      </c>
      <c r="I48" s="442">
        <f>AVERAGE(E45:E54)</f>
        <v>22.319999999999997</v>
      </c>
    </row>
    <row r="49" spans="1:10" ht="14" x14ac:dyDescent="0.3">
      <c r="A49" s="121" t="s">
        <v>508</v>
      </c>
      <c r="B49" s="82"/>
      <c r="C49" s="225">
        <v>0.109</v>
      </c>
      <c r="D49" s="225">
        <v>5.32</v>
      </c>
      <c r="E49" s="515">
        <v>22.3</v>
      </c>
      <c r="F49" s="225">
        <v>7.81</v>
      </c>
      <c r="G49" s="89"/>
      <c r="H49" s="168"/>
      <c r="I49" s="169"/>
    </row>
    <row r="50" spans="1:10" ht="14" x14ac:dyDescent="0.3">
      <c r="A50" s="121" t="s">
        <v>177</v>
      </c>
      <c r="B50" s="82"/>
      <c r="C50" s="225">
        <v>0.11</v>
      </c>
      <c r="D50" s="225">
        <v>5.32</v>
      </c>
      <c r="E50" s="515">
        <v>22.2</v>
      </c>
      <c r="F50" s="225">
        <v>7.79</v>
      </c>
      <c r="G50" s="89"/>
      <c r="H50" s="440" t="s">
        <v>600</v>
      </c>
      <c r="I50" s="333">
        <f>AVERAGE(D45:D53)</f>
        <v>5.1833333333333336</v>
      </c>
    </row>
    <row r="51" spans="1:10" ht="14" x14ac:dyDescent="0.3">
      <c r="A51" s="121" t="s">
        <v>509</v>
      </c>
      <c r="B51" s="82"/>
      <c r="C51" s="225">
        <v>0.109</v>
      </c>
      <c r="D51" s="225">
        <v>4.95</v>
      </c>
      <c r="E51" s="515">
        <v>22.2</v>
      </c>
      <c r="F51" s="225">
        <v>7.74</v>
      </c>
      <c r="G51" s="89"/>
      <c r="H51" s="440" t="s">
        <v>526</v>
      </c>
      <c r="I51" s="333">
        <f>AVERAGE(D45:D48)</f>
        <v>5.4399999999999995</v>
      </c>
    </row>
    <row r="52" spans="1:10" ht="14" x14ac:dyDescent="0.3">
      <c r="A52" s="121" t="s">
        <v>178</v>
      </c>
      <c r="B52" s="82"/>
      <c r="C52" s="225">
        <v>0.11</v>
      </c>
      <c r="D52" s="225">
        <v>4.63</v>
      </c>
      <c r="E52" s="515">
        <v>22.2</v>
      </c>
      <c r="F52" s="225">
        <v>7.71</v>
      </c>
      <c r="G52" s="89"/>
    </row>
    <row r="53" spans="1:10" ht="14" x14ac:dyDescent="0.3">
      <c r="A53" s="121" t="s">
        <v>179</v>
      </c>
      <c r="B53" s="82"/>
      <c r="C53" s="225">
        <v>0.109</v>
      </c>
      <c r="D53" s="225">
        <v>4.67</v>
      </c>
      <c r="E53" s="515">
        <v>21.9</v>
      </c>
      <c r="F53" s="225">
        <v>7.64</v>
      </c>
      <c r="G53" s="89"/>
    </row>
    <row r="54" spans="1:10" ht="14" x14ac:dyDescent="0.3">
      <c r="A54" s="121" t="s">
        <v>180</v>
      </c>
      <c r="B54" s="82"/>
      <c r="C54" s="225">
        <v>0.111</v>
      </c>
      <c r="D54" s="225">
        <v>4.53</v>
      </c>
      <c r="E54" s="515">
        <v>21.7</v>
      </c>
      <c r="F54" s="225">
        <v>7.59</v>
      </c>
      <c r="G54" s="89"/>
    </row>
    <row r="55" spans="1:10" ht="14" x14ac:dyDescent="0.3">
      <c r="A55" s="121" t="s">
        <v>181</v>
      </c>
      <c r="B55" s="137"/>
      <c r="C55" s="225">
        <v>0.112</v>
      </c>
      <c r="D55" s="225">
        <v>2.98</v>
      </c>
      <c r="E55" s="515">
        <v>21.2</v>
      </c>
      <c r="F55" s="225">
        <v>7.46</v>
      </c>
      <c r="G55" s="89"/>
    </row>
    <row r="56" spans="1:10" ht="14" x14ac:dyDescent="0.3">
      <c r="A56" s="121" t="s">
        <v>182</v>
      </c>
      <c r="B56" s="137"/>
      <c r="C56" s="225">
        <v>0.112</v>
      </c>
      <c r="D56" s="225">
        <v>2.7</v>
      </c>
      <c r="E56" s="515">
        <v>20.8</v>
      </c>
      <c r="F56" s="225">
        <v>7.4</v>
      </c>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v>8.2638888888888887E-2</v>
      </c>
      <c r="C59" s="515">
        <v>0.106</v>
      </c>
      <c r="D59" s="515">
        <v>5.72</v>
      </c>
      <c r="E59" s="225">
        <v>23.4</v>
      </c>
      <c r="F59" s="515">
        <v>7.95</v>
      </c>
      <c r="G59" s="128">
        <v>2.5499999999999998</v>
      </c>
      <c r="H59" s="82">
        <v>5</v>
      </c>
    </row>
    <row r="60" spans="1:10" ht="14" x14ac:dyDescent="0.3">
      <c r="A60" s="121" t="s">
        <v>175</v>
      </c>
      <c r="B60" s="82"/>
      <c r="C60" s="515">
        <v>0.107</v>
      </c>
      <c r="D60" s="515">
        <v>5.62</v>
      </c>
      <c r="E60" s="225">
        <v>22.6</v>
      </c>
      <c r="F60" s="515">
        <v>7.8</v>
      </c>
      <c r="G60" s="89"/>
    </row>
    <row r="61" spans="1:10" ht="14" x14ac:dyDescent="0.3">
      <c r="A61" s="121" t="s">
        <v>507</v>
      </c>
      <c r="B61" s="82"/>
      <c r="C61" s="515">
        <v>0.108</v>
      </c>
      <c r="D61" s="515">
        <v>5.56</v>
      </c>
      <c r="E61" s="225">
        <v>22.6</v>
      </c>
      <c r="F61" s="515">
        <v>7.77</v>
      </c>
      <c r="G61" s="89"/>
      <c r="H61" s="176" t="s">
        <v>521</v>
      </c>
      <c r="I61" s="442">
        <f>AVERAGE(E59:E62)</f>
        <v>22.774999999999999</v>
      </c>
    </row>
    <row r="62" spans="1:10" ht="14" x14ac:dyDescent="0.3">
      <c r="A62" s="121" t="s">
        <v>176</v>
      </c>
      <c r="B62" s="82"/>
      <c r="C62" s="515">
        <v>0.109</v>
      </c>
      <c r="D62" s="515">
        <v>5.78</v>
      </c>
      <c r="E62" s="225">
        <v>22.5</v>
      </c>
      <c r="F62" s="515">
        <v>7.82</v>
      </c>
      <c r="G62" s="89"/>
      <c r="H62" s="20" t="s">
        <v>601</v>
      </c>
      <c r="I62" s="442">
        <f>AVERAGE(E59:E70)</f>
        <v>22.466666666666665</v>
      </c>
    </row>
    <row r="63" spans="1:10" ht="14" x14ac:dyDescent="0.3">
      <c r="A63" s="121" t="s">
        <v>508</v>
      </c>
      <c r="B63" s="82"/>
      <c r="C63" s="454">
        <v>0.108</v>
      </c>
      <c r="D63" s="454">
        <v>5.43</v>
      </c>
      <c r="E63" s="225">
        <v>22.4</v>
      </c>
      <c r="F63" s="515">
        <v>7.81</v>
      </c>
      <c r="G63" s="89"/>
      <c r="H63" s="168"/>
      <c r="I63" s="169"/>
    </row>
    <row r="64" spans="1:10" ht="14" x14ac:dyDescent="0.3">
      <c r="A64" s="121" t="s">
        <v>177</v>
      </c>
      <c r="B64" s="82"/>
      <c r="C64" s="515">
        <v>0.108</v>
      </c>
      <c r="D64" s="515">
        <v>5</v>
      </c>
      <c r="E64" s="225">
        <v>22.3</v>
      </c>
      <c r="F64" s="515">
        <v>7.77</v>
      </c>
      <c r="G64" s="89"/>
      <c r="H64" s="440" t="s">
        <v>602</v>
      </c>
      <c r="I64" s="333">
        <f>AVERAGE(D59:D70)</f>
        <v>5.2955555555555556</v>
      </c>
    </row>
    <row r="65" spans="1:9" ht="14" x14ac:dyDescent="0.3">
      <c r="A65" s="121" t="s">
        <v>509</v>
      </c>
      <c r="B65" s="82"/>
      <c r="C65" s="515">
        <v>0.109</v>
      </c>
      <c r="D65" s="515">
        <v>5.16</v>
      </c>
      <c r="E65" s="225">
        <v>22.2</v>
      </c>
      <c r="F65" s="515">
        <v>7.71</v>
      </c>
      <c r="G65" s="89"/>
      <c r="H65" s="440" t="s">
        <v>526</v>
      </c>
      <c r="I65" s="333">
        <f>AVERAGE(D59:D62)</f>
        <v>5.67</v>
      </c>
    </row>
    <row r="66" spans="1:9" ht="14" x14ac:dyDescent="0.3">
      <c r="A66" s="121" t="s">
        <v>178</v>
      </c>
      <c r="B66" s="82"/>
      <c r="C66" s="515">
        <v>0.108</v>
      </c>
      <c r="D66" s="515">
        <v>4.8099999999999996</v>
      </c>
      <c r="E66" s="225">
        <v>22.1</v>
      </c>
      <c r="F66" s="515">
        <v>7.69</v>
      </c>
      <c r="G66" s="89"/>
    </row>
    <row r="67" spans="1:9" ht="14" x14ac:dyDescent="0.3">
      <c r="A67" s="121" t="s">
        <v>179</v>
      </c>
      <c r="B67" s="82"/>
      <c r="C67" s="515">
        <v>0.109</v>
      </c>
      <c r="D67" s="515">
        <v>4.58</v>
      </c>
      <c r="E67" s="225">
        <v>22.1</v>
      </c>
      <c r="F67" s="515">
        <v>7.67</v>
      </c>
      <c r="G67" s="89"/>
    </row>
    <row r="68" spans="1:9" ht="14" x14ac:dyDescent="0.3">
      <c r="A68" s="306" t="s">
        <v>180</v>
      </c>
      <c r="B68" s="137"/>
      <c r="C68" s="515"/>
      <c r="D68" s="515"/>
      <c r="E68" s="225"/>
      <c r="F68" s="515"/>
      <c r="G68" s="89"/>
    </row>
    <row r="69" spans="1:9" ht="14" x14ac:dyDescent="0.3">
      <c r="A69" s="306" t="s">
        <v>181</v>
      </c>
      <c r="B69" s="137"/>
      <c r="C69" s="515"/>
      <c r="D69" s="515"/>
      <c r="E69" s="225"/>
      <c r="F69" s="515"/>
      <c r="G69" s="89"/>
    </row>
    <row r="70" spans="1:9" ht="14" x14ac:dyDescent="0.3">
      <c r="A70" s="306" t="s">
        <v>182</v>
      </c>
      <c r="B70" s="137"/>
      <c r="C70" s="515"/>
      <c r="D70" s="515"/>
      <c r="E70" s="225"/>
      <c r="F70" s="515"/>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v>9.3055555555555558E-2</v>
      </c>
      <c r="C73" s="515">
        <v>0.10100000000000001</v>
      </c>
      <c r="D73" s="515">
        <v>6.16</v>
      </c>
      <c r="E73" s="515">
        <v>25.2</v>
      </c>
      <c r="F73" s="515">
        <v>8.1199999999999992</v>
      </c>
      <c r="G73" s="128">
        <v>2.6</v>
      </c>
      <c r="H73" s="82">
        <v>3.65</v>
      </c>
    </row>
    <row r="74" spans="1:9" ht="13" x14ac:dyDescent="0.3">
      <c r="A74" s="121" t="s">
        <v>175</v>
      </c>
      <c r="B74" s="82"/>
      <c r="C74" s="515">
        <v>0.10299999999999999</v>
      </c>
      <c r="D74" s="515">
        <v>6</v>
      </c>
      <c r="E74" s="515">
        <v>25</v>
      </c>
      <c r="F74" s="515">
        <v>8.1</v>
      </c>
      <c r="G74" s="89"/>
    </row>
    <row r="75" spans="1:9" ht="13" x14ac:dyDescent="0.3">
      <c r="A75" s="121" t="s">
        <v>507</v>
      </c>
      <c r="B75" s="82"/>
      <c r="C75" s="515">
        <v>0.108</v>
      </c>
      <c r="D75" s="515">
        <v>5.82</v>
      </c>
      <c r="E75" s="515">
        <v>22.7</v>
      </c>
      <c r="F75" s="515">
        <v>7.91</v>
      </c>
      <c r="G75" s="89"/>
      <c r="H75" s="176" t="s">
        <v>521</v>
      </c>
      <c r="I75" s="442">
        <f>AVERAGE(E72:E75)</f>
        <v>24.3</v>
      </c>
    </row>
    <row r="76" spans="1:9" ht="13" x14ac:dyDescent="0.3">
      <c r="A76" s="121" t="s">
        <v>176</v>
      </c>
      <c r="B76" s="82"/>
      <c r="C76" s="532">
        <v>0.108</v>
      </c>
      <c r="D76" s="515">
        <v>5.65</v>
      </c>
      <c r="E76" s="515">
        <v>22.6</v>
      </c>
      <c r="F76" s="515">
        <v>7.87</v>
      </c>
      <c r="G76" s="89"/>
      <c r="H76" s="20" t="s">
        <v>604</v>
      </c>
      <c r="I76" s="442">
        <f>AVERAGE(E72:E82)</f>
        <v>23.25714285714286</v>
      </c>
    </row>
    <row r="77" spans="1:9" ht="13" x14ac:dyDescent="0.3">
      <c r="A77" s="121" t="s">
        <v>508</v>
      </c>
      <c r="B77" s="82"/>
      <c r="C77" s="532">
        <v>0.108</v>
      </c>
      <c r="D77" s="515">
        <v>5.47</v>
      </c>
      <c r="E77" s="515">
        <v>22.5</v>
      </c>
      <c r="F77" s="515">
        <v>7.8</v>
      </c>
      <c r="G77" s="89"/>
      <c r="H77" s="168"/>
      <c r="I77" s="169"/>
    </row>
    <row r="78" spans="1:9" ht="13" x14ac:dyDescent="0.3">
      <c r="A78" s="121" t="s">
        <v>177</v>
      </c>
      <c r="B78" s="82"/>
      <c r="C78" s="532">
        <v>0.108</v>
      </c>
      <c r="D78" s="515">
        <v>4.9400000000000004</v>
      </c>
      <c r="E78" s="515">
        <v>22.5</v>
      </c>
      <c r="F78" s="515">
        <v>7.79</v>
      </c>
      <c r="G78" s="89"/>
      <c r="H78" s="440" t="s">
        <v>603</v>
      </c>
      <c r="I78" s="333">
        <f>AVERAGE(D72:D86)</f>
        <v>5.653999999999999</v>
      </c>
    </row>
    <row r="79" spans="1:9" ht="13" x14ac:dyDescent="0.3">
      <c r="A79" s="121" t="s">
        <v>509</v>
      </c>
      <c r="B79" s="82"/>
      <c r="C79" s="532">
        <v>0.108</v>
      </c>
      <c r="D79" s="515">
        <v>5.14</v>
      </c>
      <c r="E79" s="515">
        <v>22.3</v>
      </c>
      <c r="F79" s="515">
        <v>7.74</v>
      </c>
      <c r="G79" s="89"/>
      <c r="H79" s="440" t="s">
        <v>526</v>
      </c>
      <c r="I79" s="333">
        <f>AVERAGE(D72:D75)</f>
        <v>5.9933333333333332</v>
      </c>
    </row>
    <row r="80" spans="1:9" ht="13" x14ac:dyDescent="0.3">
      <c r="A80" s="121" t="s">
        <v>178</v>
      </c>
      <c r="B80" s="82"/>
      <c r="C80" s="515"/>
      <c r="D80" s="515"/>
      <c r="E80" s="515"/>
      <c r="F80" s="515"/>
      <c r="G80" s="89"/>
    </row>
    <row r="81" spans="1:9" ht="13" x14ac:dyDescent="0.3">
      <c r="A81" s="121" t="s">
        <v>179</v>
      </c>
      <c r="B81" s="82"/>
      <c r="C81" s="515"/>
      <c r="D81" s="515"/>
      <c r="E81" s="515"/>
      <c r="F81" s="515"/>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v>0.10208333333333335</v>
      </c>
      <c r="C84" s="515">
        <v>0.10299999999999999</v>
      </c>
      <c r="D84" s="310">
        <v>5.73</v>
      </c>
      <c r="E84" s="85">
        <v>24.1</v>
      </c>
      <c r="F84" s="310">
        <v>7.97</v>
      </c>
      <c r="G84" s="186">
        <v>1.75</v>
      </c>
      <c r="H84" s="82">
        <v>6</v>
      </c>
    </row>
    <row r="85" spans="1:9" ht="13" x14ac:dyDescent="0.3">
      <c r="A85" s="121" t="s">
        <v>175</v>
      </c>
      <c r="B85" s="82"/>
      <c r="C85" s="515">
        <v>0.106</v>
      </c>
      <c r="D85" s="310">
        <v>5.8</v>
      </c>
      <c r="E85" s="85">
        <v>23.4</v>
      </c>
      <c r="F85" s="310">
        <v>7.89</v>
      </c>
      <c r="G85" s="89"/>
    </row>
    <row r="86" spans="1:9" ht="13" x14ac:dyDescent="0.3">
      <c r="A86" s="121" t="s">
        <v>507</v>
      </c>
      <c r="B86" s="82"/>
      <c r="C86" s="515">
        <v>0.107</v>
      </c>
      <c r="D86" s="310">
        <v>5.83</v>
      </c>
      <c r="E86" s="85">
        <v>22.9</v>
      </c>
      <c r="F86" s="310">
        <v>7.86</v>
      </c>
      <c r="G86" s="89"/>
      <c r="H86" s="176" t="s">
        <v>521</v>
      </c>
      <c r="I86" s="442">
        <f>AVERAGE(E84:E87)</f>
        <v>23.225000000000001</v>
      </c>
    </row>
    <row r="87" spans="1:9" ht="13" x14ac:dyDescent="0.3">
      <c r="A87" s="121" t="s">
        <v>176</v>
      </c>
      <c r="B87" s="82"/>
      <c r="C87" s="515">
        <v>0.107</v>
      </c>
      <c r="D87" s="310">
        <v>5.94</v>
      </c>
      <c r="E87" s="85">
        <v>22.5</v>
      </c>
      <c r="F87" s="310">
        <v>7.88</v>
      </c>
      <c r="G87" s="89"/>
      <c r="H87" s="20" t="s">
        <v>605</v>
      </c>
      <c r="I87" s="442">
        <f>AVERAGE(E84:E94)</f>
        <v>22.49</v>
      </c>
    </row>
    <row r="88" spans="1:9" ht="13" x14ac:dyDescent="0.3">
      <c r="A88" s="121" t="s">
        <v>508</v>
      </c>
      <c r="B88" s="82"/>
      <c r="C88" s="515">
        <v>0.108</v>
      </c>
      <c r="D88" s="310">
        <v>5.38</v>
      </c>
      <c r="E88" s="85">
        <v>22.4</v>
      </c>
      <c r="F88" s="310">
        <v>7.86</v>
      </c>
      <c r="G88" s="89"/>
      <c r="H88" s="168"/>
      <c r="I88" s="169"/>
    </row>
    <row r="89" spans="1:9" ht="13" x14ac:dyDescent="0.3">
      <c r="A89" s="121" t="s">
        <v>177</v>
      </c>
      <c r="B89" s="82"/>
      <c r="C89" s="515">
        <v>0.109</v>
      </c>
      <c r="D89" s="310">
        <v>5.28</v>
      </c>
      <c r="E89" s="85">
        <v>22.2</v>
      </c>
      <c r="F89" s="310">
        <v>7.8</v>
      </c>
      <c r="G89" s="89"/>
      <c r="H89" s="440" t="s">
        <v>606</v>
      </c>
      <c r="I89" s="333">
        <f>AVERAGE(D84:D94)</f>
        <v>5.1820000000000004</v>
      </c>
    </row>
    <row r="90" spans="1:9" ht="13" x14ac:dyDescent="0.3">
      <c r="A90" s="121" t="s">
        <v>509</v>
      </c>
      <c r="B90" s="82"/>
      <c r="C90" s="515">
        <v>0.109</v>
      </c>
      <c r="D90" s="310">
        <v>5.16</v>
      </c>
      <c r="E90" s="85">
        <v>22.1</v>
      </c>
      <c r="F90" s="310">
        <v>7.77</v>
      </c>
      <c r="G90" s="89"/>
      <c r="H90" s="440" t="s">
        <v>526</v>
      </c>
      <c r="I90" s="333">
        <f>AVERAGE(D84:D87)</f>
        <v>5.8250000000000002</v>
      </c>
    </row>
    <row r="91" spans="1:9" ht="13" x14ac:dyDescent="0.3">
      <c r="A91" s="121" t="s">
        <v>178</v>
      </c>
      <c r="B91" s="82"/>
      <c r="C91" s="515">
        <v>0.109</v>
      </c>
      <c r="D91" s="310">
        <v>4.7699999999999996</v>
      </c>
      <c r="E91" s="85">
        <v>22</v>
      </c>
      <c r="F91" s="310">
        <v>7.71</v>
      </c>
      <c r="G91" s="89"/>
    </row>
    <row r="92" spans="1:9" ht="13" x14ac:dyDescent="0.3">
      <c r="A92" s="121" t="s">
        <v>179</v>
      </c>
      <c r="B92" s="82"/>
      <c r="C92" s="515">
        <v>0.109</v>
      </c>
      <c r="D92" s="310">
        <v>4.33</v>
      </c>
      <c r="E92" s="85">
        <v>21.7</v>
      </c>
      <c r="F92" s="310">
        <v>7.62</v>
      </c>
      <c r="G92" s="89"/>
    </row>
    <row r="93" spans="1:9" ht="13" x14ac:dyDescent="0.3">
      <c r="A93" s="121" t="s">
        <v>180</v>
      </c>
      <c r="B93" s="82"/>
      <c r="C93" s="515">
        <v>0.111</v>
      </c>
      <c r="D93" s="310">
        <v>3.6</v>
      </c>
      <c r="E93" s="85">
        <v>21.6</v>
      </c>
      <c r="F93" s="310">
        <v>7.54</v>
      </c>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3:H33"/>
    <mergeCell ref="G35:H35"/>
    <mergeCell ref="A28:C28"/>
    <mergeCell ref="D28:F28"/>
    <mergeCell ref="G28:H28"/>
    <mergeCell ref="B31:C31"/>
    <mergeCell ref="E31:F31"/>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95"/>
  <sheetViews>
    <sheetView workbookViewId="0">
      <selection activeCell="G8" sqref="G8"/>
    </sheetView>
  </sheetViews>
  <sheetFormatPr defaultRowHeight="12.5" x14ac:dyDescent="0.25"/>
  <cols>
    <col min="1" max="1" width="16.6328125" customWidth="1"/>
    <col min="2" max="2" width="10.08984375" bestFit="1" customWidth="1"/>
    <col min="4" max="4" width="11.54296875" customWidth="1"/>
    <col min="8" max="8" width="12" customWidth="1"/>
    <col min="9" max="9" width="16" customWidth="1"/>
    <col min="10" max="10" width="7.6328125" bestFit="1" customWidth="1"/>
    <col min="11" max="11" width="5.54296875" bestFit="1" customWidth="1"/>
    <col min="20" max="20" width="16" bestFit="1" customWidth="1"/>
    <col min="21" max="21" width="9.08984375" bestFit="1" customWidth="1"/>
  </cols>
  <sheetData>
    <row r="1" spans="1:22" ht="14" x14ac:dyDescent="0.3">
      <c r="A1" s="129" t="s">
        <v>505</v>
      </c>
    </row>
    <row r="2" spans="1:22" ht="13" x14ac:dyDescent="0.3">
      <c r="A2" s="1" t="s">
        <v>168</v>
      </c>
      <c r="B2" s="148">
        <v>40749</v>
      </c>
      <c r="I2" s="1"/>
      <c r="J2" s="29"/>
      <c r="K2" s="160"/>
      <c r="L2" s="1"/>
      <c r="M2" s="1"/>
      <c r="N2" s="8"/>
      <c r="O2" s="159"/>
      <c r="T2" s="509" t="s">
        <v>246</v>
      </c>
      <c r="U2" s="510">
        <v>40749</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514">
        <v>4</v>
      </c>
    </row>
    <row r="4" spans="1:22" ht="13" x14ac:dyDescent="0.3">
      <c r="A4" s="91" t="s">
        <v>213</v>
      </c>
      <c r="B4" s="137">
        <v>0.3888888888888889</v>
      </c>
      <c r="C4" s="82">
        <v>1.59</v>
      </c>
      <c r="D4" s="82">
        <v>8.27</v>
      </c>
      <c r="E4" s="82">
        <v>15.8</v>
      </c>
      <c r="F4" s="82">
        <v>8.3800000000000008</v>
      </c>
      <c r="G4" s="89"/>
      <c r="I4" s="168"/>
      <c r="J4" s="169"/>
      <c r="K4" s="163"/>
      <c r="L4" s="11"/>
      <c r="M4" s="165"/>
      <c r="N4" s="166"/>
      <c r="O4" s="170"/>
      <c r="T4" s="179" t="s">
        <v>253</v>
      </c>
      <c r="U4" s="515">
        <v>26</v>
      </c>
    </row>
    <row r="5" spans="1:22" ht="13" x14ac:dyDescent="0.3">
      <c r="A5" s="91" t="s">
        <v>214</v>
      </c>
      <c r="B5" s="137">
        <v>0.40277777777777773</v>
      </c>
      <c r="C5" s="82">
        <v>0.20499999999999999</v>
      </c>
      <c r="D5" s="82">
        <v>7.84</v>
      </c>
      <c r="E5" s="82">
        <v>17.600000000000001</v>
      </c>
      <c r="F5" s="82">
        <v>8.1</v>
      </c>
      <c r="G5" s="89"/>
      <c r="I5" s="168"/>
      <c r="J5" s="169"/>
      <c r="K5" s="172"/>
      <c r="L5" s="173"/>
      <c r="M5" s="174"/>
      <c r="N5" s="175"/>
      <c r="O5" s="170"/>
      <c r="T5" s="309" t="s">
        <v>257</v>
      </c>
      <c r="U5" s="540" t="s">
        <v>646</v>
      </c>
    </row>
    <row r="6" spans="1:22" ht="13" x14ac:dyDescent="0.3">
      <c r="A6" s="91" t="s">
        <v>215</v>
      </c>
      <c r="B6" s="137">
        <v>0.41666666666666669</v>
      </c>
      <c r="C6" s="82">
        <v>0.33700000000000002</v>
      </c>
      <c r="D6" s="82">
        <v>5.92</v>
      </c>
      <c r="E6" s="82">
        <v>23.3</v>
      </c>
      <c r="F6" s="82">
        <v>8.39</v>
      </c>
      <c r="G6" s="89"/>
      <c r="I6" s="20"/>
      <c r="J6" s="162"/>
      <c r="K6" s="163"/>
      <c r="L6" s="28"/>
      <c r="M6" s="165"/>
      <c r="N6" s="166"/>
      <c r="O6" s="167"/>
      <c r="T6" s="179" t="s">
        <v>247</v>
      </c>
      <c r="U6" s="515">
        <v>47</v>
      </c>
    </row>
    <row r="7" spans="1:22" ht="14" x14ac:dyDescent="0.3">
      <c r="A7" s="91" t="s">
        <v>208</v>
      </c>
      <c r="B7" s="222" t="s">
        <v>539</v>
      </c>
      <c r="C7" s="223"/>
      <c r="D7" s="223"/>
      <c r="E7" s="223"/>
      <c r="F7" s="224"/>
      <c r="G7" s="188" t="s">
        <v>184</v>
      </c>
      <c r="H7" s="189" t="s">
        <v>195</v>
      </c>
      <c r="I7" s="168"/>
      <c r="J7" s="169"/>
      <c r="K7" s="163"/>
      <c r="L7" s="11"/>
      <c r="M7" s="165"/>
      <c r="N7" s="166"/>
      <c r="O7" s="170"/>
      <c r="T7" s="446" t="s">
        <v>537</v>
      </c>
      <c r="U7" s="515">
        <v>3</v>
      </c>
    </row>
    <row r="8" spans="1:22" ht="13" x14ac:dyDescent="0.3">
      <c r="A8" s="121" t="s">
        <v>506</v>
      </c>
      <c r="B8" s="201">
        <v>0.45694444444444443</v>
      </c>
      <c r="C8" s="82">
        <v>0.33600000000000002</v>
      </c>
      <c r="D8" s="82">
        <v>6.19</v>
      </c>
      <c r="E8" s="82">
        <v>23.3</v>
      </c>
      <c r="F8" s="82">
        <v>8.1</v>
      </c>
      <c r="G8" s="128">
        <v>2.38</v>
      </c>
      <c r="H8" s="178">
        <v>10.67</v>
      </c>
      <c r="I8" s="168"/>
      <c r="J8" s="169"/>
      <c r="K8" s="172"/>
      <c r="L8" s="173"/>
      <c r="M8" s="174"/>
      <c r="N8" s="175"/>
      <c r="O8" s="170"/>
      <c r="T8" s="446" t="s">
        <v>538</v>
      </c>
      <c r="U8" s="515">
        <v>9</v>
      </c>
    </row>
    <row r="9" spans="1:22" ht="13" x14ac:dyDescent="0.3">
      <c r="A9" s="121" t="s">
        <v>175</v>
      </c>
      <c r="B9" s="82"/>
      <c r="C9" s="82">
        <v>0.33500000000000002</v>
      </c>
      <c r="D9" s="82">
        <v>6.22</v>
      </c>
      <c r="E9" s="82">
        <v>23.3</v>
      </c>
      <c r="F9" s="82">
        <v>8.1199999999999992</v>
      </c>
      <c r="G9" s="89"/>
      <c r="K9" s="177"/>
      <c r="M9" s="174"/>
      <c r="N9" s="175"/>
      <c r="O9" s="167"/>
      <c r="T9" s="179" t="s">
        <v>249</v>
      </c>
      <c r="U9" s="515">
        <v>47</v>
      </c>
    </row>
    <row r="10" spans="1:22" ht="13" x14ac:dyDescent="0.3">
      <c r="A10" s="121" t="s">
        <v>507</v>
      </c>
      <c r="B10" s="82"/>
      <c r="C10" s="82">
        <v>0.33800000000000002</v>
      </c>
      <c r="D10" s="82">
        <v>5.99</v>
      </c>
      <c r="E10" s="82">
        <v>23.1</v>
      </c>
      <c r="F10" s="82">
        <v>8.07</v>
      </c>
      <c r="G10" s="89"/>
      <c r="H10" s="176" t="s">
        <v>521</v>
      </c>
      <c r="I10" s="442">
        <f>AVERAGE(E8:E11)</f>
        <v>23.175000000000001</v>
      </c>
      <c r="K10" s="163"/>
      <c r="L10" s="28"/>
      <c r="M10" s="165"/>
      <c r="N10" s="166"/>
      <c r="O10" s="167"/>
      <c r="T10" s="179" t="s">
        <v>250</v>
      </c>
      <c r="U10" s="515">
        <v>12</v>
      </c>
      <c r="V10" s="20"/>
    </row>
    <row r="11" spans="1:22" ht="13" x14ac:dyDescent="0.3">
      <c r="A11" s="121" t="s">
        <v>176</v>
      </c>
      <c r="B11" s="82"/>
      <c r="C11" s="86">
        <v>0.33600000000000002</v>
      </c>
      <c r="D11" s="82">
        <v>5.77</v>
      </c>
      <c r="E11" s="82">
        <v>23</v>
      </c>
      <c r="F11" s="82">
        <v>8.06</v>
      </c>
      <c r="G11" s="89"/>
      <c r="H11" s="20" t="s">
        <v>549</v>
      </c>
      <c r="I11" s="442">
        <f>AVERAGE(E8:E19)</f>
        <v>22.8</v>
      </c>
      <c r="K11" s="163"/>
      <c r="L11" s="11"/>
      <c r="M11" s="165"/>
      <c r="N11" s="166"/>
      <c r="O11" s="170"/>
      <c r="T11" s="511" t="s">
        <v>628</v>
      </c>
      <c r="U11" s="515">
        <v>26</v>
      </c>
    </row>
    <row r="12" spans="1:22" ht="13" x14ac:dyDescent="0.3">
      <c r="A12" s="121" t="s">
        <v>508</v>
      </c>
      <c r="B12" s="82"/>
      <c r="C12" s="86">
        <v>0.33600000000000002</v>
      </c>
      <c r="D12" s="82">
        <v>5.92</v>
      </c>
      <c r="E12" s="82">
        <v>22.9</v>
      </c>
      <c r="F12" s="82">
        <v>8.0399999999999991</v>
      </c>
      <c r="G12" s="89"/>
      <c r="H12" s="168"/>
      <c r="I12" s="169"/>
      <c r="K12" s="172"/>
      <c r="L12" s="173"/>
      <c r="M12" s="174"/>
      <c r="N12" s="175"/>
      <c r="O12" s="170"/>
      <c r="T12" s="179" t="s">
        <v>251</v>
      </c>
      <c r="U12" s="208">
        <v>27</v>
      </c>
    </row>
    <row r="13" spans="1:22" ht="13" x14ac:dyDescent="0.3">
      <c r="A13" s="121" t="s">
        <v>177</v>
      </c>
      <c r="B13" s="82"/>
      <c r="C13" s="86">
        <v>0.33600000000000002</v>
      </c>
      <c r="D13" s="82">
        <v>5.61</v>
      </c>
      <c r="E13" s="82">
        <v>22.8</v>
      </c>
      <c r="F13" s="186">
        <v>8.02</v>
      </c>
      <c r="G13" s="89"/>
      <c r="H13" s="440" t="s">
        <v>548</v>
      </c>
      <c r="I13" s="333">
        <f>AVERAGE(D8:D22)</f>
        <v>4.9913333333333334</v>
      </c>
      <c r="K13" s="163"/>
      <c r="L13" s="28"/>
      <c r="M13" s="165"/>
      <c r="N13" s="166"/>
      <c r="O13" s="167"/>
      <c r="T13" s="179" t="s">
        <v>576</v>
      </c>
      <c r="U13" s="515">
        <v>13</v>
      </c>
    </row>
    <row r="14" spans="1:22" ht="13" x14ac:dyDescent="0.3">
      <c r="A14" s="121" t="s">
        <v>509</v>
      </c>
      <c r="B14" s="82"/>
      <c r="C14" s="86">
        <v>0.33600000000000002</v>
      </c>
      <c r="D14" s="82">
        <v>5.57</v>
      </c>
      <c r="E14" s="82">
        <v>22.8</v>
      </c>
      <c r="F14" s="82">
        <v>7.99</v>
      </c>
      <c r="G14" s="89"/>
      <c r="H14" s="440" t="s">
        <v>526</v>
      </c>
      <c r="I14" s="333">
        <f>AVERAGE(D8:D11)</f>
        <v>6.0424999999999995</v>
      </c>
      <c r="K14" s="163"/>
      <c r="L14" s="11"/>
      <c r="M14" s="165"/>
      <c r="N14" s="166"/>
      <c r="O14" s="170"/>
    </row>
    <row r="15" spans="1:22" ht="13" x14ac:dyDescent="0.3">
      <c r="A15" s="121" t="s">
        <v>178</v>
      </c>
      <c r="B15" s="82"/>
      <c r="C15" s="86">
        <v>0.33600000000000002</v>
      </c>
      <c r="D15" s="82">
        <v>5.63</v>
      </c>
      <c r="E15" s="82">
        <v>22.8</v>
      </c>
      <c r="F15" s="82">
        <v>7.96</v>
      </c>
      <c r="G15" s="89"/>
      <c r="K15" s="172"/>
      <c r="L15" s="173"/>
      <c r="M15" s="174"/>
      <c r="N15" s="175"/>
      <c r="O15" s="170"/>
    </row>
    <row r="16" spans="1:22" ht="13" x14ac:dyDescent="0.3">
      <c r="A16" s="121" t="s">
        <v>179</v>
      </c>
      <c r="B16" s="137"/>
      <c r="C16" s="82">
        <v>0.33700000000000002</v>
      </c>
      <c r="D16" s="82">
        <v>5.3</v>
      </c>
      <c r="E16" s="82">
        <v>22.7</v>
      </c>
      <c r="F16" s="82">
        <v>7.94</v>
      </c>
      <c r="G16" s="89"/>
      <c r="H16" s="440" t="s">
        <v>547</v>
      </c>
      <c r="I16" s="333">
        <f>AVERAGE(F8:F19)</f>
        <v>7.9691666666666663</v>
      </c>
      <c r="K16" s="163"/>
      <c r="L16" s="28"/>
      <c r="M16" s="165"/>
      <c r="N16" s="166"/>
      <c r="O16" s="167"/>
    </row>
    <row r="17" spans="1:20" ht="13" x14ac:dyDescent="0.3">
      <c r="A17" s="121" t="s">
        <v>180</v>
      </c>
      <c r="B17" s="137"/>
      <c r="C17" s="82">
        <v>0.33900000000000002</v>
      </c>
      <c r="D17" s="312">
        <v>4.8499999999999996</v>
      </c>
      <c r="E17" s="82">
        <v>22.4</v>
      </c>
      <c r="F17" s="82">
        <v>7.84</v>
      </c>
      <c r="G17" s="89"/>
      <c r="H17" s="440" t="s">
        <v>546</v>
      </c>
      <c r="I17" s="441">
        <f>AVERAGE(C8:C22)</f>
        <v>0.33646666666666669</v>
      </c>
      <c r="J17" s="169"/>
      <c r="K17" s="163"/>
      <c r="L17" s="11"/>
      <c r="M17" s="165"/>
      <c r="N17" s="166"/>
      <c r="O17" s="170"/>
    </row>
    <row r="18" spans="1:20" ht="13" x14ac:dyDescent="0.3">
      <c r="A18" s="121" t="s">
        <v>181</v>
      </c>
      <c r="B18" s="82"/>
      <c r="C18" s="82">
        <v>0.33800000000000002</v>
      </c>
      <c r="D18" s="312">
        <v>4.5199999999999996</v>
      </c>
      <c r="E18" s="82">
        <v>22.3</v>
      </c>
      <c r="F18" s="82">
        <v>7.77</v>
      </c>
      <c r="G18" s="89"/>
      <c r="I18" s="168"/>
      <c r="J18" s="169"/>
      <c r="K18" s="172"/>
      <c r="L18" s="173"/>
      <c r="M18" s="174"/>
      <c r="N18" s="175"/>
      <c r="O18" s="170"/>
    </row>
    <row r="19" spans="1:20" ht="13" x14ac:dyDescent="0.3">
      <c r="A19" s="121" t="s">
        <v>182</v>
      </c>
      <c r="B19" s="82"/>
      <c r="C19" s="82">
        <v>0.33900000000000002</v>
      </c>
      <c r="D19" s="312">
        <v>4.01</v>
      </c>
      <c r="E19" s="82">
        <v>22.2</v>
      </c>
      <c r="F19" s="82">
        <v>7.72</v>
      </c>
      <c r="G19" s="89"/>
      <c r="I19" s="168"/>
      <c r="J19" s="169"/>
      <c r="K19" s="172"/>
      <c r="L19" s="173"/>
      <c r="M19" s="174"/>
      <c r="N19" s="175"/>
      <c r="S19" s="149"/>
    </row>
    <row r="20" spans="1:20" ht="13" x14ac:dyDescent="0.3">
      <c r="A20" s="121" t="s">
        <v>183</v>
      </c>
      <c r="B20" s="82"/>
      <c r="C20" s="82">
        <v>0.33600000000000002</v>
      </c>
      <c r="D20" s="312">
        <v>3.9</v>
      </c>
      <c r="E20" s="82">
        <v>21.9</v>
      </c>
      <c r="F20" s="82">
        <v>7.67</v>
      </c>
      <c r="G20" s="89"/>
      <c r="I20" s="168"/>
      <c r="J20" s="169"/>
      <c r="K20" s="172"/>
      <c r="L20" s="173"/>
      <c r="M20" s="174"/>
      <c r="N20" s="175"/>
      <c r="S20" s="447"/>
      <c r="T20" s="447"/>
    </row>
    <row r="21" spans="1:20" ht="13" x14ac:dyDescent="0.3">
      <c r="A21" s="121" t="s">
        <v>206</v>
      </c>
      <c r="B21" s="82"/>
      <c r="C21" s="82">
        <v>0.33500000000000002</v>
      </c>
      <c r="D21" s="312">
        <v>3.29</v>
      </c>
      <c r="E21" s="82">
        <v>21.7</v>
      </c>
      <c r="F21" s="82">
        <v>7.61</v>
      </c>
      <c r="G21" s="89"/>
      <c r="I21" s="168"/>
      <c r="J21" s="169"/>
      <c r="K21" s="172"/>
      <c r="L21" s="173"/>
      <c r="M21" s="174"/>
      <c r="N21" s="175"/>
      <c r="S21" s="86"/>
      <c r="T21" s="86"/>
    </row>
    <row r="22" spans="1:20" ht="13" x14ac:dyDescent="0.3">
      <c r="A22" s="121" t="s">
        <v>207</v>
      </c>
      <c r="B22" s="82"/>
      <c r="C22" s="82">
        <v>0.33400000000000002</v>
      </c>
      <c r="D22" s="82">
        <v>2.1</v>
      </c>
      <c r="E22" s="82">
        <v>21.6</v>
      </c>
      <c r="F22" s="186">
        <v>7.43</v>
      </c>
      <c r="G22" s="89"/>
      <c r="S22" s="86"/>
      <c r="T22" s="86"/>
    </row>
    <row r="23" spans="1:20" ht="13" x14ac:dyDescent="0.3">
      <c r="A23" s="121" t="s">
        <v>209</v>
      </c>
      <c r="B23" s="137">
        <v>0.43263888888888885</v>
      </c>
      <c r="C23" s="82">
        <v>0.16300000000000001</v>
      </c>
      <c r="D23" s="82">
        <v>6.72</v>
      </c>
      <c r="E23" s="82">
        <v>16.8</v>
      </c>
      <c r="F23" s="192">
        <v>8.24</v>
      </c>
      <c r="G23" s="179"/>
      <c r="H23" s="20"/>
      <c r="S23" s="86"/>
      <c r="T23" s="86"/>
    </row>
    <row r="24" spans="1:20" ht="13" x14ac:dyDescent="0.3">
      <c r="A24" s="306" t="s">
        <v>210</v>
      </c>
      <c r="B24" s="137">
        <v>0.4375</v>
      </c>
      <c r="C24" s="82">
        <v>0.155</v>
      </c>
      <c r="D24" s="82">
        <v>6.87</v>
      </c>
      <c r="E24" s="82">
        <v>18.8</v>
      </c>
      <c r="F24" s="186">
        <v>8.4499999999999993</v>
      </c>
      <c r="G24" s="179"/>
      <c r="H24" s="20"/>
      <c r="S24" s="86"/>
      <c r="T24" s="86"/>
    </row>
    <row r="25" spans="1:20" x14ac:dyDescent="0.25">
      <c r="A25" s="125" t="s">
        <v>11</v>
      </c>
      <c r="B25" s="193" t="s">
        <v>684</v>
      </c>
      <c r="C25" s="126"/>
      <c r="D25" s="126"/>
      <c r="E25" s="126"/>
      <c r="F25" s="126"/>
      <c r="G25" s="126"/>
      <c r="S25" s="86"/>
      <c r="T25" s="86"/>
    </row>
    <row r="26" spans="1:20" x14ac:dyDescent="0.25">
      <c r="A26" s="138"/>
      <c r="B26" s="20" t="s">
        <v>558</v>
      </c>
      <c r="D26" s="322"/>
      <c r="E26" s="322"/>
      <c r="F26" s="322"/>
      <c r="G26" s="322"/>
      <c r="S26" s="86"/>
      <c r="T26" s="86"/>
    </row>
    <row r="27" spans="1:20" x14ac:dyDescent="0.25">
      <c r="A27" s="138"/>
      <c r="B27" s="322"/>
      <c r="C27" s="322"/>
      <c r="D27" s="322"/>
      <c r="E27" s="322"/>
      <c r="F27" s="322"/>
      <c r="G27" s="322"/>
      <c r="S27" s="86"/>
      <c r="T27" s="86"/>
    </row>
    <row r="28" spans="1:20" ht="23" x14ac:dyDescent="0.25">
      <c r="A28" s="953" t="s">
        <v>127</v>
      </c>
      <c r="B28" s="954"/>
      <c r="C28" s="955"/>
      <c r="D28" s="953" t="s">
        <v>130</v>
      </c>
      <c r="E28" s="954"/>
      <c r="F28" s="955"/>
      <c r="G28" s="956" t="s">
        <v>31</v>
      </c>
      <c r="H28" s="956"/>
      <c r="J28" s="135" t="s">
        <v>187</v>
      </c>
      <c r="K28" s="135" t="s">
        <v>188</v>
      </c>
      <c r="L28" s="136" t="s">
        <v>189</v>
      </c>
      <c r="M28" s="135" t="s">
        <v>190</v>
      </c>
      <c r="N28" s="136" t="s">
        <v>191</v>
      </c>
      <c r="S28" s="86"/>
      <c r="T28" s="86"/>
    </row>
    <row r="29" spans="1:20" ht="15.5" x14ac:dyDescent="0.35">
      <c r="A29" s="518" t="s">
        <v>170</v>
      </c>
      <c r="B29" s="519">
        <v>0.3888888888888889</v>
      </c>
      <c r="C29" s="520">
        <v>0.74</v>
      </c>
      <c r="D29" s="518" t="s">
        <v>170</v>
      </c>
      <c r="E29" s="519">
        <v>0.40277777777777773</v>
      </c>
      <c r="F29" s="521">
        <v>4.04</v>
      </c>
      <c r="G29" s="518" t="s">
        <v>170</v>
      </c>
      <c r="H29" s="519">
        <v>0.42222222222222222</v>
      </c>
      <c r="J29" s="132">
        <v>2</v>
      </c>
      <c r="K29" s="132">
        <v>0.42</v>
      </c>
      <c r="L29" s="132">
        <v>0.2</v>
      </c>
      <c r="M29" s="132">
        <f>K29*2</f>
        <v>0.84</v>
      </c>
      <c r="N29" s="133">
        <f>L29*M29</f>
        <v>0.16800000000000001</v>
      </c>
      <c r="S29" s="86"/>
      <c r="T29" s="86"/>
    </row>
    <row r="30" spans="1:20" ht="15.5" x14ac:dyDescent="0.35">
      <c r="A30" s="518" t="s">
        <v>185</v>
      </c>
      <c r="B30" s="517">
        <v>9</v>
      </c>
      <c r="C30" s="522"/>
      <c r="D30" s="518" t="s">
        <v>185</v>
      </c>
      <c r="E30" s="520">
        <v>19</v>
      </c>
      <c r="F30" s="522"/>
      <c r="G30" s="518" t="s">
        <v>185</v>
      </c>
      <c r="H30" s="520">
        <v>50</v>
      </c>
      <c r="I30" s="512"/>
      <c r="J30" s="132">
        <v>4</v>
      </c>
      <c r="K30" s="132">
        <v>0.3</v>
      </c>
      <c r="L30" s="132">
        <v>0.3</v>
      </c>
      <c r="M30" s="132">
        <f>K30*2</f>
        <v>0.6</v>
      </c>
      <c r="N30" s="133">
        <f>L30*M30</f>
        <v>0.18</v>
      </c>
      <c r="S30" s="86"/>
      <c r="T30" s="86"/>
    </row>
    <row r="31" spans="1:20" ht="15.5" x14ac:dyDescent="0.35">
      <c r="A31" s="523" t="s">
        <v>186</v>
      </c>
      <c r="B31" s="957" t="s">
        <v>330</v>
      </c>
      <c r="C31" s="957"/>
      <c r="D31" s="523" t="s">
        <v>186</v>
      </c>
      <c r="E31" s="957" t="s">
        <v>330</v>
      </c>
      <c r="F31" s="957"/>
      <c r="G31" s="523" t="s">
        <v>186</v>
      </c>
      <c r="H31" s="524" t="s">
        <v>330</v>
      </c>
      <c r="J31" s="132">
        <v>6</v>
      </c>
      <c r="K31" s="132">
        <v>0.42</v>
      </c>
      <c r="L31" s="132">
        <v>0.8</v>
      </c>
      <c r="M31" s="132">
        <f>K31*2</f>
        <v>0.84</v>
      </c>
      <c r="N31" s="133">
        <f t="shared" ref="N31:N38" si="0">L31*M31</f>
        <v>0.67200000000000004</v>
      </c>
    </row>
    <row r="32" spans="1:20" ht="24" x14ac:dyDescent="0.35">
      <c r="A32" s="313" t="s">
        <v>187</v>
      </c>
      <c r="B32" s="313" t="s">
        <v>188</v>
      </c>
      <c r="C32" s="314" t="s">
        <v>189</v>
      </c>
      <c r="D32" s="313" t="s">
        <v>187</v>
      </c>
      <c r="E32" s="313" t="s">
        <v>188</v>
      </c>
      <c r="F32" s="314" t="s">
        <v>189</v>
      </c>
      <c r="G32" s="313" t="s">
        <v>188</v>
      </c>
      <c r="H32" s="314" t="s">
        <v>189</v>
      </c>
      <c r="J32" s="132">
        <v>8</v>
      </c>
      <c r="K32" s="132">
        <v>0.28000000000000003</v>
      </c>
      <c r="L32" s="132">
        <v>1.7</v>
      </c>
      <c r="M32" s="132">
        <f>K32*3</f>
        <v>0.84000000000000008</v>
      </c>
      <c r="N32" s="133">
        <f t="shared" si="0"/>
        <v>1.4280000000000002</v>
      </c>
    </row>
    <row r="33" spans="1:14" ht="15.5" x14ac:dyDescent="0.35">
      <c r="A33" s="152">
        <v>2</v>
      </c>
      <c r="B33" s="132">
        <v>0.42</v>
      </c>
      <c r="C33" s="132">
        <v>0.2</v>
      </c>
      <c r="D33" s="152">
        <v>2</v>
      </c>
      <c r="E33" s="132">
        <v>0.8</v>
      </c>
      <c r="F33" s="132">
        <v>0.2</v>
      </c>
      <c r="G33" s="947" t="s">
        <v>31</v>
      </c>
      <c r="H33" s="947"/>
      <c r="J33" s="132">
        <v>10</v>
      </c>
      <c r="K33" s="132"/>
      <c r="L33" s="132"/>
      <c r="M33" s="132">
        <f t="shared" ref="M33:M38" si="1">K33*2</f>
        <v>0</v>
      </c>
      <c r="N33" s="133">
        <f t="shared" si="0"/>
        <v>0</v>
      </c>
    </row>
    <row r="34" spans="1:14" ht="15.5" x14ac:dyDescent="0.35">
      <c r="A34" s="152">
        <v>4</v>
      </c>
      <c r="B34" s="132">
        <v>0.3</v>
      </c>
      <c r="C34" s="132">
        <v>0.3</v>
      </c>
      <c r="D34" s="152">
        <v>4</v>
      </c>
      <c r="E34" s="132">
        <v>0.15</v>
      </c>
      <c r="F34" s="132">
        <v>1.3</v>
      </c>
      <c r="G34" s="132">
        <v>0.2</v>
      </c>
      <c r="H34" s="133">
        <v>2.4</v>
      </c>
      <c r="I34" s="444">
        <v>24</v>
      </c>
      <c r="J34" s="132">
        <v>12</v>
      </c>
      <c r="K34" s="134"/>
      <c r="L34" s="132"/>
      <c r="M34" s="132">
        <f t="shared" si="1"/>
        <v>0</v>
      </c>
      <c r="N34" s="133">
        <f t="shared" si="0"/>
        <v>0</v>
      </c>
    </row>
    <row r="35" spans="1:14" ht="15.5" x14ac:dyDescent="0.35">
      <c r="A35" s="152">
        <v>6</v>
      </c>
      <c r="B35" s="132">
        <v>0.42</v>
      </c>
      <c r="C35" s="132">
        <v>0.8</v>
      </c>
      <c r="D35" s="331">
        <v>6</v>
      </c>
      <c r="E35" s="132">
        <v>1.1499999999999999</v>
      </c>
      <c r="F35" s="132">
        <v>1.5</v>
      </c>
      <c r="G35" s="948" t="s">
        <v>196</v>
      </c>
      <c r="H35" s="949"/>
      <c r="I35" s="158"/>
      <c r="J35" s="132">
        <v>14</v>
      </c>
      <c r="K35" s="134"/>
      <c r="L35" s="134"/>
      <c r="M35" s="132">
        <f t="shared" si="1"/>
        <v>0</v>
      </c>
      <c r="N35" s="133">
        <f t="shared" si="0"/>
        <v>0</v>
      </c>
    </row>
    <row r="36" spans="1:14" ht="15.5" x14ac:dyDescent="0.35">
      <c r="A36" s="152">
        <v>8</v>
      </c>
      <c r="B36" s="132">
        <v>0.28000000000000003</v>
      </c>
      <c r="C36" s="132">
        <v>1.7</v>
      </c>
      <c r="D36" s="152">
        <v>8</v>
      </c>
      <c r="E36" s="132">
        <v>0.8</v>
      </c>
      <c r="F36" s="132">
        <v>1.9</v>
      </c>
      <c r="G36" s="132" t="s">
        <v>685</v>
      </c>
      <c r="H36" s="133">
        <v>0.8</v>
      </c>
      <c r="I36" s="444">
        <v>0.51</v>
      </c>
      <c r="J36" s="132">
        <v>16</v>
      </c>
      <c r="K36" s="134"/>
      <c r="L36" s="134"/>
      <c r="M36" s="132">
        <f>K36*3</f>
        <v>0</v>
      </c>
      <c r="N36" s="133">
        <f t="shared" si="0"/>
        <v>0</v>
      </c>
    </row>
    <row r="37" spans="1:14" ht="15.5" x14ac:dyDescent="0.35">
      <c r="A37" s="152">
        <v>12</v>
      </c>
      <c r="B37" s="132"/>
      <c r="C37" s="132"/>
      <c r="D37" s="152">
        <v>10</v>
      </c>
      <c r="E37" s="132">
        <v>0.75</v>
      </c>
      <c r="F37" s="132">
        <v>0.8</v>
      </c>
      <c r="G37" s="132" t="s">
        <v>197</v>
      </c>
      <c r="H37" s="133"/>
      <c r="I37" s="158"/>
      <c r="J37" s="132">
        <v>18</v>
      </c>
      <c r="K37" s="82"/>
      <c r="L37" s="194"/>
      <c r="M37" s="132">
        <f>K37*3</f>
        <v>0</v>
      </c>
      <c r="N37" s="133">
        <f t="shared" si="0"/>
        <v>0</v>
      </c>
    </row>
    <row r="38" spans="1:14" ht="15.5" x14ac:dyDescent="0.35">
      <c r="A38" s="123"/>
      <c r="B38" s="132"/>
      <c r="C38" s="132"/>
      <c r="D38" s="152">
        <v>12</v>
      </c>
      <c r="E38" s="134">
        <v>0.85</v>
      </c>
      <c r="F38" s="132">
        <v>3</v>
      </c>
      <c r="G38" s="132" t="s">
        <v>686</v>
      </c>
      <c r="H38" s="133">
        <v>0.9</v>
      </c>
      <c r="I38" s="445">
        <v>0.45</v>
      </c>
      <c r="J38" s="132">
        <v>20</v>
      </c>
      <c r="K38" s="132"/>
      <c r="L38" s="132"/>
      <c r="M38" s="132">
        <f t="shared" si="1"/>
        <v>0</v>
      </c>
      <c r="N38" s="133">
        <f t="shared" si="0"/>
        <v>0</v>
      </c>
    </row>
    <row r="39" spans="1:14" ht="15.5" x14ac:dyDescent="0.35">
      <c r="C39" s="443">
        <v>2.4500000000000002</v>
      </c>
      <c r="D39" s="152">
        <v>14</v>
      </c>
      <c r="E39" s="134">
        <v>0.82</v>
      </c>
      <c r="F39" s="134">
        <v>2.4</v>
      </c>
      <c r="N39" s="6">
        <f>SUM(N29:N38)</f>
        <v>2.4480000000000004</v>
      </c>
    </row>
    <row r="40" spans="1:14" ht="15.5" x14ac:dyDescent="0.35">
      <c r="A40" s="319"/>
      <c r="D40" s="152">
        <v>16</v>
      </c>
      <c r="E40" s="134">
        <v>0.82</v>
      </c>
      <c r="F40" s="134">
        <v>1.3</v>
      </c>
    </row>
    <row r="41" spans="1:14" ht="15.5" x14ac:dyDescent="0.35">
      <c r="A41" s="319"/>
      <c r="D41" s="152">
        <v>18</v>
      </c>
      <c r="E41" s="82">
        <v>0.74</v>
      </c>
      <c r="F41" s="194">
        <v>0.2</v>
      </c>
    </row>
    <row r="42" spans="1:14" ht="15.5" x14ac:dyDescent="0.35">
      <c r="F42" s="366">
        <v>21.1</v>
      </c>
    </row>
    <row r="43" spans="1:14" ht="14" x14ac:dyDescent="0.3">
      <c r="A43" s="129" t="s">
        <v>211</v>
      </c>
      <c r="C43" s="11" t="s">
        <v>212</v>
      </c>
      <c r="D43" s="148">
        <v>40749</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v>0.47361111111111115</v>
      </c>
      <c r="C45" s="225">
        <v>0.32200000000000001</v>
      </c>
      <c r="D45" s="225">
        <v>6.13</v>
      </c>
      <c r="E45" s="515">
        <v>23.3</v>
      </c>
      <c r="F45" s="225">
        <v>8.09</v>
      </c>
      <c r="G45" s="128">
        <v>2</v>
      </c>
      <c r="H45" s="82">
        <v>6.5</v>
      </c>
    </row>
    <row r="46" spans="1:14" ht="14" x14ac:dyDescent="0.3">
      <c r="A46" s="121" t="s">
        <v>175</v>
      </c>
      <c r="B46" s="82"/>
      <c r="C46" s="225">
        <v>0.33200000000000002</v>
      </c>
      <c r="D46" s="225">
        <v>6.4</v>
      </c>
      <c r="E46" s="515">
        <v>23.2</v>
      </c>
      <c r="F46" s="225">
        <v>8.09</v>
      </c>
      <c r="G46" s="89"/>
    </row>
    <row r="47" spans="1:14" ht="14" x14ac:dyDescent="0.3">
      <c r="A47" s="121" t="s">
        <v>507</v>
      </c>
      <c r="B47" s="82"/>
      <c r="C47" s="225">
        <v>0.33100000000000002</v>
      </c>
      <c r="D47" s="225">
        <v>5.86</v>
      </c>
      <c r="E47" s="515">
        <v>23</v>
      </c>
      <c r="F47" s="225">
        <v>8.0299999999999994</v>
      </c>
      <c r="G47" s="89"/>
      <c r="H47" s="176" t="s">
        <v>521</v>
      </c>
      <c r="I47" s="442">
        <f>AVERAGE(E45:E48)</f>
        <v>23.1</v>
      </c>
    </row>
    <row r="48" spans="1:14" ht="14" x14ac:dyDescent="0.3">
      <c r="A48" s="121" t="s">
        <v>176</v>
      </c>
      <c r="B48" s="82"/>
      <c r="C48" s="429">
        <v>0.33200000000000002</v>
      </c>
      <c r="D48" s="225">
        <v>5.91</v>
      </c>
      <c r="E48" s="515">
        <v>22.9</v>
      </c>
      <c r="F48" s="225">
        <v>8.02</v>
      </c>
      <c r="G48" s="89"/>
      <c r="H48" s="20" t="s">
        <v>599</v>
      </c>
      <c r="I48" s="442">
        <f>AVERAGE(E45:E54)</f>
        <v>22.900000000000002</v>
      </c>
    </row>
    <row r="49" spans="1:10" ht="14" x14ac:dyDescent="0.3">
      <c r="A49" s="121" t="s">
        <v>508</v>
      </c>
      <c r="B49" s="82"/>
      <c r="C49" s="225">
        <v>0.33100000000000002</v>
      </c>
      <c r="D49" s="225">
        <v>5.7</v>
      </c>
      <c r="E49" s="515">
        <v>22.9</v>
      </c>
      <c r="F49" s="225">
        <v>7.98</v>
      </c>
      <c r="G49" s="89"/>
      <c r="H49" s="168"/>
      <c r="I49" s="169"/>
    </row>
    <row r="50" spans="1:10" ht="14" x14ac:dyDescent="0.3">
      <c r="A50" s="121" t="s">
        <v>177</v>
      </c>
      <c r="B50" s="82"/>
      <c r="C50" s="225">
        <v>0.33200000000000002</v>
      </c>
      <c r="D50" s="225">
        <v>5.71</v>
      </c>
      <c r="E50" s="515">
        <v>22.8</v>
      </c>
      <c r="F50" s="225">
        <v>7.99</v>
      </c>
      <c r="G50" s="89"/>
      <c r="H50" s="440" t="s">
        <v>600</v>
      </c>
      <c r="I50" s="333">
        <f>AVERAGE(D45:D53)</f>
        <v>5.81</v>
      </c>
    </row>
    <row r="51" spans="1:10" ht="14" x14ac:dyDescent="0.3">
      <c r="A51" s="121" t="s">
        <v>509</v>
      </c>
      <c r="B51" s="82"/>
      <c r="C51" s="225">
        <v>0.33600000000000002</v>
      </c>
      <c r="D51" s="225">
        <v>5.73</v>
      </c>
      <c r="E51" s="515">
        <v>22.8</v>
      </c>
      <c r="F51" s="225">
        <v>7.98</v>
      </c>
      <c r="G51" s="89"/>
      <c r="H51" s="440" t="s">
        <v>526</v>
      </c>
      <c r="I51" s="333">
        <f>AVERAGE(D45:D48)</f>
        <v>6.0750000000000002</v>
      </c>
    </row>
    <row r="52" spans="1:10" ht="14" x14ac:dyDescent="0.3">
      <c r="A52" s="121" t="s">
        <v>178</v>
      </c>
      <c r="B52" s="82"/>
      <c r="C52" s="225">
        <v>0.33600000000000002</v>
      </c>
      <c r="D52" s="225">
        <v>5.74</v>
      </c>
      <c r="E52" s="515">
        <v>22.8</v>
      </c>
      <c r="F52" s="225">
        <v>7.99</v>
      </c>
      <c r="G52" s="89"/>
    </row>
    <row r="53" spans="1:10" ht="14" x14ac:dyDescent="0.3">
      <c r="A53" s="121" t="s">
        <v>179</v>
      </c>
      <c r="B53" s="82"/>
      <c r="C53" s="225">
        <v>0.33600000000000002</v>
      </c>
      <c r="D53" s="225">
        <v>5.1100000000000003</v>
      </c>
      <c r="E53" s="515">
        <v>22.7</v>
      </c>
      <c r="F53" s="225">
        <v>7.87</v>
      </c>
      <c r="G53" s="89"/>
    </row>
    <row r="54" spans="1:10" ht="14" x14ac:dyDescent="0.3">
      <c r="A54" s="121" t="s">
        <v>180</v>
      </c>
      <c r="B54" s="82"/>
      <c r="C54" s="225">
        <v>0.33700000000000002</v>
      </c>
      <c r="D54" s="225">
        <v>4.8</v>
      </c>
      <c r="E54" s="515">
        <v>22.6</v>
      </c>
      <c r="F54" s="225">
        <v>7.81</v>
      </c>
      <c r="G54" s="89"/>
    </row>
    <row r="55" spans="1:10" ht="14" x14ac:dyDescent="0.3">
      <c r="A55" s="121" t="s">
        <v>181</v>
      </c>
      <c r="B55" s="137"/>
      <c r="C55" s="225"/>
      <c r="D55" s="225"/>
      <c r="E55" s="515"/>
      <c r="F55" s="225"/>
      <c r="G55" s="89"/>
    </row>
    <row r="56" spans="1:10" ht="14" x14ac:dyDescent="0.3">
      <c r="A56" s="121" t="s">
        <v>182</v>
      </c>
      <c r="B56" s="137"/>
      <c r="C56" s="225"/>
      <c r="D56" s="225"/>
      <c r="E56" s="515"/>
      <c r="F56" s="225"/>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v>0.48402777777777778</v>
      </c>
      <c r="C59" s="515">
        <v>0.33600000000000002</v>
      </c>
      <c r="D59" s="515">
        <v>6.28</v>
      </c>
      <c r="E59" s="225">
        <v>23.4</v>
      </c>
      <c r="F59" s="515">
        <v>8.07</v>
      </c>
      <c r="G59" s="128">
        <v>2.7</v>
      </c>
      <c r="H59" s="82">
        <v>5.2</v>
      </c>
    </row>
    <row r="60" spans="1:10" ht="14" x14ac:dyDescent="0.3">
      <c r="A60" s="121" t="s">
        <v>175</v>
      </c>
      <c r="B60" s="82"/>
      <c r="C60" s="515">
        <v>0.33700000000000002</v>
      </c>
      <c r="D60" s="515">
        <v>6.15</v>
      </c>
      <c r="E60" s="225">
        <v>23.1</v>
      </c>
      <c r="F60" s="515">
        <v>8.0399999999999991</v>
      </c>
      <c r="G60" s="89"/>
    </row>
    <row r="61" spans="1:10" ht="14" x14ac:dyDescent="0.3">
      <c r="A61" s="121" t="s">
        <v>507</v>
      </c>
      <c r="B61" s="82"/>
      <c r="C61" s="515">
        <v>0.33600000000000002</v>
      </c>
      <c r="D61" s="515">
        <v>6.03</v>
      </c>
      <c r="E61" s="225">
        <v>23</v>
      </c>
      <c r="F61" s="515">
        <v>8.0500000000000007</v>
      </c>
      <c r="G61" s="89"/>
      <c r="H61" s="176" t="s">
        <v>521</v>
      </c>
      <c r="I61" s="442">
        <f>AVERAGE(E59:E62)</f>
        <v>23.1</v>
      </c>
    </row>
    <row r="62" spans="1:10" ht="14" x14ac:dyDescent="0.3">
      <c r="A62" s="121" t="s">
        <v>176</v>
      </c>
      <c r="B62" s="82"/>
      <c r="C62" s="540">
        <v>0.33600000000000002</v>
      </c>
      <c r="D62" s="515">
        <v>5.96</v>
      </c>
      <c r="E62" s="225">
        <v>22.9</v>
      </c>
      <c r="F62" s="515">
        <v>8.0399999999999991</v>
      </c>
      <c r="G62" s="89"/>
      <c r="H62" s="20" t="s">
        <v>601</v>
      </c>
      <c r="I62" s="442">
        <f>AVERAGE(E59:E70)</f>
        <v>22.888888888888886</v>
      </c>
    </row>
    <row r="63" spans="1:10" ht="14" x14ac:dyDescent="0.3">
      <c r="A63" s="121" t="s">
        <v>508</v>
      </c>
      <c r="B63" s="82"/>
      <c r="C63" s="540">
        <v>0.33600000000000002</v>
      </c>
      <c r="D63" s="454">
        <v>5.8</v>
      </c>
      <c r="E63" s="225">
        <v>22.8</v>
      </c>
      <c r="F63" s="515">
        <v>8.02</v>
      </c>
      <c r="G63" s="89"/>
      <c r="H63" s="168"/>
      <c r="I63" s="169"/>
    </row>
    <row r="64" spans="1:10" ht="14" x14ac:dyDescent="0.3">
      <c r="A64" s="121" t="s">
        <v>177</v>
      </c>
      <c r="B64" s="82"/>
      <c r="C64" s="540">
        <v>0.33600000000000002</v>
      </c>
      <c r="D64" s="515">
        <v>6</v>
      </c>
      <c r="E64" s="225">
        <v>22.8</v>
      </c>
      <c r="F64" s="515">
        <v>8</v>
      </c>
      <c r="G64" s="89"/>
      <c r="H64" s="440" t="s">
        <v>602</v>
      </c>
      <c r="I64" s="333">
        <f>AVERAGE(D59:D70)</f>
        <v>5.8266666666666662</v>
      </c>
    </row>
    <row r="65" spans="1:9" ht="14" x14ac:dyDescent="0.3">
      <c r="A65" s="121" t="s">
        <v>509</v>
      </c>
      <c r="B65" s="82"/>
      <c r="C65" s="540">
        <v>0.33600000000000002</v>
      </c>
      <c r="D65" s="515">
        <v>5.52</v>
      </c>
      <c r="E65" s="225">
        <v>22.7</v>
      </c>
      <c r="F65" s="515">
        <v>7.98</v>
      </c>
      <c r="G65" s="89"/>
      <c r="H65" s="440" t="s">
        <v>526</v>
      </c>
      <c r="I65" s="333">
        <f>AVERAGE(D59:D62)</f>
        <v>6.1050000000000004</v>
      </c>
    </row>
    <row r="66" spans="1:9" ht="14" x14ac:dyDescent="0.3">
      <c r="A66" s="121" t="s">
        <v>178</v>
      </c>
      <c r="B66" s="82"/>
      <c r="C66" s="515">
        <v>0.33800000000000002</v>
      </c>
      <c r="D66" s="515">
        <v>5.57</v>
      </c>
      <c r="E66" s="225">
        <v>22.7</v>
      </c>
      <c r="F66" s="515">
        <v>7.98</v>
      </c>
      <c r="G66" s="89"/>
    </row>
    <row r="67" spans="1:9" ht="14" x14ac:dyDescent="0.3">
      <c r="A67" s="121" t="s">
        <v>179</v>
      </c>
      <c r="B67" s="82"/>
      <c r="C67" s="515">
        <v>0.33700000000000002</v>
      </c>
      <c r="D67" s="515">
        <v>5.13</v>
      </c>
      <c r="E67" s="225">
        <v>22.6</v>
      </c>
      <c r="F67" s="515">
        <v>7.86</v>
      </c>
      <c r="G67" s="89"/>
    </row>
    <row r="68" spans="1:9" ht="14" x14ac:dyDescent="0.3">
      <c r="A68" s="306" t="s">
        <v>180</v>
      </c>
      <c r="B68" s="137"/>
      <c r="C68" s="515"/>
      <c r="D68" s="515"/>
      <c r="E68" s="225"/>
      <c r="F68" s="515"/>
      <c r="G68" s="89"/>
    </row>
    <row r="69" spans="1:9" ht="14" x14ac:dyDescent="0.3">
      <c r="A69" s="306" t="s">
        <v>181</v>
      </c>
      <c r="B69" s="137"/>
      <c r="C69" s="515"/>
      <c r="D69" s="515"/>
      <c r="E69" s="225"/>
      <c r="F69" s="515"/>
      <c r="G69" s="89"/>
    </row>
    <row r="70" spans="1:9" ht="14" x14ac:dyDescent="0.3">
      <c r="A70" s="306" t="s">
        <v>182</v>
      </c>
      <c r="B70" s="137"/>
      <c r="C70" s="515"/>
      <c r="D70" s="515"/>
      <c r="E70" s="225"/>
      <c r="F70" s="515"/>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v>0.49513888888888885</v>
      </c>
      <c r="C73" s="515">
        <v>0.32900000000000001</v>
      </c>
      <c r="D73" s="515">
        <v>6.28</v>
      </c>
      <c r="E73" s="515">
        <v>24.3</v>
      </c>
      <c r="F73" s="515">
        <v>8.1</v>
      </c>
      <c r="G73" s="128">
        <v>2.7</v>
      </c>
      <c r="H73" s="82">
        <v>4.3</v>
      </c>
    </row>
    <row r="74" spans="1:9" ht="13" x14ac:dyDescent="0.3">
      <c r="A74" s="121" t="s">
        <v>175</v>
      </c>
      <c r="B74" s="82"/>
      <c r="C74" s="515">
        <v>0.33700000000000002</v>
      </c>
      <c r="D74" s="515">
        <v>6.15</v>
      </c>
      <c r="E74" s="515">
        <v>23.9</v>
      </c>
      <c r="F74" s="515">
        <v>8.11</v>
      </c>
      <c r="G74" s="89"/>
    </row>
    <row r="75" spans="1:9" ht="13" x14ac:dyDescent="0.3">
      <c r="A75" s="121" t="s">
        <v>507</v>
      </c>
      <c r="B75" s="82"/>
      <c r="C75" s="515">
        <v>0.33700000000000002</v>
      </c>
      <c r="D75" s="515">
        <v>5.99</v>
      </c>
      <c r="E75" s="515">
        <v>23.2</v>
      </c>
      <c r="F75" s="515">
        <v>8.1</v>
      </c>
      <c r="G75" s="89"/>
      <c r="H75" s="176" t="s">
        <v>521</v>
      </c>
      <c r="I75" s="442">
        <f>AVERAGE(E72:E75)</f>
        <v>23.8</v>
      </c>
    </row>
    <row r="76" spans="1:9" ht="13" x14ac:dyDescent="0.3">
      <c r="A76" s="121" t="s">
        <v>176</v>
      </c>
      <c r="B76" s="82"/>
      <c r="C76" s="515">
        <v>0.33600000000000002</v>
      </c>
      <c r="D76" s="515">
        <v>5.95</v>
      </c>
      <c r="E76" s="515">
        <v>23</v>
      </c>
      <c r="F76" s="515">
        <v>8.0399999999999991</v>
      </c>
      <c r="G76" s="89"/>
      <c r="H76" s="20" t="s">
        <v>604</v>
      </c>
      <c r="I76" s="442">
        <f>AVERAGE(E72:E82)</f>
        <v>23.200000000000003</v>
      </c>
    </row>
    <row r="77" spans="1:9" ht="13" x14ac:dyDescent="0.3">
      <c r="A77" s="121" t="s">
        <v>508</v>
      </c>
      <c r="B77" s="82"/>
      <c r="C77" s="515">
        <v>0.33500000000000002</v>
      </c>
      <c r="D77" s="515">
        <v>5.97</v>
      </c>
      <c r="E77" s="515">
        <v>22.9</v>
      </c>
      <c r="F77" s="515">
        <v>8</v>
      </c>
      <c r="G77" s="89"/>
      <c r="H77" s="168"/>
      <c r="I77" s="169"/>
    </row>
    <row r="78" spans="1:9" ht="13" x14ac:dyDescent="0.3">
      <c r="A78" s="121" t="s">
        <v>177</v>
      </c>
      <c r="B78" s="82"/>
      <c r="C78" s="515">
        <v>0.33600000000000002</v>
      </c>
      <c r="D78" s="515">
        <v>5.51</v>
      </c>
      <c r="E78" s="515">
        <v>22.8</v>
      </c>
      <c r="F78" s="515">
        <v>7.92</v>
      </c>
      <c r="G78" s="89"/>
      <c r="H78" s="440" t="s">
        <v>603</v>
      </c>
      <c r="I78" s="333">
        <f>AVERAGE(D72:D86)</f>
        <v>5.9545454545454541</v>
      </c>
    </row>
    <row r="79" spans="1:9" ht="13" x14ac:dyDescent="0.3">
      <c r="A79" s="121" t="s">
        <v>509</v>
      </c>
      <c r="B79" s="82"/>
      <c r="C79" s="515">
        <v>0.33600000000000002</v>
      </c>
      <c r="D79" s="515">
        <v>5.49</v>
      </c>
      <c r="E79" s="515">
        <v>22.8</v>
      </c>
      <c r="F79" s="515">
        <v>7.93</v>
      </c>
      <c r="G79" s="89"/>
      <c r="H79" s="440" t="s">
        <v>526</v>
      </c>
      <c r="I79" s="333">
        <f>AVERAGE(D72:D75)</f>
        <v>6.1400000000000006</v>
      </c>
    </row>
    <row r="80" spans="1:9" ht="13" x14ac:dyDescent="0.3">
      <c r="A80" s="121" t="s">
        <v>178</v>
      </c>
      <c r="B80" s="82"/>
      <c r="C80" s="515">
        <v>0.33700000000000002</v>
      </c>
      <c r="D80" s="515">
        <v>5.1100000000000003</v>
      </c>
      <c r="E80" s="515">
        <v>22.7</v>
      </c>
      <c r="F80" s="515">
        <v>7.77</v>
      </c>
      <c r="G80" s="89"/>
    </row>
    <row r="81" spans="1:9" ht="13" x14ac:dyDescent="0.3">
      <c r="A81" s="121" t="s">
        <v>179</v>
      </c>
      <c r="B81" s="82"/>
      <c r="C81" s="515"/>
      <c r="D81" s="515"/>
      <c r="E81" s="515"/>
      <c r="F81" s="515"/>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v>0.50208333333333333</v>
      </c>
      <c r="C84" s="515">
        <v>0.33300000000000002</v>
      </c>
      <c r="D84" s="310">
        <v>6.23</v>
      </c>
      <c r="E84" s="85">
        <v>24.2</v>
      </c>
      <c r="F84" s="310">
        <v>8.1199999999999992</v>
      </c>
      <c r="G84" s="186">
        <v>2</v>
      </c>
      <c r="H84" s="82">
        <v>6</v>
      </c>
    </row>
    <row r="85" spans="1:9" ht="13" x14ac:dyDescent="0.3">
      <c r="A85" s="121" t="s">
        <v>175</v>
      </c>
      <c r="B85" s="82"/>
      <c r="C85" s="515">
        <v>0.33100000000000002</v>
      </c>
      <c r="D85" s="310">
        <v>6.4</v>
      </c>
      <c r="E85" s="85">
        <v>24.1</v>
      </c>
      <c r="F85" s="310">
        <v>8.1</v>
      </c>
      <c r="G85" s="89"/>
    </row>
    <row r="86" spans="1:9" ht="13" x14ac:dyDescent="0.3">
      <c r="A86" s="121" t="s">
        <v>507</v>
      </c>
      <c r="B86" s="82"/>
      <c r="C86" s="515">
        <v>0.33300000000000002</v>
      </c>
      <c r="D86" s="310">
        <v>6.42</v>
      </c>
      <c r="E86" s="85">
        <v>23.1</v>
      </c>
      <c r="F86" s="310">
        <v>7.98</v>
      </c>
      <c r="G86" s="89"/>
      <c r="H86" s="176" t="s">
        <v>521</v>
      </c>
      <c r="I86" s="442">
        <f>AVERAGE(E84:E87)</f>
        <v>23.575000000000003</v>
      </c>
    </row>
    <row r="87" spans="1:9" ht="13" x14ac:dyDescent="0.3">
      <c r="A87" s="121" t="s">
        <v>176</v>
      </c>
      <c r="B87" s="82"/>
      <c r="C87" s="515">
        <v>0.33100000000000002</v>
      </c>
      <c r="D87" s="310">
        <v>5.61</v>
      </c>
      <c r="E87" s="85">
        <v>22.9</v>
      </c>
      <c r="F87" s="310">
        <v>7.96</v>
      </c>
      <c r="G87" s="89"/>
      <c r="H87" s="20" t="s">
        <v>605</v>
      </c>
      <c r="I87" s="442">
        <f>AVERAGE(E84:E94)</f>
        <v>23.060000000000002</v>
      </c>
    </row>
    <row r="88" spans="1:9" ht="13" x14ac:dyDescent="0.3">
      <c r="A88" s="121" t="s">
        <v>508</v>
      </c>
      <c r="B88" s="82"/>
      <c r="C88" s="515">
        <v>0.33200000000000002</v>
      </c>
      <c r="D88" s="310">
        <v>5.85</v>
      </c>
      <c r="E88" s="85">
        <v>22.9</v>
      </c>
      <c r="F88" s="310">
        <v>7.94</v>
      </c>
      <c r="G88" s="89"/>
      <c r="H88" s="168"/>
      <c r="I88" s="169"/>
    </row>
    <row r="89" spans="1:9" ht="13" x14ac:dyDescent="0.3">
      <c r="A89" s="121" t="s">
        <v>177</v>
      </c>
      <c r="B89" s="82"/>
      <c r="C89" s="515">
        <v>0.33100000000000002</v>
      </c>
      <c r="D89" s="310">
        <v>5.75</v>
      </c>
      <c r="E89" s="85">
        <v>22.9</v>
      </c>
      <c r="F89" s="310">
        <v>7.93</v>
      </c>
      <c r="G89" s="89"/>
      <c r="H89" s="440" t="s">
        <v>606</v>
      </c>
      <c r="I89" s="333">
        <f>AVERAGE(D84:D94)</f>
        <v>5.9489999999999998</v>
      </c>
    </row>
    <row r="90" spans="1:9" ht="13" x14ac:dyDescent="0.3">
      <c r="A90" s="121" t="s">
        <v>509</v>
      </c>
      <c r="B90" s="82"/>
      <c r="C90" s="515">
        <v>0.33100000000000002</v>
      </c>
      <c r="D90" s="310">
        <v>5.81</v>
      </c>
      <c r="E90" s="85">
        <v>22.8</v>
      </c>
      <c r="F90" s="310">
        <v>7.93</v>
      </c>
      <c r="G90" s="89"/>
      <c r="H90" s="440" t="s">
        <v>526</v>
      </c>
      <c r="I90" s="333">
        <f>AVERAGE(D84:D87)</f>
        <v>6.165</v>
      </c>
    </row>
    <row r="91" spans="1:9" ht="13" x14ac:dyDescent="0.3">
      <c r="A91" s="121" t="s">
        <v>178</v>
      </c>
      <c r="B91" s="82"/>
      <c r="C91" s="515">
        <v>0.33200000000000002</v>
      </c>
      <c r="D91" s="310">
        <v>5.87</v>
      </c>
      <c r="E91" s="85">
        <v>22.8</v>
      </c>
      <c r="F91" s="310">
        <v>7.95</v>
      </c>
      <c r="G91" s="89"/>
    </row>
    <row r="92" spans="1:9" ht="13" x14ac:dyDescent="0.3">
      <c r="A92" s="121" t="s">
        <v>179</v>
      </c>
      <c r="B92" s="82"/>
      <c r="C92" s="515">
        <v>0.33300000000000002</v>
      </c>
      <c r="D92" s="310">
        <v>5.81</v>
      </c>
      <c r="E92" s="85">
        <v>22.7</v>
      </c>
      <c r="F92" s="310">
        <v>7.95</v>
      </c>
      <c r="G92" s="89"/>
    </row>
    <row r="93" spans="1:9" ht="13" x14ac:dyDescent="0.3">
      <c r="A93" s="121" t="s">
        <v>180</v>
      </c>
      <c r="B93" s="82"/>
      <c r="C93" s="515">
        <v>0.33300000000000002</v>
      </c>
      <c r="D93" s="310">
        <v>5.74</v>
      </c>
      <c r="E93" s="85">
        <v>22.2</v>
      </c>
      <c r="F93" s="310">
        <v>7.92</v>
      </c>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5:H35"/>
    <mergeCell ref="G33:H33"/>
    <mergeCell ref="A28:C28"/>
    <mergeCell ref="D28:F28"/>
    <mergeCell ref="G28:H28"/>
    <mergeCell ref="B31:C31"/>
    <mergeCell ref="E31:F31"/>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95"/>
  <sheetViews>
    <sheetView workbookViewId="0">
      <selection activeCell="G8" sqref="G8"/>
    </sheetView>
  </sheetViews>
  <sheetFormatPr defaultRowHeight="12.5" x14ac:dyDescent="0.25"/>
  <cols>
    <col min="1" max="1" width="16.6328125" customWidth="1"/>
    <col min="2" max="2" width="10.08984375" bestFit="1" customWidth="1"/>
    <col min="4" max="4" width="11.54296875" customWidth="1"/>
    <col min="8" max="8" width="12" customWidth="1"/>
    <col min="9" max="9" width="16" customWidth="1"/>
    <col min="10" max="10" width="7.6328125" bestFit="1" customWidth="1"/>
    <col min="11" max="11" width="14.90625" customWidth="1"/>
    <col min="20" max="20" width="16" bestFit="1" customWidth="1"/>
  </cols>
  <sheetData>
    <row r="1" spans="1:21" ht="14" x14ac:dyDescent="0.3">
      <c r="A1" s="129" t="s">
        <v>505</v>
      </c>
    </row>
    <row r="2" spans="1:21" ht="13" x14ac:dyDescent="0.3">
      <c r="A2" s="1" t="s">
        <v>168</v>
      </c>
      <c r="B2" s="148">
        <v>40763</v>
      </c>
      <c r="I2" s="1"/>
      <c r="J2" s="29"/>
      <c r="K2" s="160"/>
      <c r="L2" s="1"/>
      <c r="M2" s="1"/>
      <c r="N2" s="8"/>
      <c r="O2" s="159"/>
      <c r="T2" s="509" t="s">
        <v>246</v>
      </c>
      <c r="U2" s="510">
        <v>40721</v>
      </c>
    </row>
    <row r="3" spans="1:21" ht="14" x14ac:dyDescent="0.3">
      <c r="A3" s="188" t="s">
        <v>20</v>
      </c>
      <c r="B3" s="188" t="s">
        <v>170</v>
      </c>
      <c r="C3" s="188" t="s">
        <v>171</v>
      </c>
      <c r="D3" s="188" t="s">
        <v>172</v>
      </c>
      <c r="E3" s="188" t="s">
        <v>173</v>
      </c>
      <c r="F3" s="188" t="s">
        <v>174</v>
      </c>
      <c r="I3" s="20"/>
      <c r="J3" s="162"/>
      <c r="K3" s="163"/>
      <c r="L3" s="164"/>
      <c r="M3" s="165"/>
      <c r="N3" s="166"/>
      <c r="O3" s="167"/>
      <c r="T3" s="413" t="s">
        <v>256</v>
      </c>
      <c r="U3" s="514">
        <v>6</v>
      </c>
    </row>
    <row r="4" spans="1:21" ht="13" x14ac:dyDescent="0.3">
      <c r="A4" s="91" t="s">
        <v>213</v>
      </c>
      <c r="B4" s="367">
        <v>0.42708333333333331</v>
      </c>
      <c r="C4" s="515">
        <v>1.33</v>
      </c>
      <c r="D4" s="515">
        <v>9.17</v>
      </c>
      <c r="E4" s="515">
        <v>14.9</v>
      </c>
      <c r="F4" s="515">
        <v>8.4700000000000006</v>
      </c>
      <c r="G4" s="89"/>
      <c r="I4" s="168"/>
      <c r="J4" s="169"/>
      <c r="K4" s="163"/>
      <c r="L4" s="11"/>
      <c r="M4" s="165"/>
      <c r="N4" s="166"/>
      <c r="O4" s="170"/>
      <c r="T4" s="179" t="s">
        <v>253</v>
      </c>
      <c r="U4" s="515">
        <v>16</v>
      </c>
    </row>
    <row r="5" spans="1:21" ht="13" x14ac:dyDescent="0.3">
      <c r="A5" s="91" t="s">
        <v>214</v>
      </c>
      <c r="B5" s="367">
        <v>0.4513888888888889</v>
      </c>
      <c r="C5" s="515">
        <v>0.14899999999999999</v>
      </c>
      <c r="D5" s="515">
        <v>7.99</v>
      </c>
      <c r="E5" s="515">
        <v>16.600000000000001</v>
      </c>
      <c r="F5" s="515">
        <v>8.16</v>
      </c>
      <c r="G5" s="89"/>
      <c r="I5" s="168"/>
      <c r="J5" s="169"/>
      <c r="K5" s="172"/>
      <c r="L5" s="173"/>
      <c r="M5" s="174"/>
      <c r="N5" s="175"/>
      <c r="O5" s="170"/>
      <c r="T5" s="309" t="s">
        <v>257</v>
      </c>
      <c r="U5" s="514" t="s">
        <v>646</v>
      </c>
    </row>
    <row r="6" spans="1:21" ht="13" x14ac:dyDescent="0.3">
      <c r="A6" s="91" t="s">
        <v>215</v>
      </c>
      <c r="B6" s="367">
        <v>0.48402777777777778</v>
      </c>
      <c r="C6" s="515">
        <v>0.26100000000000001</v>
      </c>
      <c r="D6" s="528">
        <v>5.8</v>
      </c>
      <c r="E6" s="515">
        <v>23.3</v>
      </c>
      <c r="F6" s="515">
        <v>8.6300000000000008</v>
      </c>
      <c r="G6" s="89"/>
      <c r="I6" s="20"/>
      <c r="J6" s="162"/>
      <c r="K6" s="163"/>
      <c r="L6" s="28"/>
      <c r="M6" s="165"/>
      <c r="N6" s="166"/>
      <c r="O6" s="167"/>
      <c r="T6" s="179" t="s">
        <v>247</v>
      </c>
      <c r="U6" s="515">
        <v>4</v>
      </c>
    </row>
    <row r="7" spans="1:21" ht="14" x14ac:dyDescent="0.3">
      <c r="A7" s="91" t="s">
        <v>208</v>
      </c>
      <c r="B7" s="222" t="s">
        <v>539</v>
      </c>
      <c r="C7" s="223"/>
      <c r="D7" s="223"/>
      <c r="E7" s="223"/>
      <c r="F7" s="224"/>
      <c r="G7" s="188" t="s">
        <v>184</v>
      </c>
      <c r="H7" s="189" t="s">
        <v>195</v>
      </c>
      <c r="I7" s="168"/>
      <c r="J7" s="169"/>
      <c r="K7" s="163"/>
      <c r="L7" s="11"/>
      <c r="M7" s="165"/>
      <c r="N7" s="166"/>
      <c r="O7" s="170"/>
      <c r="T7" s="446" t="s">
        <v>537</v>
      </c>
      <c r="U7" s="515"/>
    </row>
    <row r="8" spans="1:21" ht="13" x14ac:dyDescent="0.3">
      <c r="A8" s="121" t="s">
        <v>506</v>
      </c>
      <c r="B8" s="525">
        <v>0.50138888888888888</v>
      </c>
      <c r="C8" s="526">
        <v>0.17299999999999999</v>
      </c>
      <c r="D8" s="526">
        <v>6.64</v>
      </c>
      <c r="E8" s="526">
        <v>22.8</v>
      </c>
      <c r="F8" s="526">
        <v>8.17</v>
      </c>
      <c r="G8" s="515">
        <v>3.1</v>
      </c>
      <c r="H8" s="515">
        <v>10.65</v>
      </c>
      <c r="I8" s="168"/>
      <c r="J8" s="169"/>
      <c r="K8" s="172"/>
      <c r="L8" s="173"/>
      <c r="M8" s="174"/>
      <c r="N8" s="175"/>
      <c r="O8" s="170"/>
      <c r="T8" s="446" t="s">
        <v>538</v>
      </c>
      <c r="U8" s="515">
        <v>1</v>
      </c>
    </row>
    <row r="9" spans="1:21" ht="13" x14ac:dyDescent="0.3">
      <c r="A9" s="121" t="s">
        <v>175</v>
      </c>
      <c r="B9" s="526"/>
      <c r="C9" s="526">
        <v>0.185</v>
      </c>
      <c r="D9" s="526">
        <v>6.47</v>
      </c>
      <c r="E9" s="526">
        <v>22.8</v>
      </c>
      <c r="F9" s="526">
        <v>8.17</v>
      </c>
      <c r="G9" s="89"/>
      <c r="K9" s="177"/>
      <c r="M9" s="174"/>
      <c r="N9" s="175"/>
      <c r="O9" s="167"/>
      <c r="T9" s="179" t="s">
        <v>249</v>
      </c>
      <c r="U9" s="515">
        <v>6</v>
      </c>
    </row>
    <row r="10" spans="1:21" ht="13" x14ac:dyDescent="0.3">
      <c r="A10" s="121" t="s">
        <v>507</v>
      </c>
      <c r="B10" s="526"/>
      <c r="C10" s="526">
        <v>0.16800000000000001</v>
      </c>
      <c r="D10" s="526">
        <v>6.52</v>
      </c>
      <c r="E10" s="526">
        <v>22.8</v>
      </c>
      <c r="F10" s="526">
        <v>8.14</v>
      </c>
      <c r="G10" s="89"/>
      <c r="H10" s="176" t="s">
        <v>521</v>
      </c>
      <c r="I10" s="442">
        <f>AVERAGE(E8:E11)</f>
        <v>22.75</v>
      </c>
      <c r="K10" s="163"/>
      <c r="L10" s="28"/>
      <c r="M10" s="165"/>
      <c r="N10" s="166"/>
      <c r="O10" s="167"/>
      <c r="T10" s="179" t="s">
        <v>250</v>
      </c>
      <c r="U10" s="515">
        <v>19</v>
      </c>
    </row>
    <row r="11" spans="1:21" ht="13" x14ac:dyDescent="0.3">
      <c r="A11" s="121" t="s">
        <v>176</v>
      </c>
      <c r="B11" s="526"/>
      <c r="C11" s="526">
        <v>0.27900000000000003</v>
      </c>
      <c r="D11" s="526">
        <v>6.34</v>
      </c>
      <c r="E11" s="526">
        <v>22.6</v>
      </c>
      <c r="F11" s="526">
        <v>8.14</v>
      </c>
      <c r="G11" s="89"/>
      <c r="H11" s="20" t="s">
        <v>522</v>
      </c>
      <c r="I11" s="442">
        <f>AVERAGE(E8:E22)</f>
        <v>22.32</v>
      </c>
      <c r="K11" s="163"/>
      <c r="L11" s="11"/>
      <c r="M11" s="165"/>
      <c r="N11" s="166"/>
      <c r="O11" s="170"/>
      <c r="T11" s="511" t="s">
        <v>628</v>
      </c>
      <c r="U11" s="515">
        <v>13</v>
      </c>
    </row>
    <row r="12" spans="1:21" ht="13" x14ac:dyDescent="0.3">
      <c r="A12" s="121" t="s">
        <v>508</v>
      </c>
      <c r="B12" s="526"/>
      <c r="C12" s="526">
        <v>0.27100000000000002</v>
      </c>
      <c r="D12" s="526">
        <v>6.39</v>
      </c>
      <c r="E12" s="526">
        <v>22.5</v>
      </c>
      <c r="F12" s="526">
        <v>8.11</v>
      </c>
      <c r="G12" s="89"/>
      <c r="H12" s="168"/>
      <c r="I12" s="169"/>
      <c r="K12" s="172"/>
      <c r="L12" s="173"/>
      <c r="M12" s="174"/>
      <c r="N12" s="175"/>
      <c r="O12" s="170"/>
      <c r="T12" s="179" t="s">
        <v>251</v>
      </c>
      <c r="U12" s="208">
        <v>6</v>
      </c>
    </row>
    <row r="13" spans="1:21" ht="13" x14ac:dyDescent="0.3">
      <c r="A13" s="121" t="s">
        <v>177</v>
      </c>
      <c r="B13" s="526"/>
      <c r="C13" s="526">
        <v>0.27400000000000002</v>
      </c>
      <c r="D13" s="526">
        <v>6.35</v>
      </c>
      <c r="E13" s="526">
        <v>22.5</v>
      </c>
      <c r="F13" s="526">
        <v>8.11</v>
      </c>
      <c r="G13" s="89"/>
      <c r="H13" s="440" t="s">
        <v>523</v>
      </c>
      <c r="I13" s="333">
        <f>AVERAGE(D8:D22)</f>
        <v>6.0173333333333341</v>
      </c>
      <c r="K13" s="163"/>
      <c r="L13" s="28"/>
      <c r="M13" s="165"/>
      <c r="N13" s="166"/>
      <c r="O13" s="167"/>
      <c r="T13" s="179" t="s">
        <v>576</v>
      </c>
      <c r="U13" s="515">
        <v>4</v>
      </c>
    </row>
    <row r="14" spans="1:21" ht="13" x14ac:dyDescent="0.3">
      <c r="A14" s="121" t="s">
        <v>509</v>
      </c>
      <c r="B14" s="526"/>
      <c r="C14" s="526">
        <v>0.27400000000000002</v>
      </c>
      <c r="D14" s="526">
        <v>6.32</v>
      </c>
      <c r="E14" s="526">
        <v>22.4</v>
      </c>
      <c r="F14" s="526">
        <v>8.07</v>
      </c>
      <c r="G14" s="89"/>
      <c r="H14" s="440" t="s">
        <v>526</v>
      </c>
      <c r="I14" s="333">
        <f>AVERAGE(D8:D11)</f>
        <v>6.4924999999999997</v>
      </c>
      <c r="K14" s="163"/>
      <c r="L14" s="11"/>
      <c r="M14" s="165"/>
      <c r="N14" s="166"/>
      <c r="O14" s="170"/>
    </row>
    <row r="15" spans="1:21" ht="13" x14ac:dyDescent="0.3">
      <c r="A15" s="121" t="s">
        <v>178</v>
      </c>
      <c r="B15" s="526"/>
      <c r="C15" s="526">
        <v>0.27400000000000002</v>
      </c>
      <c r="D15" s="526">
        <v>6.19</v>
      </c>
      <c r="E15" s="526">
        <v>22.3</v>
      </c>
      <c r="F15" s="526">
        <v>8.0500000000000007</v>
      </c>
      <c r="G15" s="89"/>
      <c r="K15" s="172"/>
      <c r="L15" s="173"/>
      <c r="M15" s="174"/>
      <c r="N15" s="175"/>
      <c r="O15" s="170"/>
    </row>
    <row r="16" spans="1:21" ht="13" x14ac:dyDescent="0.3">
      <c r="A16" s="121" t="s">
        <v>179</v>
      </c>
      <c r="B16" s="526"/>
      <c r="C16" s="526">
        <v>0.27400000000000002</v>
      </c>
      <c r="D16" s="526">
        <v>6.18</v>
      </c>
      <c r="E16" s="526">
        <v>22.3</v>
      </c>
      <c r="F16" s="526">
        <v>8.01</v>
      </c>
      <c r="G16" s="89"/>
      <c r="H16" s="440" t="s">
        <v>524</v>
      </c>
      <c r="I16" s="333">
        <f>AVERAGE(F8:F22)</f>
        <v>8.0080000000000009</v>
      </c>
      <c r="K16" s="163"/>
      <c r="L16" s="28"/>
      <c r="M16" s="165"/>
      <c r="N16" s="166"/>
      <c r="O16" s="167"/>
    </row>
    <row r="17" spans="1:20" ht="13" x14ac:dyDescent="0.3">
      <c r="A17" s="121" t="s">
        <v>180</v>
      </c>
      <c r="B17" s="526"/>
      <c r="C17" s="526">
        <v>0.27400000000000002</v>
      </c>
      <c r="D17" s="526">
        <v>6.02</v>
      </c>
      <c r="E17" s="526">
        <v>22.2</v>
      </c>
      <c r="F17" s="526">
        <v>8.01</v>
      </c>
      <c r="G17" s="89"/>
      <c r="H17" s="440" t="s">
        <v>525</v>
      </c>
      <c r="I17" s="441">
        <f>AVERAGE(C8:C22)</f>
        <v>0.25473333333333337</v>
      </c>
      <c r="J17" s="169"/>
      <c r="K17" s="163"/>
      <c r="L17" s="11"/>
      <c r="M17" s="165"/>
      <c r="N17" s="166"/>
      <c r="O17" s="170"/>
    </row>
    <row r="18" spans="1:20" ht="13" x14ac:dyDescent="0.3">
      <c r="A18" s="121" t="s">
        <v>181</v>
      </c>
      <c r="B18" s="526"/>
      <c r="C18" s="526">
        <v>0.27500000000000002</v>
      </c>
      <c r="D18" s="526">
        <v>5.34</v>
      </c>
      <c r="E18" s="526">
        <v>22.2</v>
      </c>
      <c r="F18" s="526">
        <v>7.91</v>
      </c>
      <c r="G18" s="89"/>
      <c r="I18" s="168"/>
      <c r="J18" s="169"/>
      <c r="K18" s="172"/>
      <c r="L18" s="173"/>
      <c r="M18" s="174"/>
      <c r="N18" s="175"/>
      <c r="O18" s="170"/>
    </row>
    <row r="19" spans="1:20" ht="13" x14ac:dyDescent="0.3">
      <c r="A19" s="121" t="s">
        <v>182</v>
      </c>
      <c r="B19" s="526"/>
      <c r="C19" s="526">
        <v>0.27400000000000002</v>
      </c>
      <c r="D19" s="526">
        <v>5.38</v>
      </c>
      <c r="E19" s="526">
        <v>22.1</v>
      </c>
      <c r="F19" s="526">
        <v>7.83</v>
      </c>
      <c r="G19" s="89"/>
      <c r="I19" s="168"/>
      <c r="J19" s="169"/>
      <c r="K19" s="172"/>
      <c r="L19" s="173"/>
      <c r="M19" s="174"/>
      <c r="N19" s="175"/>
      <c r="S19" s="149"/>
    </row>
    <row r="20" spans="1:20" ht="13" x14ac:dyDescent="0.3">
      <c r="A20" s="121" t="s">
        <v>183</v>
      </c>
      <c r="B20" s="526"/>
      <c r="C20" s="526">
        <v>0.27400000000000002</v>
      </c>
      <c r="D20" s="526">
        <v>5.04</v>
      </c>
      <c r="E20" s="526">
        <v>22</v>
      </c>
      <c r="F20" s="526">
        <v>7.83</v>
      </c>
      <c r="G20" s="89"/>
      <c r="I20" s="168"/>
      <c r="J20" s="169"/>
      <c r="K20" s="172"/>
      <c r="L20" s="173"/>
      <c r="M20" s="174"/>
      <c r="N20" s="175"/>
      <c r="S20" s="447"/>
      <c r="T20" s="447"/>
    </row>
    <row r="21" spans="1:20" ht="13" x14ac:dyDescent="0.3">
      <c r="A21" s="121" t="s">
        <v>206</v>
      </c>
      <c r="B21" s="526"/>
      <c r="C21" s="526">
        <v>0.27500000000000002</v>
      </c>
      <c r="D21" s="526">
        <v>5.67</v>
      </c>
      <c r="E21" s="526">
        <v>21.7</v>
      </c>
      <c r="F21" s="526">
        <v>7.81</v>
      </c>
      <c r="G21" s="89"/>
      <c r="I21" s="168"/>
      <c r="J21" s="169"/>
      <c r="K21" s="172"/>
      <c r="L21" s="173"/>
      <c r="M21" s="174"/>
      <c r="N21" s="175"/>
      <c r="S21" s="86"/>
      <c r="T21" s="86"/>
    </row>
    <row r="22" spans="1:20" ht="13" x14ac:dyDescent="0.3">
      <c r="A22" s="121" t="s">
        <v>207</v>
      </c>
      <c r="B22" s="526"/>
      <c r="C22" s="526">
        <v>0.27700000000000002</v>
      </c>
      <c r="D22" s="526">
        <v>5.41</v>
      </c>
      <c r="E22" s="526">
        <v>21.6</v>
      </c>
      <c r="F22" s="526">
        <v>7.76</v>
      </c>
      <c r="G22" s="89"/>
      <c r="S22" s="86"/>
      <c r="T22" s="86"/>
    </row>
    <row r="23" spans="1:20" ht="13" x14ac:dyDescent="0.3">
      <c r="A23" s="121" t="s">
        <v>209</v>
      </c>
      <c r="B23" s="137"/>
      <c r="C23" s="82"/>
      <c r="D23" s="82"/>
      <c r="E23" s="82"/>
      <c r="F23" s="186"/>
      <c r="G23" s="179"/>
      <c r="H23" s="20"/>
      <c r="S23" s="86"/>
      <c r="T23" s="86"/>
    </row>
    <row r="24" spans="1:20" ht="13" x14ac:dyDescent="0.3">
      <c r="A24" s="306" t="s">
        <v>210</v>
      </c>
      <c r="B24" s="137"/>
      <c r="C24" s="82"/>
      <c r="D24" s="82"/>
      <c r="E24" s="82"/>
      <c r="F24" s="186"/>
      <c r="G24" s="179"/>
      <c r="H24" s="20"/>
      <c r="S24" s="86"/>
      <c r="T24" s="86"/>
    </row>
    <row r="25" spans="1:20" x14ac:dyDescent="0.25">
      <c r="A25" s="125" t="s">
        <v>11</v>
      </c>
      <c r="B25" s="193" t="s">
        <v>645</v>
      </c>
      <c r="C25" s="126"/>
      <c r="D25" s="126"/>
      <c r="E25" s="126"/>
      <c r="F25" s="126"/>
      <c r="G25" s="126"/>
      <c r="S25" s="86"/>
      <c r="T25" s="86"/>
    </row>
    <row r="26" spans="1:20" x14ac:dyDescent="0.25">
      <c r="A26" s="138"/>
      <c r="B26" s="20"/>
      <c r="D26" s="322"/>
      <c r="E26" s="322"/>
      <c r="F26" s="322"/>
      <c r="G26" s="322"/>
      <c r="S26" s="86"/>
      <c r="T26" s="86"/>
    </row>
    <row r="27" spans="1:20" x14ac:dyDescent="0.25">
      <c r="A27" s="138"/>
      <c r="B27" s="322"/>
      <c r="C27" s="322"/>
      <c r="D27" s="322"/>
      <c r="E27" s="322"/>
      <c r="F27" s="322"/>
      <c r="G27" s="322"/>
      <c r="S27" s="86"/>
      <c r="T27" s="86"/>
    </row>
    <row r="28" spans="1:20" ht="23" x14ac:dyDescent="0.25">
      <c r="A28" s="953" t="s">
        <v>127</v>
      </c>
      <c r="B28" s="954"/>
      <c r="C28" s="955"/>
      <c r="D28" s="953" t="s">
        <v>130</v>
      </c>
      <c r="E28" s="954"/>
      <c r="F28" s="955"/>
      <c r="G28" s="956" t="s">
        <v>31</v>
      </c>
      <c r="H28" s="956"/>
      <c r="J28" s="135" t="s">
        <v>187</v>
      </c>
      <c r="K28" s="135" t="s">
        <v>188</v>
      </c>
      <c r="L28" s="136" t="s">
        <v>189</v>
      </c>
      <c r="M28" s="135" t="s">
        <v>190</v>
      </c>
      <c r="N28" s="136" t="s">
        <v>191</v>
      </c>
      <c r="S28" s="86"/>
      <c r="T28" s="86"/>
    </row>
    <row r="29" spans="1:20" ht="15.5" x14ac:dyDescent="0.35">
      <c r="A29" s="518" t="s">
        <v>170</v>
      </c>
      <c r="B29" s="519">
        <v>0.42708333333333331</v>
      </c>
      <c r="C29" s="520"/>
      <c r="D29" s="518" t="s">
        <v>170</v>
      </c>
      <c r="E29" s="519">
        <v>0.4513888888888889</v>
      </c>
      <c r="F29" s="521">
        <v>3.95</v>
      </c>
      <c r="G29" s="518" t="s">
        <v>170</v>
      </c>
      <c r="H29" s="519">
        <v>0.4861111111111111</v>
      </c>
      <c r="I29" s="529"/>
      <c r="J29" s="132">
        <v>2</v>
      </c>
      <c r="K29" s="527">
        <v>0.17</v>
      </c>
      <c r="L29" s="527">
        <v>0.2</v>
      </c>
      <c r="M29" s="132">
        <f>K29*50</f>
        <v>8.5</v>
      </c>
      <c r="N29" s="133">
        <f>L29*M29</f>
        <v>1.7000000000000002</v>
      </c>
      <c r="S29" s="86"/>
      <c r="T29" s="86"/>
    </row>
    <row r="30" spans="1:20" ht="15.5" x14ac:dyDescent="0.35">
      <c r="A30" s="518" t="s">
        <v>185</v>
      </c>
      <c r="B30" s="517">
        <v>9</v>
      </c>
      <c r="C30" s="522"/>
      <c r="D30" s="518" t="s">
        <v>185</v>
      </c>
      <c r="E30" s="520">
        <v>19</v>
      </c>
      <c r="F30" s="522"/>
      <c r="G30" s="518" t="s">
        <v>185</v>
      </c>
      <c r="H30" s="520">
        <v>50</v>
      </c>
      <c r="I30" s="527"/>
      <c r="J30" s="132">
        <v>4</v>
      </c>
      <c r="K30" s="527">
        <v>0.79</v>
      </c>
      <c r="L30" s="527">
        <v>0.9</v>
      </c>
      <c r="M30" s="132">
        <f>K30*2</f>
        <v>1.58</v>
      </c>
      <c r="N30" s="133">
        <f>L30*M30</f>
        <v>1.4220000000000002</v>
      </c>
      <c r="S30" s="86"/>
      <c r="T30" s="86"/>
    </row>
    <row r="31" spans="1:20" ht="15.5" x14ac:dyDescent="0.35">
      <c r="A31" s="523" t="s">
        <v>186</v>
      </c>
      <c r="B31" s="957" t="s">
        <v>644</v>
      </c>
      <c r="C31" s="957"/>
      <c r="D31" s="523" t="s">
        <v>186</v>
      </c>
      <c r="E31" s="957" t="s">
        <v>643</v>
      </c>
      <c r="F31" s="957"/>
      <c r="G31" s="523" t="s">
        <v>186</v>
      </c>
      <c r="H31" s="524" t="s">
        <v>330</v>
      </c>
      <c r="I31" s="530"/>
      <c r="J31" s="132">
        <v>6</v>
      </c>
      <c r="K31" s="527">
        <v>0.87</v>
      </c>
      <c r="L31" s="527">
        <v>2.6</v>
      </c>
      <c r="M31" s="132">
        <f>K31*2</f>
        <v>1.74</v>
      </c>
      <c r="N31" s="133">
        <f t="shared" ref="N31:N38" si="0">L31*M31</f>
        <v>4.524</v>
      </c>
    </row>
    <row r="32" spans="1:20" ht="24" x14ac:dyDescent="0.35">
      <c r="A32" s="313" t="s">
        <v>187</v>
      </c>
      <c r="B32" s="313" t="s">
        <v>188</v>
      </c>
      <c r="C32" s="314" t="s">
        <v>189</v>
      </c>
      <c r="D32" s="313" t="s">
        <v>187</v>
      </c>
      <c r="E32" s="313" t="s">
        <v>188</v>
      </c>
      <c r="F32" s="314" t="s">
        <v>189</v>
      </c>
      <c r="G32" s="313" t="s">
        <v>188</v>
      </c>
      <c r="H32" s="314" t="s">
        <v>189</v>
      </c>
      <c r="J32" s="132">
        <v>8</v>
      </c>
      <c r="K32" s="527">
        <v>0.92</v>
      </c>
      <c r="L32" s="527">
        <v>1.4</v>
      </c>
      <c r="M32" s="132">
        <f>K32*2</f>
        <v>1.84</v>
      </c>
      <c r="N32" s="133">
        <f t="shared" si="0"/>
        <v>2.5760000000000001</v>
      </c>
    </row>
    <row r="33" spans="1:14" ht="15.5" x14ac:dyDescent="0.35">
      <c r="A33" s="152">
        <v>2</v>
      </c>
      <c r="B33" s="527">
        <v>0.28000000000000003</v>
      </c>
      <c r="C33" s="527">
        <v>0.1</v>
      </c>
      <c r="D33" s="152">
        <v>2</v>
      </c>
      <c r="E33" s="527">
        <v>0.53</v>
      </c>
      <c r="F33" s="527">
        <v>0.3</v>
      </c>
      <c r="G33" s="947" t="s">
        <v>31</v>
      </c>
      <c r="H33" s="947"/>
      <c r="J33" s="132">
        <v>10</v>
      </c>
      <c r="K33" s="527">
        <v>0.91</v>
      </c>
      <c r="L33" s="527">
        <v>0.7</v>
      </c>
      <c r="M33" s="132">
        <f t="shared" ref="M33:M38" si="1">K33*2</f>
        <v>1.82</v>
      </c>
      <c r="N33" s="133">
        <f t="shared" si="0"/>
        <v>1.274</v>
      </c>
    </row>
    <row r="34" spans="1:14" ht="15.5" x14ac:dyDescent="0.35">
      <c r="A34" s="152">
        <v>4</v>
      </c>
      <c r="B34" s="527">
        <v>0.24</v>
      </c>
      <c r="C34" s="527">
        <v>0.4</v>
      </c>
      <c r="D34" s="152">
        <v>4</v>
      </c>
      <c r="E34" s="527">
        <v>0.79</v>
      </c>
      <c r="F34" s="527">
        <v>0.9</v>
      </c>
      <c r="G34" s="527">
        <v>0.17</v>
      </c>
      <c r="H34" s="527">
        <v>0.2</v>
      </c>
      <c r="I34" s="444">
        <v>1.7</v>
      </c>
      <c r="J34" s="132">
        <v>12</v>
      </c>
      <c r="K34" s="527">
        <v>1</v>
      </c>
      <c r="L34" s="527">
        <v>1.4</v>
      </c>
      <c r="M34" s="132">
        <f t="shared" si="1"/>
        <v>2</v>
      </c>
      <c r="N34" s="133">
        <f t="shared" si="0"/>
        <v>2.8</v>
      </c>
    </row>
    <row r="35" spans="1:14" ht="15.5" x14ac:dyDescent="0.35">
      <c r="A35" s="152">
        <v>6</v>
      </c>
      <c r="B35" s="527">
        <v>0.36</v>
      </c>
      <c r="C35" s="527">
        <v>0.6</v>
      </c>
      <c r="D35" s="331">
        <v>6</v>
      </c>
      <c r="E35" s="527">
        <v>0.87</v>
      </c>
      <c r="F35" s="527">
        <v>2.6</v>
      </c>
      <c r="G35" s="948" t="s">
        <v>196</v>
      </c>
      <c r="H35" s="949"/>
      <c r="I35" s="158"/>
      <c r="J35" s="132">
        <v>14</v>
      </c>
      <c r="K35" s="527">
        <v>1.17</v>
      </c>
      <c r="L35" s="527">
        <v>1.1000000000000001</v>
      </c>
      <c r="M35" s="132">
        <f t="shared" si="1"/>
        <v>2.34</v>
      </c>
      <c r="N35" s="133">
        <f t="shared" si="0"/>
        <v>2.5739999999999998</v>
      </c>
    </row>
    <row r="36" spans="1:14" ht="15.5" x14ac:dyDescent="0.35">
      <c r="A36" s="152">
        <v>8</v>
      </c>
      <c r="B36" s="527">
        <v>0.24</v>
      </c>
      <c r="C36" s="527">
        <v>0.1</v>
      </c>
      <c r="D36" s="152">
        <v>8</v>
      </c>
      <c r="E36" s="527">
        <v>0.92</v>
      </c>
      <c r="F36" s="527">
        <v>1.4</v>
      </c>
      <c r="G36" s="132"/>
      <c r="H36" s="133"/>
      <c r="I36" s="444"/>
      <c r="J36" s="132">
        <v>16</v>
      </c>
      <c r="K36" s="527">
        <v>0.92</v>
      </c>
      <c r="L36" s="527">
        <v>0.8</v>
      </c>
      <c r="M36" s="132">
        <f>K36*3</f>
        <v>2.7600000000000002</v>
      </c>
      <c r="N36" s="133">
        <f t="shared" si="0"/>
        <v>2.2080000000000002</v>
      </c>
    </row>
    <row r="37" spans="1:14" ht="15.5" x14ac:dyDescent="0.35">
      <c r="A37" s="152">
        <v>12</v>
      </c>
      <c r="B37" s="132"/>
      <c r="C37" s="132"/>
      <c r="D37" s="152">
        <v>10</v>
      </c>
      <c r="E37" s="527">
        <v>0.91</v>
      </c>
      <c r="F37" s="527">
        <v>0.7</v>
      </c>
      <c r="G37" s="132" t="s">
        <v>197</v>
      </c>
      <c r="H37" s="133"/>
      <c r="I37" s="158"/>
      <c r="J37" s="132">
        <v>18</v>
      </c>
      <c r="K37" s="527">
        <v>0.32</v>
      </c>
      <c r="L37" s="527">
        <v>0.1</v>
      </c>
      <c r="M37" s="132">
        <f>K37*3</f>
        <v>0.96</v>
      </c>
      <c r="N37" s="133">
        <f t="shared" si="0"/>
        <v>9.6000000000000002E-2</v>
      </c>
    </row>
    <row r="38" spans="1:14" ht="15.5" x14ac:dyDescent="0.35">
      <c r="A38" s="123"/>
      <c r="B38" s="132"/>
      <c r="C38" s="132"/>
      <c r="D38" s="152">
        <v>12</v>
      </c>
      <c r="E38" s="527">
        <v>1</v>
      </c>
      <c r="F38" s="527">
        <v>1.4</v>
      </c>
      <c r="G38" s="132"/>
      <c r="H38" s="133"/>
      <c r="I38" s="445"/>
      <c r="J38" s="132">
        <v>20</v>
      </c>
      <c r="K38" s="132"/>
      <c r="L38" s="132"/>
      <c r="M38" s="132">
        <f t="shared" si="1"/>
        <v>0</v>
      </c>
      <c r="N38" s="133">
        <f t="shared" si="0"/>
        <v>0</v>
      </c>
    </row>
    <row r="39" spans="1:14" ht="15.5" x14ac:dyDescent="0.35">
      <c r="C39" s="443">
        <v>0.75</v>
      </c>
      <c r="D39" s="152">
        <v>14</v>
      </c>
      <c r="E39" s="527">
        <v>1.17</v>
      </c>
      <c r="F39" s="527">
        <v>1.1000000000000001</v>
      </c>
      <c r="N39" s="6">
        <f>SUM(N29:N38)</f>
        <v>19.174000000000003</v>
      </c>
    </row>
    <row r="40" spans="1:14" ht="15.5" x14ac:dyDescent="0.35">
      <c r="A40" s="319"/>
      <c r="D40" s="152">
        <v>16</v>
      </c>
      <c r="E40" s="527">
        <v>0.92</v>
      </c>
      <c r="F40" s="527">
        <v>0.8</v>
      </c>
    </row>
    <row r="41" spans="1:14" ht="15.5" x14ac:dyDescent="0.35">
      <c r="A41" s="319"/>
      <c r="D41" s="152">
        <v>18</v>
      </c>
      <c r="E41" s="527">
        <v>0.32</v>
      </c>
      <c r="F41" s="527">
        <v>0.1</v>
      </c>
    </row>
    <row r="42" spans="1:14" ht="15.5" x14ac:dyDescent="0.35">
      <c r="F42" s="366">
        <v>17.8</v>
      </c>
    </row>
    <row r="43" spans="1:14" ht="14" x14ac:dyDescent="0.3">
      <c r="A43" s="129" t="s">
        <v>211</v>
      </c>
      <c r="C43" s="11" t="s">
        <v>212</v>
      </c>
      <c r="D43" s="148">
        <v>40763</v>
      </c>
    </row>
    <row r="44" spans="1:14" ht="14" x14ac:dyDescent="0.3">
      <c r="A44" s="188" t="s">
        <v>218</v>
      </c>
      <c r="B44" s="188" t="s">
        <v>170</v>
      </c>
      <c r="C44" s="188" t="s">
        <v>171</v>
      </c>
      <c r="D44" s="188" t="s">
        <v>172</v>
      </c>
      <c r="E44" s="188" t="s">
        <v>173</v>
      </c>
      <c r="F44" s="188" t="s">
        <v>174</v>
      </c>
      <c r="G44" s="188" t="s">
        <v>184</v>
      </c>
      <c r="H44" s="189" t="s">
        <v>195</v>
      </c>
    </row>
    <row r="45" spans="1:14" ht="13" x14ac:dyDescent="0.3">
      <c r="A45" s="121" t="s">
        <v>506</v>
      </c>
      <c r="B45" s="525">
        <v>0.52013888888888882</v>
      </c>
      <c r="C45" s="526">
        <v>0.27600000000000002</v>
      </c>
      <c r="D45" s="526">
        <v>6.59</v>
      </c>
      <c r="E45" s="526">
        <v>23</v>
      </c>
      <c r="F45" s="526">
        <v>8.26</v>
      </c>
      <c r="G45" s="515">
        <v>2.5</v>
      </c>
      <c r="H45" s="515">
        <v>5.74</v>
      </c>
    </row>
    <row r="46" spans="1:14" ht="13" x14ac:dyDescent="0.3">
      <c r="A46" s="121" t="s">
        <v>175</v>
      </c>
      <c r="B46" s="526"/>
      <c r="C46" s="526">
        <v>0.27700000000000002</v>
      </c>
      <c r="D46" s="526">
        <v>6.4</v>
      </c>
      <c r="E46" s="526">
        <v>22.9</v>
      </c>
      <c r="F46" s="526">
        <v>8.25</v>
      </c>
      <c r="G46" s="89"/>
    </row>
    <row r="47" spans="1:14" ht="13" x14ac:dyDescent="0.3">
      <c r="A47" s="121" t="s">
        <v>507</v>
      </c>
      <c r="B47" s="526"/>
      <c r="C47" s="526">
        <v>0.27700000000000002</v>
      </c>
      <c r="D47" s="526">
        <v>6.47</v>
      </c>
      <c r="E47" s="526">
        <v>22.7</v>
      </c>
      <c r="F47" s="526">
        <v>8.2200000000000006</v>
      </c>
      <c r="G47" s="89"/>
      <c r="H47" s="176" t="s">
        <v>521</v>
      </c>
      <c r="I47" s="442">
        <f>AVERAGE(E45:E48)</f>
        <v>22.774999999999999</v>
      </c>
    </row>
    <row r="48" spans="1:14" ht="13" x14ac:dyDescent="0.3">
      <c r="A48" s="121" t="s">
        <v>176</v>
      </c>
      <c r="B48" s="526"/>
      <c r="C48" s="526">
        <v>0.27700000000000002</v>
      </c>
      <c r="D48" s="526">
        <v>6.16</v>
      </c>
      <c r="E48" s="526">
        <v>22.5</v>
      </c>
      <c r="F48" s="526">
        <v>8.16</v>
      </c>
      <c r="G48" s="89"/>
      <c r="H48" s="20" t="s">
        <v>599</v>
      </c>
      <c r="I48" s="442">
        <f>AVERAGE(E45:E54)</f>
        <v>22.54</v>
      </c>
    </row>
    <row r="49" spans="1:10" ht="13" x14ac:dyDescent="0.3">
      <c r="A49" s="121" t="s">
        <v>508</v>
      </c>
      <c r="B49" s="526"/>
      <c r="C49" s="526">
        <v>0.27700000000000002</v>
      </c>
      <c r="D49" s="526">
        <v>6.02</v>
      </c>
      <c r="E49" s="526">
        <v>22.5</v>
      </c>
      <c r="F49" s="526">
        <v>8.07</v>
      </c>
      <c r="G49" s="89"/>
      <c r="H49" s="168"/>
      <c r="I49" s="169"/>
    </row>
    <row r="50" spans="1:10" ht="13" x14ac:dyDescent="0.3">
      <c r="A50" s="121" t="s">
        <v>177</v>
      </c>
      <c r="B50" s="526"/>
      <c r="C50" s="526">
        <v>0.27600000000000002</v>
      </c>
      <c r="D50" s="526">
        <v>5.92</v>
      </c>
      <c r="E50" s="526">
        <v>22.5</v>
      </c>
      <c r="F50" s="526">
        <v>8.0299999999999994</v>
      </c>
      <c r="G50" s="89"/>
      <c r="H50" s="440" t="s">
        <v>600</v>
      </c>
      <c r="I50" s="333">
        <f>AVERAGE(D45:D53)</f>
        <v>6.0855555555555556</v>
      </c>
    </row>
    <row r="51" spans="1:10" ht="13" x14ac:dyDescent="0.3">
      <c r="A51" s="121" t="s">
        <v>509</v>
      </c>
      <c r="B51" s="526"/>
      <c r="C51" s="526">
        <v>0.27600000000000002</v>
      </c>
      <c r="D51" s="526">
        <v>5.93</v>
      </c>
      <c r="E51" s="526">
        <v>22.4</v>
      </c>
      <c r="F51" s="526">
        <v>7.99</v>
      </c>
      <c r="G51" s="89"/>
      <c r="H51" s="440" t="s">
        <v>526</v>
      </c>
      <c r="I51" s="333">
        <f>AVERAGE(D45:D48)</f>
        <v>6.4050000000000002</v>
      </c>
    </row>
    <row r="52" spans="1:10" ht="13" x14ac:dyDescent="0.3">
      <c r="A52" s="121" t="s">
        <v>178</v>
      </c>
      <c r="B52" s="526"/>
      <c r="C52" s="526">
        <v>0.27700000000000002</v>
      </c>
      <c r="D52" s="526">
        <v>5.71</v>
      </c>
      <c r="E52" s="526">
        <v>22.4</v>
      </c>
      <c r="F52" s="526">
        <v>7.96</v>
      </c>
      <c r="G52" s="89"/>
    </row>
    <row r="53" spans="1:10" ht="13" x14ac:dyDescent="0.3">
      <c r="A53" s="121" t="s">
        <v>179</v>
      </c>
      <c r="B53" s="526"/>
      <c r="C53" s="526">
        <v>0.27700000000000002</v>
      </c>
      <c r="D53" s="526">
        <v>5.57</v>
      </c>
      <c r="E53" s="526">
        <v>22.3</v>
      </c>
      <c r="F53" s="526">
        <v>7.94</v>
      </c>
      <c r="G53" s="89"/>
    </row>
    <row r="54" spans="1:10" ht="13" x14ac:dyDescent="0.3">
      <c r="A54" s="121" t="s">
        <v>180</v>
      </c>
      <c r="B54" s="526"/>
      <c r="C54" s="526">
        <v>0.27900000000000003</v>
      </c>
      <c r="D54" s="526">
        <v>4.8600000000000003</v>
      </c>
      <c r="E54" s="526">
        <v>22.2</v>
      </c>
      <c r="F54" s="526">
        <v>7.73</v>
      </c>
      <c r="G54" s="89"/>
    </row>
    <row r="55" spans="1:10" ht="14" x14ac:dyDescent="0.3">
      <c r="A55" s="121" t="s">
        <v>181</v>
      </c>
      <c r="B55" s="137"/>
      <c r="C55" s="225"/>
      <c r="D55" s="225"/>
      <c r="E55" s="515"/>
      <c r="F55" s="225"/>
      <c r="G55" s="89"/>
    </row>
    <row r="56" spans="1:10" ht="14" x14ac:dyDescent="0.3">
      <c r="A56" s="121" t="s">
        <v>182</v>
      </c>
      <c r="B56" s="137"/>
      <c r="C56" s="225"/>
      <c r="D56" s="225"/>
      <c r="E56" s="515"/>
      <c r="F56" s="225"/>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3" x14ac:dyDescent="0.3">
      <c r="A59" s="121" t="s">
        <v>506</v>
      </c>
      <c r="B59" s="367">
        <v>0.52847222222222223</v>
      </c>
      <c r="C59" s="515">
        <v>0.27700000000000002</v>
      </c>
      <c r="D59" s="515">
        <v>6.45</v>
      </c>
      <c r="E59" s="515">
        <v>22.5</v>
      </c>
      <c r="F59" s="515">
        <v>8.09</v>
      </c>
      <c r="G59" s="513">
        <v>2.0699999999999998</v>
      </c>
      <c r="H59" s="515">
        <v>4.9800000000000004</v>
      </c>
    </row>
    <row r="60" spans="1:10" ht="13" x14ac:dyDescent="0.3">
      <c r="A60" s="121" t="s">
        <v>175</v>
      </c>
      <c r="B60" s="515"/>
      <c r="C60" s="515">
        <v>0.27700000000000002</v>
      </c>
      <c r="D60" s="515">
        <v>6.76</v>
      </c>
      <c r="E60" s="515">
        <v>22.5</v>
      </c>
      <c r="F60" s="515">
        <v>8.1300000000000008</v>
      </c>
      <c r="G60" s="89"/>
    </row>
    <row r="61" spans="1:10" ht="13" x14ac:dyDescent="0.3">
      <c r="A61" s="121" t="s">
        <v>507</v>
      </c>
      <c r="B61" s="515"/>
      <c r="C61" s="515">
        <v>0.27700000000000002</v>
      </c>
      <c r="D61" s="515">
        <v>6.62</v>
      </c>
      <c r="E61" s="515">
        <v>22.5</v>
      </c>
      <c r="F61" s="515">
        <v>8.1999999999999993</v>
      </c>
      <c r="G61" s="89"/>
      <c r="H61" s="176" t="s">
        <v>521</v>
      </c>
      <c r="I61" s="442">
        <f>AVERAGE(E59:E62)</f>
        <v>22.5</v>
      </c>
    </row>
    <row r="62" spans="1:10" ht="13" x14ac:dyDescent="0.3">
      <c r="A62" s="121" t="s">
        <v>176</v>
      </c>
      <c r="B62" s="515"/>
      <c r="C62" s="515">
        <v>0.27700000000000002</v>
      </c>
      <c r="D62" s="515">
        <v>6.2</v>
      </c>
      <c r="E62" s="515">
        <v>22.5</v>
      </c>
      <c r="F62" s="515">
        <v>8.24</v>
      </c>
      <c r="G62" s="89"/>
      <c r="H62" s="20" t="s">
        <v>601</v>
      </c>
      <c r="I62" s="442">
        <f>AVERAGE(E59:E70)</f>
        <v>22.533333333333331</v>
      </c>
    </row>
    <row r="63" spans="1:10" ht="13" x14ac:dyDescent="0.3">
      <c r="A63" s="121" t="s">
        <v>508</v>
      </c>
      <c r="B63" s="515"/>
      <c r="C63" s="515">
        <v>0.27600000000000002</v>
      </c>
      <c r="D63" s="515">
        <v>6.34</v>
      </c>
      <c r="E63" s="515">
        <v>22.6</v>
      </c>
      <c r="F63" s="515">
        <v>8.1</v>
      </c>
      <c r="G63" s="89"/>
      <c r="H63" s="168"/>
      <c r="I63" s="169"/>
    </row>
    <row r="64" spans="1:10" ht="13" x14ac:dyDescent="0.3">
      <c r="A64" s="121" t="s">
        <v>177</v>
      </c>
      <c r="B64" s="515"/>
      <c r="C64" s="515">
        <v>0.27700000000000002</v>
      </c>
      <c r="D64" s="515">
        <v>6.25</v>
      </c>
      <c r="E64" s="515">
        <v>22.5</v>
      </c>
      <c r="F64" s="515">
        <v>8.1300000000000008</v>
      </c>
      <c r="G64" s="89"/>
      <c r="H64" s="440" t="s">
        <v>602</v>
      </c>
      <c r="I64" s="333">
        <f>AVERAGE(D59:D70)</f>
        <v>6.3433333333333346</v>
      </c>
    </row>
    <row r="65" spans="1:9" ht="13" x14ac:dyDescent="0.3">
      <c r="A65" s="121" t="s">
        <v>509</v>
      </c>
      <c r="B65" s="515"/>
      <c r="C65" s="515">
        <v>0.27700000000000002</v>
      </c>
      <c r="D65" s="515">
        <v>6.23</v>
      </c>
      <c r="E65" s="515">
        <v>22.6</v>
      </c>
      <c r="F65" s="515">
        <v>8.1199999999999992</v>
      </c>
      <c r="G65" s="89"/>
      <c r="H65" s="440" t="s">
        <v>526</v>
      </c>
      <c r="I65" s="333">
        <f>AVERAGE(D59:D62)</f>
        <v>6.5075000000000003</v>
      </c>
    </row>
    <row r="66" spans="1:9" ht="13" x14ac:dyDescent="0.3">
      <c r="A66" s="121" t="s">
        <v>178</v>
      </c>
      <c r="B66" s="515"/>
      <c r="C66" s="515">
        <v>0.27700000000000002</v>
      </c>
      <c r="D66" s="515">
        <v>6.2</v>
      </c>
      <c r="E66" s="515">
        <v>22.6</v>
      </c>
      <c r="F66" s="515">
        <v>8.1199999999999992</v>
      </c>
      <c r="G66" s="89"/>
    </row>
    <row r="67" spans="1:9" ht="13" x14ac:dyDescent="0.3">
      <c r="A67" s="121" t="s">
        <v>179</v>
      </c>
      <c r="B67" s="515"/>
      <c r="C67" s="515">
        <v>0.27800000000000002</v>
      </c>
      <c r="D67" s="515">
        <v>6.04</v>
      </c>
      <c r="E67" s="515">
        <v>22.5</v>
      </c>
      <c r="F67" s="515">
        <v>8.07</v>
      </c>
      <c r="G67" s="89"/>
    </row>
    <row r="68" spans="1:9" ht="14" x14ac:dyDescent="0.3">
      <c r="A68" s="306" t="s">
        <v>180</v>
      </c>
      <c r="B68" s="137"/>
      <c r="C68" s="515"/>
      <c r="D68" s="515"/>
      <c r="E68" s="225"/>
      <c r="F68" s="515"/>
      <c r="G68" s="89"/>
    </row>
    <row r="69" spans="1:9" ht="14" x14ac:dyDescent="0.3">
      <c r="A69" s="306" t="s">
        <v>181</v>
      </c>
      <c r="B69" s="137"/>
      <c r="C69" s="515"/>
      <c r="D69" s="515"/>
      <c r="E69" s="225"/>
      <c r="F69" s="515"/>
      <c r="G69" s="89"/>
    </row>
    <row r="70" spans="1:9" ht="14" x14ac:dyDescent="0.3">
      <c r="A70" s="306" t="s">
        <v>182</v>
      </c>
      <c r="B70" s="137"/>
      <c r="C70" s="515"/>
      <c r="D70" s="515"/>
      <c r="E70" s="225"/>
      <c r="F70" s="515"/>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525">
        <v>0.54097222222222219</v>
      </c>
      <c r="C73" s="526">
        <v>0.27800000000000002</v>
      </c>
      <c r="D73" s="526">
        <v>7.66</v>
      </c>
      <c r="E73" s="526">
        <v>23</v>
      </c>
      <c r="F73" s="526">
        <v>8.56</v>
      </c>
      <c r="G73" s="515">
        <v>2.2999999999999998</v>
      </c>
      <c r="H73" s="515">
        <v>3.82</v>
      </c>
    </row>
    <row r="74" spans="1:9" ht="13" x14ac:dyDescent="0.3">
      <c r="A74" s="121" t="s">
        <v>175</v>
      </c>
      <c r="B74" s="526"/>
      <c r="C74" s="526">
        <v>0.27800000000000002</v>
      </c>
      <c r="D74" s="526">
        <v>7.14</v>
      </c>
      <c r="E74" s="526">
        <v>23</v>
      </c>
      <c r="F74" s="526">
        <v>8.56</v>
      </c>
      <c r="G74" s="89"/>
    </row>
    <row r="75" spans="1:9" ht="13" x14ac:dyDescent="0.3">
      <c r="A75" s="121" t="s">
        <v>507</v>
      </c>
      <c r="B75" s="526"/>
      <c r="C75" s="526">
        <v>0.27800000000000002</v>
      </c>
      <c r="D75" s="526">
        <v>7.19</v>
      </c>
      <c r="E75" s="526">
        <v>23</v>
      </c>
      <c r="F75" s="526">
        <v>8.5</v>
      </c>
      <c r="G75" s="89"/>
      <c r="H75" s="176" t="s">
        <v>521</v>
      </c>
      <c r="I75" s="442">
        <f>AVERAGE(E72:E75)</f>
        <v>23</v>
      </c>
    </row>
    <row r="76" spans="1:9" ht="13" x14ac:dyDescent="0.3">
      <c r="A76" s="121" t="s">
        <v>176</v>
      </c>
      <c r="B76" s="526"/>
      <c r="C76" s="526">
        <v>0.27800000000000002</v>
      </c>
      <c r="D76" s="526">
        <v>6.97</v>
      </c>
      <c r="E76" s="526">
        <v>23</v>
      </c>
      <c r="F76" s="526">
        <v>8.48</v>
      </c>
      <c r="G76" s="89"/>
      <c r="H76" s="20" t="s">
        <v>604</v>
      </c>
      <c r="I76" s="442">
        <f>AVERAGE(E72:E82)</f>
        <v>22.787500000000001</v>
      </c>
    </row>
    <row r="77" spans="1:9" ht="13" x14ac:dyDescent="0.3">
      <c r="A77" s="121" t="s">
        <v>508</v>
      </c>
      <c r="B77" s="526"/>
      <c r="C77" s="526">
        <v>0.27800000000000002</v>
      </c>
      <c r="D77" s="526">
        <v>7.2</v>
      </c>
      <c r="E77" s="526">
        <v>22.9</v>
      </c>
      <c r="F77" s="526">
        <v>8.43</v>
      </c>
      <c r="G77" s="89"/>
      <c r="H77" s="168"/>
      <c r="I77" s="169"/>
    </row>
    <row r="78" spans="1:9" ht="13" x14ac:dyDescent="0.3">
      <c r="A78" s="121" t="s">
        <v>177</v>
      </c>
      <c r="B78" s="526"/>
      <c r="C78" s="526">
        <v>0.27800000000000002</v>
      </c>
      <c r="D78" s="526">
        <v>7.32</v>
      </c>
      <c r="E78" s="526">
        <v>22.7</v>
      </c>
      <c r="F78" s="526">
        <v>8.43</v>
      </c>
      <c r="G78" s="89"/>
      <c r="H78" s="440" t="s">
        <v>603</v>
      </c>
      <c r="I78" s="333">
        <f>AVERAGE(D72:D86)</f>
        <v>7.0381818181818181</v>
      </c>
    </row>
    <row r="79" spans="1:9" ht="13" x14ac:dyDescent="0.3">
      <c r="A79" s="121" t="s">
        <v>509</v>
      </c>
      <c r="B79" s="526"/>
      <c r="C79" s="526">
        <v>0.27800000000000002</v>
      </c>
      <c r="D79" s="526">
        <v>7.1</v>
      </c>
      <c r="E79" s="526">
        <v>22.4</v>
      </c>
      <c r="F79" s="526">
        <v>8.4600000000000009</v>
      </c>
      <c r="G79" s="89"/>
      <c r="H79" s="440" t="s">
        <v>526</v>
      </c>
      <c r="I79" s="333">
        <f>AVERAGE(D72:D75)</f>
        <v>7.330000000000001</v>
      </c>
    </row>
    <row r="80" spans="1:9" ht="13" x14ac:dyDescent="0.3">
      <c r="A80" s="121" t="s">
        <v>178</v>
      </c>
      <c r="B80" s="526"/>
      <c r="C80" s="526">
        <v>0.27900000000000003</v>
      </c>
      <c r="D80" s="526">
        <v>7.01</v>
      </c>
      <c r="E80" s="526">
        <v>22.3</v>
      </c>
      <c r="F80" s="526">
        <v>8.44</v>
      </c>
      <c r="G80" s="89"/>
    </row>
    <row r="81" spans="1:9" ht="13" x14ac:dyDescent="0.3">
      <c r="A81" s="121" t="s">
        <v>179</v>
      </c>
      <c r="B81" s="82"/>
      <c r="C81" s="515"/>
      <c r="D81" s="515"/>
      <c r="E81" s="515"/>
      <c r="F81" s="515"/>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525">
        <v>0.54861111111111105</v>
      </c>
      <c r="C84" s="526">
        <v>0.27700000000000002</v>
      </c>
      <c r="D84" s="526">
        <v>6.44</v>
      </c>
      <c r="E84" s="526">
        <v>22.9</v>
      </c>
      <c r="F84" s="526">
        <v>8.23</v>
      </c>
      <c r="G84" s="82">
        <v>2.33</v>
      </c>
      <c r="H84" s="82">
        <v>6.42</v>
      </c>
    </row>
    <row r="85" spans="1:9" ht="13" x14ac:dyDescent="0.3">
      <c r="A85" s="121" t="s">
        <v>175</v>
      </c>
      <c r="B85" s="526"/>
      <c r="C85" s="526">
        <v>0.27700000000000002</v>
      </c>
      <c r="D85" s="526">
        <v>6.66</v>
      </c>
      <c r="E85" s="526">
        <v>22.9</v>
      </c>
      <c r="F85" s="526">
        <v>8.2200000000000006</v>
      </c>
      <c r="G85" s="89"/>
    </row>
    <row r="86" spans="1:9" ht="13" x14ac:dyDescent="0.3">
      <c r="A86" s="121" t="s">
        <v>507</v>
      </c>
      <c r="B86" s="526"/>
      <c r="C86" s="526">
        <v>0.27500000000000002</v>
      </c>
      <c r="D86" s="526">
        <v>6.73</v>
      </c>
      <c r="E86" s="526">
        <v>22.9</v>
      </c>
      <c r="F86" s="526">
        <v>8.2200000000000006</v>
      </c>
      <c r="G86" s="89"/>
      <c r="H86" s="176" t="s">
        <v>521</v>
      </c>
      <c r="I86" s="442">
        <f>AVERAGE(E84:E87)</f>
        <v>22.874999999999996</v>
      </c>
    </row>
    <row r="87" spans="1:9" ht="13" x14ac:dyDescent="0.3">
      <c r="A87" s="121" t="s">
        <v>176</v>
      </c>
      <c r="B87" s="526"/>
      <c r="C87" s="526">
        <v>0.27500000000000002</v>
      </c>
      <c r="D87" s="526">
        <v>6.5</v>
      </c>
      <c r="E87" s="526">
        <v>22.8</v>
      </c>
      <c r="F87" s="526">
        <v>8.2100000000000009</v>
      </c>
      <c r="G87" s="89"/>
      <c r="H87" s="20" t="s">
        <v>605</v>
      </c>
      <c r="I87" s="442">
        <f>AVERAGE(E84:E94)</f>
        <v>22.518181818181819</v>
      </c>
    </row>
    <row r="88" spans="1:9" ht="13" x14ac:dyDescent="0.3">
      <c r="A88" s="121" t="s">
        <v>508</v>
      </c>
      <c r="B88" s="526"/>
      <c r="C88" s="526">
        <v>0.27500000000000002</v>
      </c>
      <c r="D88" s="526">
        <v>6.38</v>
      </c>
      <c r="E88" s="526">
        <v>22.6</v>
      </c>
      <c r="F88" s="526">
        <v>8.08</v>
      </c>
      <c r="G88" s="89"/>
      <c r="H88" s="168"/>
      <c r="I88" s="169"/>
    </row>
    <row r="89" spans="1:9" ht="13" x14ac:dyDescent="0.3">
      <c r="A89" s="121" t="s">
        <v>177</v>
      </c>
      <c r="B89" s="526"/>
      <c r="C89" s="526">
        <v>0.27500000000000002</v>
      </c>
      <c r="D89" s="526">
        <v>6.26</v>
      </c>
      <c r="E89" s="526">
        <v>22.4</v>
      </c>
      <c r="F89" s="526">
        <v>8.15</v>
      </c>
      <c r="G89" s="89"/>
      <c r="H89" s="440" t="s">
        <v>606</v>
      </c>
      <c r="I89" s="333">
        <f>AVERAGE(D84:D94)</f>
        <v>6.3327272727272721</v>
      </c>
    </row>
    <row r="90" spans="1:9" ht="13" x14ac:dyDescent="0.3">
      <c r="A90" s="121" t="s">
        <v>509</v>
      </c>
      <c r="B90" s="526"/>
      <c r="C90" s="526">
        <v>0.27500000000000002</v>
      </c>
      <c r="D90" s="526">
        <v>6.14</v>
      </c>
      <c r="E90" s="526">
        <v>22.4</v>
      </c>
      <c r="F90" s="526">
        <v>8.09</v>
      </c>
      <c r="G90" s="89"/>
      <c r="H90" s="440" t="s">
        <v>526</v>
      </c>
      <c r="I90" s="333">
        <f>AVERAGE(D84:D87)</f>
        <v>6.5825000000000005</v>
      </c>
    </row>
    <row r="91" spans="1:9" ht="13" x14ac:dyDescent="0.3">
      <c r="A91" s="121" t="s">
        <v>178</v>
      </c>
      <c r="B91" s="526"/>
      <c r="C91" s="526">
        <v>0.27500000000000002</v>
      </c>
      <c r="D91" s="526">
        <v>6.18</v>
      </c>
      <c r="E91" s="526">
        <v>22.4</v>
      </c>
      <c r="F91" s="526">
        <v>8.0299999999999994</v>
      </c>
      <c r="G91" s="89"/>
    </row>
    <row r="92" spans="1:9" ht="13" x14ac:dyDescent="0.3">
      <c r="A92" s="121" t="s">
        <v>179</v>
      </c>
      <c r="B92" s="526"/>
      <c r="C92" s="526">
        <v>0.27500000000000002</v>
      </c>
      <c r="D92" s="526">
        <v>6.04</v>
      </c>
      <c r="E92" s="526">
        <v>22.4</v>
      </c>
      <c r="F92" s="526">
        <v>8.0299999999999994</v>
      </c>
      <c r="G92" s="89"/>
    </row>
    <row r="93" spans="1:9" ht="13" x14ac:dyDescent="0.3">
      <c r="A93" s="121" t="s">
        <v>180</v>
      </c>
      <c r="B93" s="526"/>
      <c r="C93" s="526">
        <v>0.27500000000000002</v>
      </c>
      <c r="D93" s="526">
        <v>6.22</v>
      </c>
      <c r="E93" s="526">
        <v>22.2</v>
      </c>
      <c r="F93" s="526">
        <v>8.0399999999999991</v>
      </c>
    </row>
    <row r="94" spans="1:9" ht="14" x14ac:dyDescent="0.3">
      <c r="A94" s="121" t="s">
        <v>181</v>
      </c>
      <c r="B94" s="526"/>
      <c r="C94" s="526">
        <v>0.27600000000000002</v>
      </c>
      <c r="D94" s="526">
        <v>6.11</v>
      </c>
      <c r="E94" s="526">
        <v>21.8</v>
      </c>
      <c r="F94" s="526">
        <v>7.93</v>
      </c>
      <c r="G94" s="411"/>
      <c r="H94" s="124"/>
    </row>
    <row r="95" spans="1:9" ht="13" x14ac:dyDescent="0.3">
      <c r="A95" s="121" t="s">
        <v>182</v>
      </c>
      <c r="B95" s="186"/>
      <c r="C95" s="186"/>
      <c r="D95" s="186"/>
      <c r="E95" s="186"/>
      <c r="F95" s="186"/>
      <c r="G95" s="86"/>
      <c r="H95" s="86"/>
    </row>
  </sheetData>
  <mergeCells count="7">
    <mergeCell ref="G33:H33"/>
    <mergeCell ref="G35:H35"/>
    <mergeCell ref="A28:C28"/>
    <mergeCell ref="D28:F28"/>
    <mergeCell ref="G28:H28"/>
    <mergeCell ref="B31:C31"/>
    <mergeCell ref="E31:F31"/>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95"/>
  <sheetViews>
    <sheetView workbookViewId="0">
      <selection activeCell="G8" sqref="G8"/>
    </sheetView>
  </sheetViews>
  <sheetFormatPr defaultRowHeight="12.5" x14ac:dyDescent="0.25"/>
  <cols>
    <col min="1" max="1" width="16.6328125" customWidth="1"/>
    <col min="2" max="2" width="10.08984375" bestFit="1" customWidth="1"/>
    <col min="4" max="4" width="11.54296875" customWidth="1"/>
    <col min="8" max="8" width="12" customWidth="1"/>
    <col min="9" max="9" width="16" customWidth="1"/>
    <col min="10" max="10" width="23.6328125" customWidth="1"/>
    <col min="11" max="11" width="14.90625" customWidth="1"/>
    <col min="20" max="20" width="16" bestFit="1" customWidth="1"/>
    <col min="21" max="21" width="9.08984375" bestFit="1" customWidth="1"/>
  </cols>
  <sheetData>
    <row r="1" spans="1:22" ht="14" x14ac:dyDescent="0.3">
      <c r="A1" s="129" t="s">
        <v>505</v>
      </c>
    </row>
    <row r="2" spans="1:22" ht="13" x14ac:dyDescent="0.3">
      <c r="A2" s="1" t="s">
        <v>168</v>
      </c>
      <c r="B2" s="148">
        <v>40777</v>
      </c>
      <c r="I2" s="1"/>
      <c r="J2" s="29"/>
      <c r="K2" s="160"/>
      <c r="L2" s="1"/>
      <c r="M2" s="1"/>
      <c r="N2" s="8"/>
      <c r="O2" s="159"/>
      <c r="T2" s="509" t="s">
        <v>246</v>
      </c>
      <c r="U2" s="510">
        <v>40777</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514">
        <v>9</v>
      </c>
    </row>
    <row r="4" spans="1:22" ht="13" x14ac:dyDescent="0.3">
      <c r="A4" s="91" t="s">
        <v>213</v>
      </c>
      <c r="B4" s="137">
        <v>0.36805555555555558</v>
      </c>
      <c r="C4" s="82">
        <v>1.56</v>
      </c>
      <c r="D4" s="82">
        <v>7.97</v>
      </c>
      <c r="E4" s="82">
        <v>15.5</v>
      </c>
      <c r="F4" s="82">
        <v>8.2200000000000006</v>
      </c>
      <c r="G4" s="89"/>
      <c r="I4" s="168"/>
      <c r="J4" s="169"/>
      <c r="K4" s="163"/>
      <c r="L4" s="11"/>
      <c r="M4" s="165"/>
      <c r="N4" s="166"/>
      <c r="O4" s="170"/>
      <c r="T4" s="179" t="s">
        <v>253</v>
      </c>
      <c r="U4" s="515">
        <v>15</v>
      </c>
    </row>
    <row r="5" spans="1:22" ht="13" x14ac:dyDescent="0.3">
      <c r="A5" s="91" t="s">
        <v>214</v>
      </c>
      <c r="B5" s="137">
        <v>0.38194444444444442</v>
      </c>
      <c r="C5" s="82">
        <v>9.2999999999999999E-2</v>
      </c>
      <c r="D5" s="82">
        <v>7.51</v>
      </c>
      <c r="E5" s="82">
        <v>17</v>
      </c>
      <c r="F5" s="82">
        <v>8</v>
      </c>
      <c r="G5" s="89"/>
      <c r="I5" s="168"/>
      <c r="J5" s="169"/>
      <c r="K5" s="172"/>
      <c r="L5" s="173"/>
      <c r="M5" s="174"/>
      <c r="N5" s="175"/>
      <c r="O5" s="170"/>
      <c r="T5" s="309" t="s">
        <v>257</v>
      </c>
      <c r="U5" s="540" t="s">
        <v>646</v>
      </c>
    </row>
    <row r="6" spans="1:22" ht="13" x14ac:dyDescent="0.3">
      <c r="A6" s="91" t="s">
        <v>215</v>
      </c>
      <c r="B6" s="137">
        <v>0.3972222222222222</v>
      </c>
      <c r="C6" s="82">
        <v>0.36199999999999999</v>
      </c>
      <c r="D6" s="82">
        <v>5.0999999999999996</v>
      </c>
      <c r="E6" s="82">
        <v>22</v>
      </c>
      <c r="F6" s="82">
        <v>8.67</v>
      </c>
      <c r="G6" s="89"/>
      <c r="I6" s="20"/>
      <c r="J6" s="162"/>
      <c r="K6" s="163"/>
      <c r="L6" s="28"/>
      <c r="M6" s="165"/>
      <c r="N6" s="166"/>
      <c r="O6" s="167"/>
      <c r="T6" s="179" t="s">
        <v>247</v>
      </c>
      <c r="U6" s="515">
        <v>28</v>
      </c>
    </row>
    <row r="7" spans="1:22" ht="14" x14ac:dyDescent="0.3">
      <c r="A7" s="91" t="s">
        <v>208</v>
      </c>
      <c r="B7" s="222" t="s">
        <v>539</v>
      </c>
      <c r="C7" s="223"/>
      <c r="D7" s="223"/>
      <c r="E7" s="223"/>
      <c r="F7" s="224"/>
      <c r="G7" s="188" t="s">
        <v>184</v>
      </c>
      <c r="H7" s="189" t="s">
        <v>195</v>
      </c>
      <c r="I7" s="168"/>
      <c r="J7" s="169"/>
      <c r="K7" s="163"/>
      <c r="L7" s="11"/>
      <c r="M7" s="165"/>
      <c r="N7" s="166"/>
      <c r="O7" s="170"/>
      <c r="T7" s="446" t="s">
        <v>537</v>
      </c>
      <c r="U7" s="515">
        <v>4</v>
      </c>
    </row>
    <row r="8" spans="1:22" ht="13" x14ac:dyDescent="0.3">
      <c r="A8" s="121" t="s">
        <v>506</v>
      </c>
      <c r="B8" s="201">
        <v>0.43402777777777773</v>
      </c>
      <c r="C8" s="82">
        <v>0.28789999999999999</v>
      </c>
      <c r="D8" s="82">
        <v>7.35</v>
      </c>
      <c r="E8" s="82">
        <v>22.4</v>
      </c>
      <c r="F8" s="82">
        <v>8.7100000000000009</v>
      </c>
      <c r="G8" s="128">
        <v>2</v>
      </c>
      <c r="H8" s="178">
        <v>10.7</v>
      </c>
      <c r="I8" s="168"/>
      <c r="J8" s="169"/>
      <c r="K8" s="172"/>
      <c r="L8" s="173"/>
      <c r="M8" s="174"/>
      <c r="N8" s="175"/>
      <c r="O8" s="170"/>
      <c r="T8" s="446" t="s">
        <v>538</v>
      </c>
      <c r="U8" s="515">
        <v>5</v>
      </c>
    </row>
    <row r="9" spans="1:22" ht="13" x14ac:dyDescent="0.3">
      <c r="A9" s="121" t="s">
        <v>175</v>
      </c>
      <c r="B9" s="82"/>
      <c r="C9" s="82">
        <v>0.28860000000000002</v>
      </c>
      <c r="D9" s="82">
        <v>7.49</v>
      </c>
      <c r="E9" s="82">
        <v>22.3</v>
      </c>
      <c r="F9" s="82">
        <v>8.69</v>
      </c>
      <c r="G9" s="89"/>
      <c r="K9" s="177"/>
      <c r="M9" s="174"/>
      <c r="N9" s="175"/>
      <c r="O9" s="167"/>
      <c r="T9" s="179" t="s">
        <v>249</v>
      </c>
      <c r="U9" s="515">
        <v>58</v>
      </c>
    </row>
    <row r="10" spans="1:22" ht="13" x14ac:dyDescent="0.3">
      <c r="A10" s="121" t="s">
        <v>507</v>
      </c>
      <c r="B10" s="82"/>
      <c r="C10" s="82">
        <v>0.28860000000000002</v>
      </c>
      <c r="D10" s="82">
        <v>7.51</v>
      </c>
      <c r="E10" s="82">
        <v>22.2</v>
      </c>
      <c r="F10" s="82">
        <v>8.69</v>
      </c>
      <c r="G10" s="89"/>
      <c r="H10" s="176" t="s">
        <v>521</v>
      </c>
      <c r="I10" s="442">
        <f>AVERAGE(E8:E11)</f>
        <v>22.275000000000002</v>
      </c>
      <c r="K10" s="163"/>
      <c r="L10" s="28"/>
      <c r="M10" s="165"/>
      <c r="N10" s="166"/>
      <c r="O10" s="167"/>
      <c r="T10" s="179" t="s">
        <v>250</v>
      </c>
      <c r="U10" s="515">
        <v>15</v>
      </c>
      <c r="V10" s="20"/>
    </row>
    <row r="11" spans="1:22" ht="13" x14ac:dyDescent="0.3">
      <c r="A11" s="121" t="s">
        <v>176</v>
      </c>
      <c r="B11" s="82"/>
      <c r="C11" s="86">
        <v>0.28939999999999999</v>
      </c>
      <c r="D11" s="82">
        <v>7.47</v>
      </c>
      <c r="E11" s="82">
        <v>22.2</v>
      </c>
      <c r="F11" s="82">
        <v>8.68</v>
      </c>
      <c r="G11" s="89"/>
      <c r="H11" s="20" t="s">
        <v>549</v>
      </c>
      <c r="I11" s="442">
        <f>AVERAGE(E8:E19)</f>
        <v>22.216666666666665</v>
      </c>
      <c r="K11" s="163"/>
      <c r="L11" s="11"/>
      <c r="M11" s="165"/>
      <c r="N11" s="166"/>
      <c r="O11" s="170"/>
      <c r="T11" s="511" t="s">
        <v>628</v>
      </c>
      <c r="U11" s="515">
        <v>15</v>
      </c>
    </row>
    <row r="12" spans="1:22" ht="13" x14ac:dyDescent="0.3">
      <c r="A12" s="121" t="s">
        <v>508</v>
      </c>
      <c r="B12" s="82"/>
      <c r="C12" s="82">
        <v>0.28939999999999999</v>
      </c>
      <c r="D12" s="82">
        <v>7.13</v>
      </c>
      <c r="E12" s="82">
        <v>22.2</v>
      </c>
      <c r="F12" s="82">
        <v>8.69</v>
      </c>
      <c r="G12" s="89"/>
      <c r="H12" s="168"/>
      <c r="I12" s="169"/>
      <c r="K12" s="172"/>
      <c r="L12" s="173"/>
      <c r="M12" s="174"/>
      <c r="N12" s="175"/>
      <c r="O12" s="170"/>
      <c r="T12" s="179" t="s">
        <v>251</v>
      </c>
      <c r="U12" s="208">
        <v>22</v>
      </c>
    </row>
    <row r="13" spans="1:22" ht="13" x14ac:dyDescent="0.3">
      <c r="A13" s="121" t="s">
        <v>177</v>
      </c>
      <c r="B13" s="82"/>
      <c r="C13" s="82">
        <v>0.28960000000000002</v>
      </c>
      <c r="D13" s="82">
        <v>7.24</v>
      </c>
      <c r="E13" s="82">
        <v>22.2</v>
      </c>
      <c r="F13" s="186">
        <v>8.68</v>
      </c>
      <c r="G13" s="89"/>
      <c r="H13" s="440" t="s">
        <v>548</v>
      </c>
      <c r="I13" s="333">
        <f>AVERAGE(D8:D22)</f>
        <v>7.0286666666666662</v>
      </c>
      <c r="K13" s="163"/>
      <c r="L13" s="28"/>
      <c r="M13" s="165"/>
      <c r="N13" s="166"/>
      <c r="O13" s="167"/>
      <c r="T13" s="179" t="s">
        <v>576</v>
      </c>
      <c r="U13" s="515">
        <v>9</v>
      </c>
    </row>
    <row r="14" spans="1:22" ht="13" x14ac:dyDescent="0.3">
      <c r="A14" s="121" t="s">
        <v>509</v>
      </c>
      <c r="B14" s="82"/>
      <c r="C14" s="82">
        <v>0.28910000000000002</v>
      </c>
      <c r="D14" s="82">
        <v>7.21</v>
      </c>
      <c r="E14" s="82">
        <v>22.2</v>
      </c>
      <c r="F14" s="82">
        <v>8.68</v>
      </c>
      <c r="G14" s="89"/>
      <c r="H14" s="440" t="s">
        <v>526</v>
      </c>
      <c r="I14" s="333">
        <f>AVERAGE(D8:D11)</f>
        <v>7.4550000000000001</v>
      </c>
      <c r="K14" s="163"/>
      <c r="L14" s="11"/>
      <c r="M14" s="165"/>
      <c r="N14" s="166"/>
      <c r="O14" s="170"/>
    </row>
    <row r="15" spans="1:22" ht="13" x14ac:dyDescent="0.3">
      <c r="A15" s="121" t="s">
        <v>178</v>
      </c>
      <c r="B15" s="82"/>
      <c r="C15" s="82">
        <v>0.28939999999999999</v>
      </c>
      <c r="D15" s="82">
        <v>7.18</v>
      </c>
      <c r="E15" s="82">
        <v>22.2</v>
      </c>
      <c r="F15" s="82">
        <v>8.67</v>
      </c>
      <c r="G15" s="89"/>
      <c r="K15" s="172"/>
      <c r="L15" s="173"/>
      <c r="M15" s="174"/>
      <c r="N15" s="175"/>
      <c r="O15" s="170"/>
    </row>
    <row r="16" spans="1:22" ht="13" x14ac:dyDescent="0.3">
      <c r="A16" s="121" t="s">
        <v>179</v>
      </c>
      <c r="B16" s="137"/>
      <c r="C16" s="82">
        <v>0.28939999999999999</v>
      </c>
      <c r="D16" s="82">
        <v>7.17</v>
      </c>
      <c r="E16" s="82">
        <v>22.2</v>
      </c>
      <c r="F16" s="82">
        <v>8.67</v>
      </c>
      <c r="G16" s="89"/>
      <c r="H16" s="440" t="s">
        <v>547</v>
      </c>
      <c r="I16" s="333">
        <f>AVERAGE(F8:F20)</f>
        <v>8.6584615384615375</v>
      </c>
      <c r="K16" s="163"/>
      <c r="L16" s="28"/>
      <c r="M16" s="165"/>
      <c r="N16" s="166"/>
      <c r="O16" s="167"/>
    </row>
    <row r="17" spans="1:20" ht="13" x14ac:dyDescent="0.3">
      <c r="A17" s="121" t="s">
        <v>180</v>
      </c>
      <c r="B17" s="137"/>
      <c r="C17" s="82">
        <v>0.28939999999999999</v>
      </c>
      <c r="D17" s="312">
        <v>6.95</v>
      </c>
      <c r="E17" s="82">
        <v>22.2</v>
      </c>
      <c r="F17" s="82">
        <v>8.66</v>
      </c>
      <c r="G17" s="89"/>
      <c r="H17" s="440" t="s">
        <v>546</v>
      </c>
      <c r="I17" s="441">
        <f>AVERAGE(C8:C22)</f>
        <v>0.28850666666666669</v>
      </c>
      <c r="J17" s="169"/>
      <c r="K17" s="163"/>
      <c r="L17" s="11"/>
      <c r="M17" s="165"/>
      <c r="N17" s="166"/>
      <c r="O17" s="170"/>
    </row>
    <row r="18" spans="1:20" ht="13" x14ac:dyDescent="0.3">
      <c r="A18" s="121" t="s">
        <v>181</v>
      </c>
      <c r="B18" s="82"/>
      <c r="C18" s="82">
        <v>0.28960000000000002</v>
      </c>
      <c r="D18" s="312">
        <v>6.96</v>
      </c>
      <c r="E18" s="82">
        <v>22.2</v>
      </c>
      <c r="F18" s="82">
        <v>8.6199999999999992</v>
      </c>
      <c r="G18" s="89"/>
      <c r="I18" s="168"/>
      <c r="J18" s="169"/>
      <c r="K18" s="172"/>
      <c r="L18" s="173"/>
      <c r="M18" s="174"/>
      <c r="N18" s="175"/>
      <c r="O18" s="170"/>
    </row>
    <row r="19" spans="1:20" ht="13" x14ac:dyDescent="0.3">
      <c r="A19" s="121" t="s">
        <v>182</v>
      </c>
      <c r="B19" s="82"/>
      <c r="C19" s="82">
        <v>0.28970000000000001</v>
      </c>
      <c r="D19" s="312">
        <v>6.56</v>
      </c>
      <c r="E19" s="82">
        <v>22.1</v>
      </c>
      <c r="F19" s="82">
        <v>8.57</v>
      </c>
      <c r="G19" s="89"/>
      <c r="I19" s="168"/>
      <c r="J19" s="169"/>
      <c r="K19" s="172"/>
      <c r="L19" s="173"/>
      <c r="M19" s="174"/>
      <c r="N19" s="175"/>
      <c r="S19" s="149"/>
    </row>
    <row r="20" spans="1:20" ht="13" x14ac:dyDescent="0.3">
      <c r="A20" s="121" t="s">
        <v>183</v>
      </c>
      <c r="B20" s="82"/>
      <c r="C20" s="82">
        <v>0.28849999999999998</v>
      </c>
      <c r="D20" s="312">
        <v>6.55</v>
      </c>
      <c r="E20" s="82">
        <v>22</v>
      </c>
      <c r="F20" s="82">
        <v>8.5500000000000007</v>
      </c>
      <c r="G20" s="89"/>
      <c r="I20" s="168"/>
      <c r="J20" s="169"/>
      <c r="K20" s="172"/>
      <c r="L20" s="173"/>
      <c r="M20" s="174"/>
      <c r="N20" s="175"/>
      <c r="S20" s="447"/>
      <c r="T20" s="447"/>
    </row>
    <row r="21" spans="1:20" ht="13" x14ac:dyDescent="0.3">
      <c r="A21" s="121" t="s">
        <v>206</v>
      </c>
      <c r="B21" s="82"/>
      <c r="C21" s="82">
        <v>0.28689999999999999</v>
      </c>
      <c r="D21" s="312">
        <v>6.24</v>
      </c>
      <c r="E21" s="82">
        <v>21.9</v>
      </c>
      <c r="F21" s="82">
        <v>8.5</v>
      </c>
      <c r="G21" s="89"/>
      <c r="I21" s="168"/>
      <c r="J21" s="169"/>
      <c r="K21" s="172"/>
      <c r="L21" s="173"/>
      <c r="M21" s="174"/>
      <c r="N21" s="175"/>
      <c r="S21" s="86"/>
      <c r="T21" s="86"/>
    </row>
    <row r="22" spans="1:20" ht="13" x14ac:dyDescent="0.3">
      <c r="A22" s="121" t="s">
        <v>207</v>
      </c>
      <c r="B22" s="82"/>
      <c r="C22" s="82">
        <v>0.28210000000000002</v>
      </c>
      <c r="D22" s="82">
        <v>6.42</v>
      </c>
      <c r="E22" s="82">
        <v>21.5</v>
      </c>
      <c r="F22" s="82">
        <v>8.5</v>
      </c>
      <c r="G22" s="89"/>
      <c r="S22" s="86"/>
      <c r="T22" s="86"/>
    </row>
    <row r="23" spans="1:20" ht="13" x14ac:dyDescent="0.3">
      <c r="A23" s="121" t="s">
        <v>209</v>
      </c>
      <c r="B23" s="137">
        <v>0.40902777777777777</v>
      </c>
      <c r="C23" s="82">
        <v>0.99</v>
      </c>
      <c r="D23" s="82">
        <v>7.02</v>
      </c>
      <c r="E23" s="82">
        <v>16.2</v>
      </c>
      <c r="F23" s="186">
        <v>8.51</v>
      </c>
      <c r="G23" s="179"/>
      <c r="H23" s="20"/>
      <c r="S23" s="86"/>
      <c r="T23" s="86"/>
    </row>
    <row r="24" spans="1:20" ht="13" x14ac:dyDescent="0.3">
      <c r="A24" s="306" t="s">
        <v>210</v>
      </c>
      <c r="B24" s="137">
        <v>0.41388888888888892</v>
      </c>
      <c r="C24" s="82">
        <v>0.93</v>
      </c>
      <c r="D24" s="82">
        <v>6.96</v>
      </c>
      <c r="E24" s="82">
        <v>17.2</v>
      </c>
      <c r="F24" s="186">
        <v>8.43</v>
      </c>
      <c r="G24" s="179"/>
      <c r="H24" s="20"/>
      <c r="S24" s="86"/>
      <c r="T24" s="86"/>
    </row>
    <row r="25" spans="1:20" x14ac:dyDescent="0.25">
      <c r="A25" s="125" t="s">
        <v>11</v>
      </c>
      <c r="B25" s="193" t="s">
        <v>689</v>
      </c>
      <c r="C25" s="126"/>
      <c r="D25" s="126"/>
      <c r="E25" s="126"/>
      <c r="F25" s="126"/>
      <c r="G25" s="126"/>
      <c r="S25" s="86"/>
      <c r="T25" s="86"/>
    </row>
    <row r="26" spans="1:20" x14ac:dyDescent="0.25">
      <c r="A26" s="138"/>
      <c r="B26" s="20" t="s">
        <v>558</v>
      </c>
      <c r="D26" s="322"/>
      <c r="E26" s="322"/>
      <c r="F26" s="322"/>
      <c r="G26" s="322"/>
      <c r="S26" s="86"/>
      <c r="T26" s="86"/>
    </row>
    <row r="27" spans="1:20" x14ac:dyDescent="0.25">
      <c r="A27" s="138"/>
      <c r="B27" s="322"/>
      <c r="C27" s="322"/>
      <c r="D27" s="322"/>
      <c r="E27" s="322"/>
      <c r="F27" s="322"/>
      <c r="G27" s="322"/>
      <c r="S27" s="86"/>
      <c r="T27" s="86"/>
    </row>
    <row r="28" spans="1:20" ht="23" x14ac:dyDescent="0.25">
      <c r="A28" s="953" t="s">
        <v>127</v>
      </c>
      <c r="B28" s="954"/>
      <c r="C28" s="955"/>
      <c r="D28" s="953" t="s">
        <v>130</v>
      </c>
      <c r="E28" s="954"/>
      <c r="F28" s="955"/>
      <c r="G28" s="956" t="s">
        <v>31</v>
      </c>
      <c r="H28" s="956"/>
      <c r="J28" s="135" t="s">
        <v>187</v>
      </c>
      <c r="K28" s="135" t="s">
        <v>188</v>
      </c>
      <c r="L28" s="136" t="s">
        <v>189</v>
      </c>
      <c r="M28" s="135" t="s">
        <v>190</v>
      </c>
      <c r="N28" s="136" t="s">
        <v>191</v>
      </c>
      <c r="S28" s="86"/>
      <c r="T28" s="86"/>
    </row>
    <row r="29" spans="1:20" ht="15.5" x14ac:dyDescent="0.35">
      <c r="A29" s="518" t="s">
        <v>170</v>
      </c>
      <c r="B29" s="519">
        <v>0.36805555555555558</v>
      </c>
      <c r="C29" s="520">
        <v>0.66</v>
      </c>
      <c r="D29" s="518" t="s">
        <v>170</v>
      </c>
      <c r="E29" s="519">
        <v>0.38194444444444442</v>
      </c>
      <c r="F29" s="521">
        <v>3.8</v>
      </c>
      <c r="G29" s="518" t="s">
        <v>170</v>
      </c>
      <c r="H29" s="519">
        <v>0.41111111111111115</v>
      </c>
      <c r="J29" s="132">
        <v>2</v>
      </c>
      <c r="K29" s="132">
        <v>0.26</v>
      </c>
      <c r="L29" s="132">
        <v>1.1000000000000001</v>
      </c>
      <c r="M29" s="132">
        <f>K29*2</f>
        <v>0.52</v>
      </c>
      <c r="N29" s="133">
        <f>L29*M29</f>
        <v>0.57200000000000006</v>
      </c>
      <c r="S29" s="86"/>
      <c r="T29" s="86"/>
    </row>
    <row r="30" spans="1:20" ht="15.5" x14ac:dyDescent="0.35">
      <c r="A30" s="518" t="s">
        <v>185</v>
      </c>
      <c r="B30" s="517">
        <v>8</v>
      </c>
      <c r="C30" s="522"/>
      <c r="D30" s="518" t="s">
        <v>185</v>
      </c>
      <c r="E30" s="520">
        <v>19</v>
      </c>
      <c r="F30" s="522"/>
      <c r="G30" s="518" t="s">
        <v>185</v>
      </c>
      <c r="H30" s="520">
        <v>50</v>
      </c>
      <c r="I30" s="512"/>
      <c r="J30" s="132">
        <v>4</v>
      </c>
      <c r="K30" s="132">
        <v>1.02</v>
      </c>
      <c r="L30" s="132">
        <v>0.9</v>
      </c>
      <c r="M30" s="132">
        <f>K30*2</f>
        <v>2.04</v>
      </c>
      <c r="N30" s="133">
        <f>L30*M30</f>
        <v>1.8360000000000001</v>
      </c>
      <c r="S30" s="86"/>
      <c r="T30" s="86"/>
    </row>
    <row r="31" spans="1:20" ht="15.5" x14ac:dyDescent="0.35">
      <c r="A31" s="523" t="s">
        <v>186</v>
      </c>
      <c r="B31" s="957" t="s">
        <v>644</v>
      </c>
      <c r="C31" s="957"/>
      <c r="D31" s="523" t="s">
        <v>186</v>
      </c>
      <c r="E31" s="957" t="s">
        <v>639</v>
      </c>
      <c r="F31" s="957"/>
      <c r="G31" s="523" t="s">
        <v>186</v>
      </c>
      <c r="H31" s="524" t="s">
        <v>330</v>
      </c>
      <c r="J31" s="132">
        <v>6</v>
      </c>
      <c r="K31" s="132">
        <v>0.98</v>
      </c>
      <c r="L31" s="132">
        <v>1.5</v>
      </c>
      <c r="M31" s="132">
        <f>K31*2</f>
        <v>1.96</v>
      </c>
      <c r="N31" s="133">
        <f t="shared" ref="N31:N38" si="0">L31*M31</f>
        <v>2.94</v>
      </c>
    </row>
    <row r="32" spans="1:20" ht="24" x14ac:dyDescent="0.35">
      <c r="A32" s="313" t="s">
        <v>187</v>
      </c>
      <c r="B32" s="313" t="s">
        <v>188</v>
      </c>
      <c r="C32" s="314" t="s">
        <v>189</v>
      </c>
      <c r="D32" s="313" t="s">
        <v>187</v>
      </c>
      <c r="E32" s="313" t="s">
        <v>188</v>
      </c>
      <c r="F32" s="314" t="s">
        <v>189</v>
      </c>
      <c r="G32" s="313" t="s">
        <v>188</v>
      </c>
      <c r="H32" s="314" t="s">
        <v>189</v>
      </c>
      <c r="J32" s="132">
        <v>8</v>
      </c>
      <c r="K32" s="132">
        <v>0.6</v>
      </c>
      <c r="L32" s="132">
        <v>0.8</v>
      </c>
      <c r="M32" s="132">
        <f>K32*2</f>
        <v>1.2</v>
      </c>
      <c r="N32" s="133">
        <f t="shared" si="0"/>
        <v>0.96</v>
      </c>
    </row>
    <row r="33" spans="1:14" ht="15.5" x14ac:dyDescent="0.35">
      <c r="A33" s="152">
        <v>2</v>
      </c>
      <c r="B33" s="132">
        <v>0.25</v>
      </c>
      <c r="C33" s="132">
        <v>0.2</v>
      </c>
      <c r="D33" s="152">
        <v>2</v>
      </c>
      <c r="E33" s="132">
        <v>0.52</v>
      </c>
      <c r="F33" s="132">
        <v>0.2</v>
      </c>
      <c r="G33" s="947" t="s">
        <v>31</v>
      </c>
      <c r="H33" s="947"/>
      <c r="J33" s="132">
        <v>10</v>
      </c>
      <c r="K33" s="132">
        <v>0.75</v>
      </c>
      <c r="L33" s="132">
        <v>0.4</v>
      </c>
      <c r="M33" s="132">
        <f t="shared" ref="M33:M38" si="1">K33*2</f>
        <v>1.5</v>
      </c>
      <c r="N33" s="133">
        <f t="shared" si="0"/>
        <v>0.60000000000000009</v>
      </c>
    </row>
    <row r="34" spans="1:14" ht="15.5" x14ac:dyDescent="0.35">
      <c r="A34" s="152">
        <v>4</v>
      </c>
      <c r="B34" s="132">
        <v>0.2</v>
      </c>
      <c r="C34" s="132">
        <v>0.2</v>
      </c>
      <c r="D34" s="152">
        <v>4</v>
      </c>
      <c r="E34" s="132">
        <v>1.02</v>
      </c>
      <c r="F34" s="132">
        <v>0.9</v>
      </c>
      <c r="G34" s="132">
        <v>0.11</v>
      </c>
      <c r="H34" s="133">
        <v>1.4</v>
      </c>
      <c r="I34" s="444">
        <v>7.7</v>
      </c>
      <c r="J34" s="132">
        <v>12</v>
      </c>
      <c r="K34" s="134">
        <v>0.75</v>
      </c>
      <c r="L34" s="132">
        <v>2.1</v>
      </c>
      <c r="M34" s="132">
        <f t="shared" si="1"/>
        <v>1.5</v>
      </c>
      <c r="N34" s="133">
        <f t="shared" si="0"/>
        <v>3.1500000000000004</v>
      </c>
    </row>
    <row r="35" spans="1:14" ht="15.5" x14ac:dyDescent="0.35">
      <c r="A35" s="152">
        <v>6</v>
      </c>
      <c r="B35" s="132">
        <v>0.31</v>
      </c>
      <c r="C35" s="132">
        <v>0.8</v>
      </c>
      <c r="D35" s="331">
        <v>6</v>
      </c>
      <c r="E35" s="132">
        <v>0.98</v>
      </c>
      <c r="F35" s="132">
        <v>1.5</v>
      </c>
      <c r="G35" s="948" t="s">
        <v>196</v>
      </c>
      <c r="H35" s="949"/>
      <c r="I35" s="158"/>
      <c r="J35" s="132">
        <v>14</v>
      </c>
      <c r="K35" s="134">
        <v>0.75</v>
      </c>
      <c r="L35" s="134">
        <v>0.6</v>
      </c>
      <c r="M35" s="132">
        <f t="shared" si="1"/>
        <v>1.5</v>
      </c>
      <c r="N35" s="133">
        <f t="shared" si="0"/>
        <v>0.89999999999999991</v>
      </c>
    </row>
    <row r="36" spans="1:14" ht="15.5" x14ac:dyDescent="0.35">
      <c r="A36" s="152">
        <v>8</v>
      </c>
      <c r="B36" s="132">
        <v>0.25</v>
      </c>
      <c r="C36" s="132">
        <v>0.2</v>
      </c>
      <c r="D36" s="152">
        <v>8</v>
      </c>
      <c r="E36" s="132">
        <v>0.6</v>
      </c>
      <c r="F36" s="132">
        <v>0.8</v>
      </c>
      <c r="G36" s="132" t="s">
        <v>687</v>
      </c>
      <c r="H36" s="133">
        <v>0.8</v>
      </c>
      <c r="I36" s="444">
        <v>0.67</v>
      </c>
      <c r="J36" s="132">
        <v>16</v>
      </c>
      <c r="K36" s="134">
        <v>0.45</v>
      </c>
      <c r="L36" s="134">
        <v>0.4</v>
      </c>
      <c r="M36" s="132">
        <f>K36*3</f>
        <v>1.35</v>
      </c>
      <c r="N36" s="133">
        <f t="shared" si="0"/>
        <v>0.54</v>
      </c>
    </row>
    <row r="37" spans="1:14" ht="15.5" x14ac:dyDescent="0.35">
      <c r="A37" s="152">
        <v>12</v>
      </c>
      <c r="B37" s="132"/>
      <c r="C37" s="132"/>
      <c r="D37" s="152">
        <v>10</v>
      </c>
      <c r="E37" s="132">
        <v>0.75</v>
      </c>
      <c r="F37" s="132">
        <v>0.4</v>
      </c>
      <c r="G37" s="132" t="s">
        <v>197</v>
      </c>
      <c r="H37" s="133"/>
      <c r="I37" s="158"/>
      <c r="J37" s="132">
        <v>18</v>
      </c>
      <c r="K37" s="82">
        <v>0.35</v>
      </c>
      <c r="L37" s="194">
        <v>0.4</v>
      </c>
      <c r="M37" s="132">
        <f t="shared" si="1"/>
        <v>0.7</v>
      </c>
      <c r="N37" s="133">
        <f t="shared" si="0"/>
        <v>0.27999999999999997</v>
      </c>
    </row>
    <row r="38" spans="1:14" ht="15.5" x14ac:dyDescent="0.35">
      <c r="A38" s="123"/>
      <c r="B38" s="132"/>
      <c r="C38" s="132"/>
      <c r="D38" s="152">
        <v>12</v>
      </c>
      <c r="E38" s="134">
        <v>0.75</v>
      </c>
      <c r="F38" s="132">
        <v>2.1</v>
      </c>
      <c r="G38" s="132" t="s">
        <v>688</v>
      </c>
      <c r="H38" s="133">
        <v>1.1000000000000001</v>
      </c>
      <c r="I38" s="445">
        <v>0.56999999999999995</v>
      </c>
      <c r="J38" s="132">
        <v>20</v>
      </c>
      <c r="K38" s="132"/>
      <c r="L38" s="132"/>
      <c r="M38" s="132">
        <f t="shared" si="1"/>
        <v>0</v>
      </c>
      <c r="N38" s="133">
        <f t="shared" si="0"/>
        <v>0</v>
      </c>
    </row>
    <row r="39" spans="1:14" ht="15.5" x14ac:dyDescent="0.35">
      <c r="C39" s="443">
        <v>0.78</v>
      </c>
      <c r="D39" s="152">
        <v>14</v>
      </c>
      <c r="E39" s="134">
        <v>0.75</v>
      </c>
      <c r="F39" s="134">
        <v>0.6</v>
      </c>
      <c r="N39" s="6">
        <f>SUM(N29:N38)</f>
        <v>11.778</v>
      </c>
    </row>
    <row r="40" spans="1:14" ht="15.5" x14ac:dyDescent="0.35">
      <c r="A40" s="319"/>
      <c r="D40" s="152">
        <v>16</v>
      </c>
      <c r="E40" s="134">
        <v>0.45</v>
      </c>
      <c r="F40" s="134">
        <v>0.4</v>
      </c>
    </row>
    <row r="41" spans="1:14" ht="15.5" x14ac:dyDescent="0.35">
      <c r="A41" s="319"/>
      <c r="D41" s="152">
        <v>18</v>
      </c>
      <c r="E41" s="82">
        <v>0.35</v>
      </c>
      <c r="F41" s="194">
        <v>0.4</v>
      </c>
    </row>
    <row r="42" spans="1:14" ht="15.5" x14ac:dyDescent="0.35">
      <c r="F42" s="366">
        <v>11.41</v>
      </c>
    </row>
    <row r="43" spans="1:14" ht="14" x14ac:dyDescent="0.3">
      <c r="A43" s="129" t="s">
        <v>211</v>
      </c>
      <c r="C43" s="11" t="s">
        <v>212</v>
      </c>
      <c r="D43" s="148">
        <v>40777</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v>0.45208333333333334</v>
      </c>
      <c r="C45" s="225">
        <v>0.29099999999999998</v>
      </c>
      <c r="D45" s="225">
        <v>7.54</v>
      </c>
      <c r="E45" s="515">
        <v>22.7</v>
      </c>
      <c r="F45" s="225">
        <v>8.8000000000000007</v>
      </c>
      <c r="G45" s="128">
        <v>2.15</v>
      </c>
      <c r="H45" s="82">
        <v>8.1</v>
      </c>
    </row>
    <row r="46" spans="1:14" ht="14" x14ac:dyDescent="0.3">
      <c r="A46" s="121" t="s">
        <v>175</v>
      </c>
      <c r="B46" s="82"/>
      <c r="C46" s="225">
        <v>0.29060000000000002</v>
      </c>
      <c r="D46" s="225">
        <v>7.4</v>
      </c>
      <c r="E46" s="515">
        <v>22.6</v>
      </c>
      <c r="F46" s="225">
        <v>8.7799999999999994</v>
      </c>
      <c r="G46" s="89"/>
    </row>
    <row r="47" spans="1:14" ht="14" x14ac:dyDescent="0.3">
      <c r="A47" s="121" t="s">
        <v>507</v>
      </c>
      <c r="B47" s="82"/>
      <c r="C47" s="225">
        <v>0.2908</v>
      </c>
      <c r="D47" s="225">
        <v>6.99</v>
      </c>
      <c r="E47" s="515">
        <v>22.4</v>
      </c>
      <c r="F47" s="225">
        <v>8.76</v>
      </c>
      <c r="G47" s="89"/>
      <c r="H47" s="176" t="s">
        <v>521</v>
      </c>
      <c r="I47" s="442">
        <f>AVERAGE(E45:E48)</f>
        <v>22.499999999999996</v>
      </c>
    </row>
    <row r="48" spans="1:14" ht="14" x14ac:dyDescent="0.3">
      <c r="A48" s="121" t="s">
        <v>176</v>
      </c>
      <c r="B48" s="82"/>
      <c r="C48" s="429">
        <v>0.29099999999999998</v>
      </c>
      <c r="D48" s="225">
        <v>7.38</v>
      </c>
      <c r="E48" s="515">
        <v>22.3</v>
      </c>
      <c r="F48" s="225">
        <v>8.7200000000000006</v>
      </c>
      <c r="G48" s="89"/>
      <c r="H48" s="20" t="s">
        <v>599</v>
      </c>
      <c r="I48" s="442">
        <f>AVERAGE(E45:E54)</f>
        <v>22.329999999999991</v>
      </c>
    </row>
    <row r="49" spans="1:10" ht="14" x14ac:dyDescent="0.3">
      <c r="A49" s="121" t="s">
        <v>508</v>
      </c>
      <c r="B49" s="82"/>
      <c r="C49" s="225">
        <v>0.2908</v>
      </c>
      <c r="D49" s="225">
        <v>6.97</v>
      </c>
      <c r="E49" s="515">
        <v>22.3</v>
      </c>
      <c r="F49" s="225">
        <v>8.6999999999999993</v>
      </c>
      <c r="G49" s="89"/>
      <c r="H49" s="168"/>
      <c r="I49" s="169"/>
    </row>
    <row r="50" spans="1:10" ht="14" x14ac:dyDescent="0.3">
      <c r="A50" s="121" t="s">
        <v>177</v>
      </c>
      <c r="B50" s="82"/>
      <c r="C50" s="225">
        <v>0.2908</v>
      </c>
      <c r="D50" s="225">
        <v>6.9</v>
      </c>
      <c r="E50" s="515">
        <v>22.2</v>
      </c>
      <c r="F50" s="225">
        <v>8.67</v>
      </c>
      <c r="G50" s="89"/>
      <c r="H50" s="440" t="s">
        <v>600</v>
      </c>
      <c r="I50" s="333">
        <f>AVERAGE(D45:D53)</f>
        <v>7.0955555555555545</v>
      </c>
    </row>
    <row r="51" spans="1:10" ht="14" x14ac:dyDescent="0.3">
      <c r="A51" s="121" t="s">
        <v>509</v>
      </c>
      <c r="B51" s="82"/>
      <c r="C51" s="225">
        <v>0.29099999999999998</v>
      </c>
      <c r="D51" s="225">
        <v>6.9</v>
      </c>
      <c r="E51" s="515">
        <v>22.2</v>
      </c>
      <c r="F51" s="564">
        <v>8.66</v>
      </c>
      <c r="G51" s="89"/>
      <c r="H51" s="440" t="s">
        <v>526</v>
      </c>
      <c r="I51" s="333">
        <f>AVERAGE(D45:D48)</f>
        <v>7.3274999999999997</v>
      </c>
    </row>
    <row r="52" spans="1:10" ht="14" x14ac:dyDescent="0.3">
      <c r="A52" s="121" t="s">
        <v>178</v>
      </c>
      <c r="B52" s="82"/>
      <c r="C52" s="225">
        <v>0.29120000000000001</v>
      </c>
      <c r="D52" s="225">
        <v>6.91</v>
      </c>
      <c r="E52" s="515">
        <v>22.2</v>
      </c>
      <c r="F52" s="564">
        <v>8.66</v>
      </c>
      <c r="G52" s="89"/>
    </row>
    <row r="53" spans="1:10" ht="14" x14ac:dyDescent="0.3">
      <c r="A53" s="121" t="s">
        <v>179</v>
      </c>
      <c r="B53" s="82"/>
      <c r="C53" s="225">
        <v>0.29099999999999998</v>
      </c>
      <c r="D53" s="225">
        <v>6.87</v>
      </c>
      <c r="E53" s="515">
        <v>22.2</v>
      </c>
      <c r="F53" s="225">
        <v>8.69</v>
      </c>
      <c r="G53" s="89"/>
    </row>
    <row r="54" spans="1:10" ht="14" x14ac:dyDescent="0.3">
      <c r="A54" s="121" t="s">
        <v>180</v>
      </c>
      <c r="B54" s="82"/>
      <c r="C54" s="225">
        <v>0.29220000000000002</v>
      </c>
      <c r="D54" s="225">
        <v>6.44</v>
      </c>
      <c r="E54" s="515">
        <v>22.2</v>
      </c>
      <c r="F54" s="225">
        <v>8.69</v>
      </c>
      <c r="G54" s="89"/>
    </row>
    <row r="55" spans="1:10" ht="14" x14ac:dyDescent="0.3">
      <c r="A55" s="121" t="s">
        <v>181</v>
      </c>
      <c r="B55" s="137"/>
      <c r="C55" s="225">
        <v>0.29320000000000002</v>
      </c>
      <c r="D55" s="225">
        <v>6.21</v>
      </c>
      <c r="E55" s="515">
        <v>22.2</v>
      </c>
      <c r="F55" s="225">
        <v>8.61</v>
      </c>
      <c r="G55" s="89"/>
    </row>
    <row r="56" spans="1:10" ht="14" x14ac:dyDescent="0.3">
      <c r="A56" s="121" t="s">
        <v>182</v>
      </c>
      <c r="B56" s="137"/>
      <c r="C56" s="225">
        <v>0.29320000000000002</v>
      </c>
      <c r="D56" s="225">
        <v>5.0999999999999996</v>
      </c>
      <c r="E56" s="515">
        <v>22.1</v>
      </c>
      <c r="F56" s="225">
        <v>8.17</v>
      </c>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v>0.46597222222222223</v>
      </c>
      <c r="C59" s="515">
        <v>0.2908</v>
      </c>
      <c r="D59" s="515">
        <v>7.74</v>
      </c>
      <c r="E59" s="225">
        <v>22.8</v>
      </c>
      <c r="F59" s="515">
        <v>8.8699999999999992</v>
      </c>
      <c r="G59" s="128">
        <v>2.1</v>
      </c>
      <c r="H59" s="82">
        <v>5.2</v>
      </c>
    </row>
    <row r="60" spans="1:10" ht="14" x14ac:dyDescent="0.3">
      <c r="A60" s="121" t="s">
        <v>175</v>
      </c>
      <c r="C60" s="515">
        <v>0.29049999999999998</v>
      </c>
      <c r="D60" s="515">
        <v>7.4</v>
      </c>
      <c r="E60" s="225">
        <v>22.5</v>
      </c>
      <c r="F60" s="515">
        <v>8.77</v>
      </c>
      <c r="G60" s="89"/>
    </row>
    <row r="61" spans="1:10" ht="14" x14ac:dyDescent="0.3">
      <c r="A61" s="121" t="s">
        <v>507</v>
      </c>
      <c r="B61" s="82"/>
      <c r="C61" s="82">
        <v>0.2903</v>
      </c>
      <c r="D61" s="515">
        <v>7.45</v>
      </c>
      <c r="E61" s="225">
        <v>22.4</v>
      </c>
      <c r="F61" s="515">
        <v>8.6999999999999993</v>
      </c>
      <c r="G61" s="89"/>
      <c r="H61" s="176" t="s">
        <v>521</v>
      </c>
      <c r="I61" s="442">
        <f>AVERAGE(E59:E62)</f>
        <v>22.499999999999996</v>
      </c>
    </row>
    <row r="62" spans="1:10" ht="14" x14ac:dyDescent="0.3">
      <c r="A62" s="121" t="s">
        <v>176</v>
      </c>
      <c r="B62" s="82"/>
      <c r="C62" s="515">
        <v>0.29039999999999999</v>
      </c>
      <c r="D62" s="515">
        <v>6.75</v>
      </c>
      <c r="E62" s="225">
        <v>22.3</v>
      </c>
      <c r="F62" s="515">
        <v>8.69</v>
      </c>
      <c r="G62" s="89"/>
      <c r="H62" s="20" t="s">
        <v>601</v>
      </c>
      <c r="I62" s="442">
        <f>AVERAGE(E59:E70)</f>
        <v>22.355555555555554</v>
      </c>
    </row>
    <row r="63" spans="1:10" ht="14" x14ac:dyDescent="0.3">
      <c r="A63" s="121" t="s">
        <v>508</v>
      </c>
      <c r="B63" s="82"/>
      <c r="C63" s="454">
        <v>0.29099999999999998</v>
      </c>
      <c r="D63" s="454">
        <v>6.9</v>
      </c>
      <c r="E63" s="225">
        <v>22.3</v>
      </c>
      <c r="F63" s="515">
        <v>8.6999999999999993</v>
      </c>
      <c r="G63" s="89"/>
      <c r="H63" s="168"/>
      <c r="I63" s="169"/>
    </row>
    <row r="64" spans="1:10" ht="14" x14ac:dyDescent="0.3">
      <c r="A64" s="121" t="s">
        <v>177</v>
      </c>
      <c r="B64" s="82"/>
      <c r="C64" s="515">
        <v>0.29039999999999999</v>
      </c>
      <c r="D64" s="515">
        <v>6.82</v>
      </c>
      <c r="E64" s="225">
        <v>22.3</v>
      </c>
      <c r="F64" s="515">
        <v>8.68</v>
      </c>
      <c r="G64" s="89"/>
      <c r="H64" s="440" t="s">
        <v>602</v>
      </c>
      <c r="I64" s="333">
        <f>AVERAGE(D59:D70)</f>
        <v>6.9455555555555559</v>
      </c>
    </row>
    <row r="65" spans="1:9" ht="14" x14ac:dyDescent="0.3">
      <c r="A65" s="121" t="s">
        <v>509</v>
      </c>
      <c r="B65" s="82"/>
      <c r="C65" s="515">
        <v>0.29020000000000001</v>
      </c>
      <c r="D65" s="515">
        <v>6.7</v>
      </c>
      <c r="E65" s="225">
        <v>22.3</v>
      </c>
      <c r="F65" s="515">
        <v>8.6300000000000008</v>
      </c>
      <c r="G65" s="89"/>
      <c r="H65" s="440" t="s">
        <v>526</v>
      </c>
      <c r="I65" s="333">
        <f>AVERAGE(D59:D62)</f>
        <v>7.335</v>
      </c>
    </row>
    <row r="66" spans="1:9" ht="14" x14ac:dyDescent="0.3">
      <c r="A66" s="121" t="s">
        <v>178</v>
      </c>
      <c r="B66" s="82"/>
      <c r="C66" s="515">
        <v>0.29049999999999998</v>
      </c>
      <c r="D66" s="515">
        <v>6.58</v>
      </c>
      <c r="E66" s="225">
        <v>22.2</v>
      </c>
      <c r="F66" s="515">
        <v>8.64</v>
      </c>
      <c r="G66" s="89"/>
    </row>
    <row r="67" spans="1:9" ht="14" x14ac:dyDescent="0.3">
      <c r="A67" s="121" t="s">
        <v>179</v>
      </c>
      <c r="B67" s="82"/>
      <c r="C67" s="515">
        <v>0.29010000000000002</v>
      </c>
      <c r="D67" s="515">
        <v>6.17</v>
      </c>
      <c r="E67" s="225">
        <v>22.1</v>
      </c>
      <c r="F67" s="515">
        <v>8.5500000000000007</v>
      </c>
      <c r="G67" s="89"/>
    </row>
    <row r="68" spans="1:9" ht="14" x14ac:dyDescent="0.3">
      <c r="A68" s="306" t="s">
        <v>180</v>
      </c>
      <c r="B68" s="137"/>
      <c r="C68" s="515"/>
      <c r="D68" s="515"/>
      <c r="E68" s="225"/>
      <c r="F68" s="515"/>
      <c r="G68" s="89"/>
    </row>
    <row r="69" spans="1:9" ht="14" x14ac:dyDescent="0.3">
      <c r="A69" s="306" t="s">
        <v>181</v>
      </c>
      <c r="B69" s="137"/>
      <c r="C69" s="515"/>
      <c r="D69" s="515"/>
      <c r="E69" s="225"/>
      <c r="F69" s="515"/>
      <c r="G69" s="89"/>
    </row>
    <row r="70" spans="1:9" ht="14" x14ac:dyDescent="0.3">
      <c r="A70" s="306" t="s">
        <v>182</v>
      </c>
      <c r="B70" s="137"/>
      <c r="C70" s="515"/>
      <c r="D70" s="515"/>
      <c r="E70" s="225"/>
      <c r="F70" s="515"/>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v>0.47986111111111113</v>
      </c>
      <c r="C73" s="515">
        <v>0.29049999999999998</v>
      </c>
      <c r="D73" s="515">
        <v>7.88</v>
      </c>
      <c r="E73" s="515">
        <v>22.9</v>
      </c>
      <c r="F73" s="515">
        <v>8.84</v>
      </c>
      <c r="G73" s="128">
        <v>1.8</v>
      </c>
      <c r="H73" s="82">
        <v>3.4</v>
      </c>
    </row>
    <row r="74" spans="1:9" ht="13" x14ac:dyDescent="0.3">
      <c r="A74" s="121" t="s">
        <v>175</v>
      </c>
      <c r="B74" s="82"/>
      <c r="C74" s="515">
        <v>0.29020000000000001</v>
      </c>
      <c r="D74" s="515">
        <v>7.16</v>
      </c>
      <c r="E74" s="515">
        <v>22.8</v>
      </c>
      <c r="F74" s="515">
        <v>8.85</v>
      </c>
      <c r="G74" s="89"/>
    </row>
    <row r="75" spans="1:9" ht="13" x14ac:dyDescent="0.3">
      <c r="A75" s="121" t="s">
        <v>507</v>
      </c>
      <c r="B75" s="82"/>
      <c r="C75" s="515">
        <v>0.29039999999999999</v>
      </c>
      <c r="D75" s="515">
        <v>8.1999999999999993</v>
      </c>
      <c r="E75" s="515">
        <v>22.8</v>
      </c>
      <c r="F75" s="515">
        <v>8.84</v>
      </c>
      <c r="G75" s="89"/>
      <c r="H75" s="176" t="s">
        <v>521</v>
      </c>
      <c r="I75" s="442">
        <f>AVERAGE(E72:E75)</f>
        <v>22.833333333333332</v>
      </c>
    </row>
    <row r="76" spans="1:9" ht="13" x14ac:dyDescent="0.3">
      <c r="A76" s="121" t="s">
        <v>176</v>
      </c>
      <c r="B76" s="82"/>
      <c r="C76" s="515">
        <v>0.29039999999999999</v>
      </c>
      <c r="D76" s="515">
        <v>7.72</v>
      </c>
      <c r="E76" s="515">
        <v>22.7</v>
      </c>
      <c r="F76" s="515">
        <v>8.85</v>
      </c>
      <c r="G76" s="89"/>
      <c r="H76" s="20" t="s">
        <v>604</v>
      </c>
      <c r="I76" s="442">
        <f>AVERAGE(E72:E82)</f>
        <v>22.7</v>
      </c>
    </row>
    <row r="77" spans="1:9" ht="13" x14ac:dyDescent="0.3">
      <c r="A77" s="121" t="s">
        <v>508</v>
      </c>
      <c r="B77" s="82"/>
      <c r="C77" s="515">
        <v>0.2903</v>
      </c>
      <c r="D77" s="515">
        <v>7.61</v>
      </c>
      <c r="E77" s="515">
        <v>22.7</v>
      </c>
      <c r="F77" s="515">
        <v>8.84</v>
      </c>
      <c r="G77" s="89"/>
      <c r="H77" s="168"/>
      <c r="I77" s="169"/>
    </row>
    <row r="78" spans="1:9" ht="13" x14ac:dyDescent="0.3">
      <c r="A78" s="121" t="s">
        <v>177</v>
      </c>
      <c r="B78" s="82"/>
      <c r="C78" s="515">
        <v>0.29060000000000002</v>
      </c>
      <c r="D78" s="515">
        <v>7.69</v>
      </c>
      <c r="E78" s="515">
        <v>22.7</v>
      </c>
      <c r="F78" s="515">
        <v>8.82</v>
      </c>
      <c r="G78" s="89"/>
      <c r="H78" s="440" t="s">
        <v>603</v>
      </c>
      <c r="I78" s="333">
        <f>AVERAGE(D72:D86)</f>
        <v>7.556</v>
      </c>
    </row>
    <row r="79" spans="1:9" ht="13" x14ac:dyDescent="0.3">
      <c r="A79" s="121" t="s">
        <v>509</v>
      </c>
      <c r="B79" s="82"/>
      <c r="C79" s="515">
        <v>0.29149999999999998</v>
      </c>
      <c r="D79" s="515">
        <v>6.27</v>
      </c>
      <c r="E79" s="515">
        <v>22.3</v>
      </c>
      <c r="F79" s="515">
        <v>8.5500000000000007</v>
      </c>
      <c r="G79" s="89"/>
      <c r="H79" s="440" t="s">
        <v>526</v>
      </c>
      <c r="I79" s="333">
        <f>AVERAGE(D72:D75)</f>
        <v>7.7466666666666661</v>
      </c>
    </row>
    <row r="80" spans="1:9" ht="13" x14ac:dyDescent="0.3">
      <c r="A80" s="121" t="s">
        <v>178</v>
      </c>
      <c r="B80" s="82"/>
      <c r="C80" s="515"/>
      <c r="D80" s="515"/>
      <c r="E80" s="515"/>
      <c r="F80" s="515"/>
      <c r="G80" s="89"/>
    </row>
    <row r="81" spans="1:9" ht="13" x14ac:dyDescent="0.3">
      <c r="A81" s="121" t="s">
        <v>179</v>
      </c>
      <c r="B81" s="82"/>
      <c r="C81" s="515"/>
      <c r="D81" s="515"/>
      <c r="E81" s="515"/>
      <c r="F81" s="515"/>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v>11.43</v>
      </c>
      <c r="C84" s="515">
        <v>0.2903</v>
      </c>
      <c r="D84" s="310">
        <v>8</v>
      </c>
      <c r="E84" s="85">
        <v>22.9</v>
      </c>
      <c r="F84" s="310">
        <v>8.7899999999999991</v>
      </c>
      <c r="G84" s="186">
        <v>1.9</v>
      </c>
      <c r="H84" s="82">
        <v>6.25</v>
      </c>
    </row>
    <row r="85" spans="1:9" ht="13" x14ac:dyDescent="0.3">
      <c r="A85" s="121" t="s">
        <v>175</v>
      </c>
      <c r="B85" s="82"/>
      <c r="C85" s="515">
        <v>0.2898</v>
      </c>
      <c r="D85" s="310">
        <v>7.65</v>
      </c>
      <c r="E85" s="85">
        <v>22.8</v>
      </c>
      <c r="F85" s="310">
        <v>8.7799999999999994</v>
      </c>
      <c r="G85" s="89"/>
    </row>
    <row r="86" spans="1:9" ht="13" x14ac:dyDescent="0.3">
      <c r="A86" s="121" t="s">
        <v>507</v>
      </c>
      <c r="B86" s="82"/>
      <c r="C86" s="515">
        <v>0.28960000000000002</v>
      </c>
      <c r="D86" s="310">
        <v>7.38</v>
      </c>
      <c r="E86" s="85">
        <v>22.7</v>
      </c>
      <c r="F86" s="310">
        <v>8.81</v>
      </c>
      <c r="G86" s="89"/>
      <c r="H86" s="176" t="s">
        <v>521</v>
      </c>
      <c r="I86" s="442">
        <f>AVERAGE(E84:E87)</f>
        <v>22.775000000000002</v>
      </c>
    </row>
    <row r="87" spans="1:9" ht="13" x14ac:dyDescent="0.3">
      <c r="A87" s="121" t="s">
        <v>176</v>
      </c>
      <c r="B87" s="82"/>
      <c r="C87" s="515">
        <v>0.28960000000000002</v>
      </c>
      <c r="D87" s="310">
        <v>7.54</v>
      </c>
      <c r="E87" s="85">
        <v>22.7</v>
      </c>
      <c r="F87" s="310">
        <v>8.8000000000000007</v>
      </c>
      <c r="G87" s="89"/>
      <c r="H87" s="20" t="s">
        <v>605</v>
      </c>
      <c r="I87" s="442">
        <f>AVERAGE(E84:E94)</f>
        <v>22.53</v>
      </c>
    </row>
    <row r="88" spans="1:9" ht="13" x14ac:dyDescent="0.3">
      <c r="A88" s="121" t="s">
        <v>508</v>
      </c>
      <c r="B88" s="82"/>
      <c r="C88" s="515">
        <v>0.28989999999999999</v>
      </c>
      <c r="D88" s="310">
        <v>7.53</v>
      </c>
      <c r="E88" s="85">
        <v>22.6</v>
      </c>
      <c r="F88" s="310">
        <v>8.82</v>
      </c>
      <c r="G88" s="89"/>
      <c r="H88" s="168"/>
      <c r="I88" s="169"/>
    </row>
    <row r="89" spans="1:9" ht="13" x14ac:dyDescent="0.3">
      <c r="A89" s="121" t="s">
        <v>177</v>
      </c>
      <c r="B89" s="82"/>
      <c r="C89" s="515">
        <v>0.2898</v>
      </c>
      <c r="D89" s="310">
        <v>7.55</v>
      </c>
      <c r="E89" s="85">
        <v>22.6</v>
      </c>
      <c r="F89" s="310">
        <v>8.82</v>
      </c>
      <c r="G89" s="89"/>
      <c r="H89" s="440" t="s">
        <v>606</v>
      </c>
      <c r="I89" s="333">
        <f>AVERAGE(D84:D94)</f>
        <v>7.5049999999999999</v>
      </c>
    </row>
    <row r="90" spans="1:9" ht="13" x14ac:dyDescent="0.3">
      <c r="A90" s="121" t="s">
        <v>509</v>
      </c>
      <c r="B90" s="82"/>
      <c r="C90" s="515">
        <v>0.2898</v>
      </c>
      <c r="D90" s="310">
        <v>7.62</v>
      </c>
      <c r="E90" s="85">
        <v>22.5</v>
      </c>
      <c r="F90" s="310">
        <v>8.83</v>
      </c>
      <c r="G90" s="89"/>
      <c r="H90" s="440" t="s">
        <v>526</v>
      </c>
      <c r="I90" s="333">
        <f>AVERAGE(D84:D87)</f>
        <v>7.6425000000000001</v>
      </c>
    </row>
    <row r="91" spans="1:9" ht="13" x14ac:dyDescent="0.3">
      <c r="A91" s="121" t="s">
        <v>178</v>
      </c>
      <c r="B91" s="82"/>
      <c r="C91" s="515">
        <v>0.28939999999999999</v>
      </c>
      <c r="D91" s="310">
        <v>7.6</v>
      </c>
      <c r="E91" s="85">
        <v>22.5</v>
      </c>
      <c r="F91" s="310">
        <v>8.83</v>
      </c>
      <c r="G91" s="89"/>
    </row>
    <row r="92" spans="1:9" ht="13" x14ac:dyDescent="0.3">
      <c r="A92" s="121" t="s">
        <v>179</v>
      </c>
      <c r="B92" s="82"/>
      <c r="C92" s="515">
        <v>0.28939999999999999</v>
      </c>
      <c r="D92" s="310">
        <v>7.37</v>
      </c>
      <c r="E92" s="85">
        <v>22.1</v>
      </c>
      <c r="F92" s="310">
        <v>8.85</v>
      </c>
      <c r="G92" s="89"/>
    </row>
    <row r="93" spans="1:9" ht="13" x14ac:dyDescent="0.3">
      <c r="A93" s="121" t="s">
        <v>180</v>
      </c>
      <c r="B93" s="82"/>
      <c r="C93" s="515">
        <v>0.28939999999999999</v>
      </c>
      <c r="D93" s="310">
        <v>6.81</v>
      </c>
      <c r="E93" s="85">
        <v>21.9</v>
      </c>
      <c r="F93" s="310">
        <v>8.7799999999999994</v>
      </c>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3:H33"/>
    <mergeCell ref="G35:H35"/>
    <mergeCell ref="A28:C28"/>
    <mergeCell ref="D28:F28"/>
    <mergeCell ref="G28:H28"/>
    <mergeCell ref="B31:C31"/>
    <mergeCell ref="E31:F31"/>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V95"/>
  <sheetViews>
    <sheetView workbookViewId="0">
      <selection activeCell="G8" sqref="G8"/>
    </sheetView>
  </sheetViews>
  <sheetFormatPr defaultRowHeight="12.5" x14ac:dyDescent="0.25"/>
  <cols>
    <col min="1" max="1" width="16.6328125" customWidth="1"/>
    <col min="2" max="2" width="10.08984375" bestFit="1" customWidth="1"/>
    <col min="4" max="4" width="11.54296875" customWidth="1"/>
    <col min="8" max="8" width="12" customWidth="1"/>
    <col min="9" max="9" width="16" customWidth="1"/>
    <col min="10" max="10" width="23.6328125" customWidth="1"/>
    <col min="11" max="11" width="14.90625" customWidth="1"/>
    <col min="20" max="20" width="16" bestFit="1" customWidth="1"/>
    <col min="21" max="21" width="9.08984375" bestFit="1" customWidth="1"/>
  </cols>
  <sheetData>
    <row r="1" spans="1:22" ht="14" x14ac:dyDescent="0.3">
      <c r="A1" s="129" t="s">
        <v>505</v>
      </c>
    </row>
    <row r="2" spans="1:22" ht="13" x14ac:dyDescent="0.3">
      <c r="A2" s="1" t="s">
        <v>168</v>
      </c>
      <c r="B2" s="148">
        <v>40798</v>
      </c>
      <c r="I2" s="1"/>
      <c r="J2" s="29"/>
      <c r="K2" s="160"/>
      <c r="L2" s="1"/>
      <c r="M2" s="1"/>
      <c r="N2" s="8"/>
      <c r="O2" s="159"/>
      <c r="T2" s="509" t="s">
        <v>246</v>
      </c>
      <c r="U2" s="510">
        <v>40798</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514">
        <v>4</v>
      </c>
    </row>
    <row r="4" spans="1:22" ht="13" x14ac:dyDescent="0.3">
      <c r="A4" s="91" t="s">
        <v>213</v>
      </c>
      <c r="B4" s="137">
        <v>0.40486111111111112</v>
      </c>
      <c r="C4" s="82">
        <v>1.83</v>
      </c>
      <c r="D4" s="82">
        <v>9.5500000000000007</v>
      </c>
      <c r="E4" s="82">
        <v>13.71</v>
      </c>
      <c r="F4" s="82">
        <v>8.1999999999999993</v>
      </c>
      <c r="G4" s="89"/>
      <c r="I4" s="168"/>
      <c r="J4" s="169"/>
      <c r="K4" s="163"/>
      <c r="L4" s="11"/>
      <c r="M4" s="165"/>
      <c r="N4" s="166"/>
      <c r="O4" s="170"/>
      <c r="T4" s="179" t="s">
        <v>253</v>
      </c>
      <c r="U4" s="515">
        <v>22</v>
      </c>
    </row>
    <row r="5" spans="1:22" ht="13" x14ac:dyDescent="0.3">
      <c r="A5" s="91" t="s">
        <v>214</v>
      </c>
      <c r="B5" s="137">
        <v>0.4201388888888889</v>
      </c>
      <c r="C5" s="82">
        <v>0.17599999999999999</v>
      </c>
      <c r="D5" s="82">
        <v>8.91</v>
      </c>
      <c r="E5" s="82">
        <v>13.55</v>
      </c>
      <c r="F5" s="82">
        <v>8.1</v>
      </c>
      <c r="G5" s="89"/>
      <c r="I5" s="168"/>
      <c r="J5" s="169"/>
      <c r="K5" s="172"/>
      <c r="L5" s="173"/>
      <c r="M5" s="174"/>
      <c r="N5" s="175"/>
      <c r="O5" s="170"/>
      <c r="T5" s="309" t="s">
        <v>257</v>
      </c>
      <c r="U5" s="515">
        <v>2</v>
      </c>
    </row>
    <row r="6" spans="1:22" ht="13" x14ac:dyDescent="0.3">
      <c r="A6" s="91" t="s">
        <v>215</v>
      </c>
      <c r="B6" s="137">
        <v>0.43888888888888888</v>
      </c>
      <c r="C6" s="82">
        <v>0.28799999999999998</v>
      </c>
      <c r="D6" s="82">
        <v>7.55</v>
      </c>
      <c r="E6" s="82">
        <v>19.71</v>
      </c>
      <c r="F6" s="82">
        <v>8.4600000000000009</v>
      </c>
      <c r="G6" s="89"/>
      <c r="I6" s="20"/>
      <c r="J6" s="162"/>
      <c r="K6" s="163"/>
      <c r="L6" s="28"/>
      <c r="M6" s="165"/>
      <c r="N6" s="166"/>
      <c r="O6" s="167"/>
      <c r="T6" s="179" t="s">
        <v>247</v>
      </c>
      <c r="U6" s="515">
        <v>19</v>
      </c>
    </row>
    <row r="7" spans="1:22" ht="14" x14ac:dyDescent="0.3">
      <c r="A7" s="91" t="s">
        <v>208</v>
      </c>
      <c r="B7" s="222" t="s">
        <v>539</v>
      </c>
      <c r="C7" s="223"/>
      <c r="D7" s="223"/>
      <c r="E7" s="223"/>
      <c r="F7" s="224"/>
      <c r="G7" s="188" t="s">
        <v>184</v>
      </c>
      <c r="H7" s="189" t="s">
        <v>195</v>
      </c>
      <c r="I7" s="168"/>
      <c r="J7" s="169"/>
      <c r="K7" s="163"/>
      <c r="L7" s="11"/>
      <c r="M7" s="165"/>
      <c r="N7" s="166"/>
      <c r="O7" s="170"/>
      <c r="T7" s="446" t="s">
        <v>537</v>
      </c>
      <c r="U7" s="515">
        <v>6</v>
      </c>
    </row>
    <row r="8" spans="1:22" ht="13" x14ac:dyDescent="0.3">
      <c r="A8" s="121" t="s">
        <v>506</v>
      </c>
      <c r="B8" s="201">
        <v>0.45763888888888887</v>
      </c>
      <c r="C8" s="82">
        <v>0.28599999999999998</v>
      </c>
      <c r="D8" s="82">
        <v>7.46</v>
      </c>
      <c r="E8" s="82">
        <v>19.899999999999999</v>
      </c>
      <c r="F8" s="82">
        <v>8.32</v>
      </c>
      <c r="G8" s="128">
        <v>1.75</v>
      </c>
      <c r="H8" s="178">
        <v>10.8</v>
      </c>
      <c r="I8" s="168"/>
      <c r="J8" s="169"/>
      <c r="K8" s="172"/>
      <c r="L8" s="173"/>
      <c r="M8" s="174"/>
      <c r="N8" s="175"/>
      <c r="O8" s="170"/>
      <c r="T8" s="446" t="s">
        <v>538</v>
      </c>
      <c r="U8" s="515">
        <v>2</v>
      </c>
    </row>
    <row r="9" spans="1:22" ht="13" x14ac:dyDescent="0.3">
      <c r="A9" s="121" t="s">
        <v>175</v>
      </c>
      <c r="B9" s="82"/>
      <c r="C9" s="82">
        <v>0.28599999999999998</v>
      </c>
      <c r="D9" s="82">
        <v>7.22</v>
      </c>
      <c r="E9" s="82">
        <v>19.8</v>
      </c>
      <c r="F9" s="82">
        <v>8.32</v>
      </c>
      <c r="G9" s="89"/>
      <c r="K9" s="177"/>
      <c r="M9" s="174"/>
      <c r="N9" s="175"/>
      <c r="O9" s="167"/>
      <c r="T9" s="179" t="s">
        <v>249</v>
      </c>
      <c r="U9" s="515">
        <v>50</v>
      </c>
    </row>
    <row r="10" spans="1:22" ht="13" x14ac:dyDescent="0.3">
      <c r="A10" s="121" t="s">
        <v>507</v>
      </c>
      <c r="B10" s="82"/>
      <c r="C10" s="82">
        <v>0.28599999999999998</v>
      </c>
      <c r="D10" s="82">
        <v>7.16</v>
      </c>
      <c r="E10" s="82">
        <v>19.8</v>
      </c>
      <c r="F10" s="82">
        <v>8.33</v>
      </c>
      <c r="G10" s="89"/>
      <c r="H10" s="176" t="s">
        <v>521</v>
      </c>
      <c r="I10" s="442">
        <f>AVERAGE(E8:E11)</f>
        <v>19.817499999999999</v>
      </c>
      <c r="K10" s="163"/>
      <c r="L10" s="28"/>
      <c r="M10" s="165"/>
      <c r="N10" s="166"/>
      <c r="O10" s="167"/>
      <c r="T10" s="179" t="s">
        <v>250</v>
      </c>
      <c r="U10" s="515">
        <v>3</v>
      </c>
      <c r="V10" s="20"/>
    </row>
    <row r="11" spans="1:22" ht="13" x14ac:dyDescent="0.3">
      <c r="A11" s="121" t="s">
        <v>176</v>
      </c>
      <c r="B11" s="82"/>
      <c r="C11" s="82">
        <v>0.28599999999999998</v>
      </c>
      <c r="D11" s="82">
        <v>7.1</v>
      </c>
      <c r="E11" s="82">
        <v>19.77</v>
      </c>
      <c r="F11" s="82">
        <v>8.34</v>
      </c>
      <c r="G11" s="89"/>
      <c r="H11" s="20" t="s">
        <v>549</v>
      </c>
      <c r="I11" s="442">
        <f>AVERAGE(E8:E20)</f>
        <v>19.700769230769232</v>
      </c>
      <c r="K11" s="163"/>
      <c r="L11" s="11"/>
      <c r="M11" s="165"/>
      <c r="N11" s="166"/>
      <c r="O11" s="170"/>
      <c r="T11" s="511" t="s">
        <v>628</v>
      </c>
      <c r="U11" s="515">
        <v>16</v>
      </c>
    </row>
    <row r="12" spans="1:22" ht="13" x14ac:dyDescent="0.3">
      <c r="A12" s="121" t="s">
        <v>508</v>
      </c>
      <c r="B12" s="82"/>
      <c r="C12" s="82">
        <v>0.28599999999999998</v>
      </c>
      <c r="D12" s="82">
        <v>7</v>
      </c>
      <c r="E12" s="82">
        <v>19.760000000000002</v>
      </c>
      <c r="F12" s="82">
        <v>8.33</v>
      </c>
      <c r="G12" s="89"/>
      <c r="H12" s="168"/>
      <c r="I12" s="169"/>
      <c r="K12" s="172"/>
      <c r="L12" s="173"/>
      <c r="M12" s="174"/>
      <c r="N12" s="175"/>
      <c r="O12" s="170"/>
      <c r="T12" s="179" t="s">
        <v>251</v>
      </c>
      <c r="U12" s="208">
        <v>28</v>
      </c>
    </row>
    <row r="13" spans="1:22" ht="13" x14ac:dyDescent="0.3">
      <c r="A13" s="121" t="s">
        <v>177</v>
      </c>
      <c r="B13" s="82"/>
      <c r="C13" s="82">
        <v>0.28599999999999998</v>
      </c>
      <c r="D13" s="82">
        <v>6.94</v>
      </c>
      <c r="E13" s="82">
        <v>19.72</v>
      </c>
      <c r="F13" s="186">
        <v>8.3000000000000007</v>
      </c>
      <c r="G13" s="89"/>
      <c r="H13" s="440" t="s">
        <v>548</v>
      </c>
      <c r="I13" s="333">
        <f>AVERAGE(D8:D22)</f>
        <v>6.9773333333333332</v>
      </c>
      <c r="K13" s="163"/>
      <c r="L13" s="28"/>
      <c r="M13" s="165"/>
      <c r="N13" s="166"/>
      <c r="O13" s="167"/>
      <c r="T13" s="179" t="s">
        <v>576</v>
      </c>
      <c r="U13" s="515">
        <v>2</v>
      </c>
    </row>
    <row r="14" spans="1:22" ht="13" x14ac:dyDescent="0.3">
      <c r="A14" s="121" t="s">
        <v>509</v>
      </c>
      <c r="B14" s="82"/>
      <c r="C14" s="82">
        <v>0.28599999999999998</v>
      </c>
      <c r="D14" s="82">
        <v>7.04</v>
      </c>
      <c r="E14" s="82">
        <v>19.71</v>
      </c>
      <c r="F14" s="82">
        <v>8.35</v>
      </c>
      <c r="G14" s="89"/>
      <c r="H14" s="440" t="s">
        <v>526</v>
      </c>
      <c r="I14" s="333">
        <f>AVERAGE(D8:D11)</f>
        <v>7.2349999999999994</v>
      </c>
      <c r="K14" s="163"/>
      <c r="L14" s="11"/>
      <c r="M14" s="165"/>
      <c r="N14" s="166"/>
      <c r="O14" s="170"/>
    </row>
    <row r="15" spans="1:22" ht="13" x14ac:dyDescent="0.3">
      <c r="A15" s="121" t="s">
        <v>178</v>
      </c>
      <c r="B15" s="82"/>
      <c r="C15" s="82">
        <v>0.28599999999999998</v>
      </c>
      <c r="D15" s="82">
        <v>7.17</v>
      </c>
      <c r="E15" s="192">
        <v>19.690000000000001</v>
      </c>
      <c r="F15" s="82">
        <v>8.3800000000000008</v>
      </c>
      <c r="G15" s="89"/>
      <c r="K15" s="172"/>
      <c r="L15" s="173"/>
      <c r="M15" s="174"/>
      <c r="N15" s="175"/>
      <c r="O15" s="170"/>
      <c r="T15" t="s">
        <v>692</v>
      </c>
    </row>
    <row r="16" spans="1:22" ht="13" x14ac:dyDescent="0.3">
      <c r="A16" s="121" t="s">
        <v>179</v>
      </c>
      <c r="B16" s="137"/>
      <c r="C16" s="82">
        <v>0.28599999999999998</v>
      </c>
      <c r="D16" s="82">
        <v>7.1</v>
      </c>
      <c r="E16" s="82">
        <v>19.68</v>
      </c>
      <c r="F16" s="82">
        <v>8.3699999999999992</v>
      </c>
      <c r="G16" s="89"/>
      <c r="H16" s="440" t="s">
        <v>547</v>
      </c>
      <c r="I16" s="333">
        <f>AVERAGE(F8:F20)</f>
        <v>8.3584615384615386</v>
      </c>
      <c r="K16" s="163"/>
      <c r="L16" s="28"/>
      <c r="M16" s="165"/>
      <c r="N16" s="166"/>
      <c r="O16" s="167"/>
      <c r="T16" t="s">
        <v>693</v>
      </c>
    </row>
    <row r="17" spans="1:20" ht="13" x14ac:dyDescent="0.3">
      <c r="A17" s="121" t="s">
        <v>180</v>
      </c>
      <c r="B17" s="137"/>
      <c r="C17" s="82">
        <v>0.28599999999999998</v>
      </c>
      <c r="D17" s="312">
        <v>7.14</v>
      </c>
      <c r="E17" s="82">
        <v>19.66</v>
      </c>
      <c r="F17" s="82">
        <v>8.4600000000000009</v>
      </c>
      <c r="G17" s="89"/>
      <c r="H17" s="440" t="s">
        <v>546</v>
      </c>
      <c r="I17" s="441">
        <f>AVERAGE(C8:C21)</f>
        <v>0.28578571428571431</v>
      </c>
      <c r="J17" s="169"/>
      <c r="K17" s="163"/>
      <c r="L17" s="11"/>
      <c r="M17" s="165"/>
      <c r="N17" s="166"/>
      <c r="O17" s="170"/>
    </row>
    <row r="18" spans="1:20" ht="13" x14ac:dyDescent="0.3">
      <c r="A18" s="121" t="s">
        <v>181</v>
      </c>
      <c r="B18" s="82"/>
      <c r="C18" s="192">
        <v>0.28599999999999998</v>
      </c>
      <c r="D18" s="312">
        <v>7.1</v>
      </c>
      <c r="E18" s="82">
        <v>19.64</v>
      </c>
      <c r="F18" s="82">
        <v>8.41</v>
      </c>
      <c r="G18" s="89"/>
      <c r="I18" s="168"/>
      <c r="J18" s="169"/>
      <c r="K18" s="172"/>
      <c r="L18" s="173"/>
      <c r="M18" s="174"/>
      <c r="N18" s="175"/>
      <c r="O18" s="170"/>
    </row>
    <row r="19" spans="1:20" ht="13" x14ac:dyDescent="0.3">
      <c r="A19" s="121" t="s">
        <v>182</v>
      </c>
      <c r="B19" s="82"/>
      <c r="C19" s="82">
        <v>0.28699999999999998</v>
      </c>
      <c r="D19" s="312">
        <v>6.88</v>
      </c>
      <c r="E19" s="82">
        <v>19.61</v>
      </c>
      <c r="F19" s="82">
        <v>8.41</v>
      </c>
      <c r="G19" s="89"/>
      <c r="I19" s="168"/>
      <c r="J19" s="169"/>
      <c r="K19" s="172"/>
      <c r="L19" s="173"/>
      <c r="M19" s="174"/>
      <c r="N19" s="175"/>
      <c r="S19" s="149"/>
    </row>
    <row r="20" spans="1:20" ht="13" x14ac:dyDescent="0.3">
      <c r="A20" s="121" t="s">
        <v>183</v>
      </c>
      <c r="B20" s="82"/>
      <c r="C20" s="82">
        <v>0.28499999999999998</v>
      </c>
      <c r="D20" s="312">
        <v>6.9</v>
      </c>
      <c r="E20" s="82">
        <v>19.37</v>
      </c>
      <c r="F20" s="82">
        <v>8.34</v>
      </c>
      <c r="G20" s="89"/>
      <c r="I20" s="168"/>
      <c r="J20" s="169"/>
      <c r="K20" s="172"/>
      <c r="L20" s="173"/>
      <c r="M20" s="174"/>
      <c r="N20" s="175"/>
      <c r="S20" s="447"/>
      <c r="T20" s="447"/>
    </row>
    <row r="21" spans="1:20" ht="13" x14ac:dyDescent="0.3">
      <c r="A21" s="121" t="s">
        <v>206</v>
      </c>
      <c r="B21" s="82"/>
      <c r="C21" s="82">
        <v>0.28299999999999997</v>
      </c>
      <c r="D21" s="312">
        <v>6.23</v>
      </c>
      <c r="E21" s="82">
        <v>19.18</v>
      </c>
      <c r="F21" s="82">
        <v>8.1300000000000008</v>
      </c>
      <c r="G21" s="89"/>
      <c r="I21" s="168"/>
      <c r="J21" s="169"/>
      <c r="K21" s="172"/>
      <c r="L21" s="173"/>
      <c r="M21" s="174"/>
      <c r="N21" s="175"/>
      <c r="S21" s="86"/>
      <c r="T21" s="86"/>
    </row>
    <row r="22" spans="1:20" ht="13" x14ac:dyDescent="0.3">
      <c r="A22" s="121" t="s">
        <v>207</v>
      </c>
      <c r="B22" s="82"/>
      <c r="C22" s="82">
        <v>0.28199999999999997</v>
      </c>
      <c r="D22" s="82">
        <v>6.22</v>
      </c>
      <c r="E22" s="82">
        <v>19.13</v>
      </c>
      <c r="F22" s="82">
        <v>8.1199999999999992</v>
      </c>
      <c r="G22" s="89"/>
      <c r="S22" s="86"/>
      <c r="T22" s="86"/>
    </row>
    <row r="23" spans="1:20" ht="13" x14ac:dyDescent="0.3">
      <c r="A23" s="121" t="s">
        <v>209</v>
      </c>
      <c r="B23" s="137"/>
      <c r="C23" s="82"/>
      <c r="D23" s="82"/>
      <c r="E23" s="82"/>
      <c r="F23" s="186"/>
      <c r="G23" s="179"/>
      <c r="H23" s="20"/>
      <c r="S23" s="86"/>
      <c r="T23" s="86"/>
    </row>
    <row r="24" spans="1:20" ht="13" x14ac:dyDescent="0.3">
      <c r="A24" s="306" t="s">
        <v>210</v>
      </c>
      <c r="B24" s="137"/>
      <c r="C24" s="82"/>
      <c r="D24" s="82"/>
      <c r="E24" s="82"/>
      <c r="F24" s="186"/>
      <c r="G24" s="179"/>
      <c r="H24" s="20"/>
      <c r="S24" s="86"/>
      <c r="T24" s="86"/>
    </row>
    <row r="25" spans="1:20" x14ac:dyDescent="0.25">
      <c r="A25" s="125" t="s">
        <v>11</v>
      </c>
      <c r="B25" s="193" t="s">
        <v>690</v>
      </c>
      <c r="C25" s="126"/>
      <c r="D25" s="126"/>
      <c r="E25" s="126"/>
      <c r="F25" s="126"/>
      <c r="G25" s="126"/>
      <c r="S25" s="86"/>
      <c r="T25" s="86"/>
    </row>
    <row r="26" spans="1:20" x14ac:dyDescent="0.25">
      <c r="A26" s="138"/>
      <c r="B26" s="20"/>
      <c r="D26" s="322"/>
      <c r="E26" s="322"/>
      <c r="F26" s="322"/>
      <c r="G26" s="322"/>
      <c r="S26" s="86"/>
      <c r="T26" s="86"/>
    </row>
    <row r="27" spans="1:20" x14ac:dyDescent="0.25">
      <c r="A27" s="138"/>
      <c r="B27" s="322"/>
      <c r="C27" s="322"/>
      <c r="D27" s="322"/>
      <c r="E27" s="322"/>
      <c r="F27" s="322"/>
      <c r="G27" s="322"/>
      <c r="S27" s="86"/>
      <c r="T27" s="86"/>
    </row>
    <row r="28" spans="1:20" ht="23" x14ac:dyDescent="0.25">
      <c r="A28" s="953" t="s">
        <v>127</v>
      </c>
      <c r="B28" s="954"/>
      <c r="C28" s="955"/>
      <c r="D28" s="953" t="s">
        <v>130</v>
      </c>
      <c r="E28" s="954"/>
      <c r="F28" s="955"/>
      <c r="G28" s="956" t="s">
        <v>31</v>
      </c>
      <c r="H28" s="956"/>
      <c r="J28" s="135" t="s">
        <v>187</v>
      </c>
      <c r="K28" s="135" t="s">
        <v>188</v>
      </c>
      <c r="L28" s="136" t="s">
        <v>189</v>
      </c>
      <c r="M28" s="135" t="s">
        <v>190</v>
      </c>
      <c r="N28" s="136" t="s">
        <v>191</v>
      </c>
      <c r="S28" s="86"/>
      <c r="T28" s="86"/>
    </row>
    <row r="29" spans="1:20" ht="15.5" x14ac:dyDescent="0.35">
      <c r="A29" s="518" t="s">
        <v>170</v>
      </c>
      <c r="B29" s="519">
        <v>0.40486111111111112</v>
      </c>
      <c r="C29" s="520">
        <v>0.62</v>
      </c>
      <c r="D29" s="518" t="s">
        <v>170</v>
      </c>
      <c r="E29" s="519">
        <v>0.42083333333333334</v>
      </c>
      <c r="F29" s="521">
        <v>3.8</v>
      </c>
      <c r="G29" s="518" t="s">
        <v>170</v>
      </c>
      <c r="H29" s="519">
        <v>0.43402777777777773</v>
      </c>
      <c r="J29" s="132">
        <v>2</v>
      </c>
      <c r="K29" s="132">
        <v>0.54</v>
      </c>
      <c r="L29" s="132">
        <v>0.2</v>
      </c>
      <c r="M29" s="132">
        <f>K29*2</f>
        <v>1.08</v>
      </c>
      <c r="N29" s="133">
        <f>L29*M29</f>
        <v>0.21600000000000003</v>
      </c>
      <c r="S29" s="86"/>
      <c r="T29" s="86"/>
    </row>
    <row r="30" spans="1:20" ht="15.5" x14ac:dyDescent="0.35">
      <c r="A30" s="518" t="s">
        <v>185</v>
      </c>
      <c r="B30" s="517">
        <v>6</v>
      </c>
      <c r="C30" s="522"/>
      <c r="D30" s="518" t="s">
        <v>185</v>
      </c>
      <c r="E30" s="520">
        <v>18</v>
      </c>
      <c r="F30" s="522"/>
      <c r="G30" s="518" t="s">
        <v>185</v>
      </c>
      <c r="H30" s="520">
        <v>50</v>
      </c>
      <c r="I30" s="512"/>
      <c r="J30" s="132">
        <v>4</v>
      </c>
      <c r="K30" s="132">
        <v>0.77</v>
      </c>
      <c r="L30" s="132">
        <v>0.8</v>
      </c>
      <c r="M30" s="132">
        <f>K30*2</f>
        <v>1.54</v>
      </c>
      <c r="N30" s="133">
        <f>L30*M30</f>
        <v>1.2320000000000002</v>
      </c>
      <c r="S30" s="86"/>
      <c r="T30" s="86"/>
    </row>
    <row r="31" spans="1:20" ht="15.5" x14ac:dyDescent="0.35">
      <c r="A31" s="523" t="s">
        <v>186</v>
      </c>
      <c r="B31" s="957" t="s">
        <v>644</v>
      </c>
      <c r="C31" s="957"/>
      <c r="D31" s="523" t="s">
        <v>186</v>
      </c>
      <c r="E31" s="957" t="s">
        <v>691</v>
      </c>
      <c r="F31" s="957"/>
      <c r="G31" s="523" t="s">
        <v>186</v>
      </c>
      <c r="H31" s="524" t="s">
        <v>330</v>
      </c>
      <c r="J31" s="132">
        <v>6</v>
      </c>
      <c r="K31" s="132">
        <v>0.66</v>
      </c>
      <c r="L31" s="132">
        <v>1.3</v>
      </c>
      <c r="M31" s="132">
        <f>K31*2</f>
        <v>1.32</v>
      </c>
      <c r="N31" s="133">
        <f t="shared" ref="N31:N38" si="0">L31*M31</f>
        <v>1.7160000000000002</v>
      </c>
    </row>
    <row r="32" spans="1:20" ht="24" x14ac:dyDescent="0.35">
      <c r="A32" s="313" t="s">
        <v>187</v>
      </c>
      <c r="B32" s="313" t="s">
        <v>188</v>
      </c>
      <c r="C32" s="314" t="s">
        <v>189</v>
      </c>
      <c r="D32" s="313" t="s">
        <v>187</v>
      </c>
      <c r="E32" s="313" t="s">
        <v>188</v>
      </c>
      <c r="F32" s="314" t="s">
        <v>189</v>
      </c>
      <c r="G32" s="313" t="s">
        <v>188</v>
      </c>
      <c r="H32" s="314" t="s">
        <v>189</v>
      </c>
      <c r="J32" s="132">
        <v>8</v>
      </c>
      <c r="K32" s="132">
        <v>0.6</v>
      </c>
      <c r="L32" s="132">
        <v>0.4</v>
      </c>
      <c r="M32" s="132">
        <f>K32*2</f>
        <v>1.2</v>
      </c>
      <c r="N32" s="133">
        <f t="shared" si="0"/>
        <v>0.48</v>
      </c>
    </row>
    <row r="33" spans="1:14" ht="15.5" x14ac:dyDescent="0.35">
      <c r="A33" s="152">
        <v>2</v>
      </c>
      <c r="B33" s="132">
        <v>0.28000000000000003</v>
      </c>
      <c r="C33" s="132">
        <v>0.4</v>
      </c>
      <c r="D33" s="152">
        <v>2</v>
      </c>
      <c r="E33" s="132">
        <v>0.54</v>
      </c>
      <c r="F33" s="132">
        <v>0.2</v>
      </c>
      <c r="G33" s="947" t="s">
        <v>31</v>
      </c>
      <c r="H33" s="947"/>
      <c r="J33" s="132">
        <v>10</v>
      </c>
      <c r="K33" s="132">
        <v>0.62</v>
      </c>
      <c r="L33" s="132">
        <v>0.4</v>
      </c>
      <c r="M33" s="132">
        <f t="shared" ref="M33:M38" si="1">K33*2</f>
        <v>1.24</v>
      </c>
      <c r="N33" s="133">
        <f t="shared" si="0"/>
        <v>0.496</v>
      </c>
    </row>
    <row r="34" spans="1:14" ht="15.5" x14ac:dyDescent="0.35">
      <c r="A34" s="152">
        <v>4</v>
      </c>
      <c r="B34" s="132">
        <v>0.22</v>
      </c>
      <c r="C34" s="132">
        <v>0.2</v>
      </c>
      <c r="D34" s="152">
        <v>4</v>
      </c>
      <c r="E34" s="132">
        <v>0.77</v>
      </c>
      <c r="F34" s="132">
        <v>0.8</v>
      </c>
      <c r="G34" s="132">
        <v>0.08</v>
      </c>
      <c r="H34" s="133">
        <v>0.8</v>
      </c>
      <c r="I34" s="444">
        <v>3.2</v>
      </c>
      <c r="J34" s="132">
        <v>12</v>
      </c>
      <c r="K34" s="134">
        <v>0.68</v>
      </c>
      <c r="L34" s="132">
        <v>1.7</v>
      </c>
      <c r="M34" s="132">
        <f t="shared" si="1"/>
        <v>1.36</v>
      </c>
      <c r="N34" s="133">
        <f t="shared" si="0"/>
        <v>2.3120000000000003</v>
      </c>
    </row>
    <row r="35" spans="1:14" ht="15.5" x14ac:dyDescent="0.35">
      <c r="A35" s="152">
        <v>6</v>
      </c>
      <c r="B35" s="132"/>
      <c r="C35" s="132"/>
      <c r="D35" s="331">
        <v>6</v>
      </c>
      <c r="E35" s="132">
        <v>0.66</v>
      </c>
      <c r="F35" s="132">
        <v>1.3</v>
      </c>
      <c r="G35" s="948" t="s">
        <v>196</v>
      </c>
      <c r="H35" s="949"/>
      <c r="I35" s="158"/>
      <c r="J35" s="132">
        <v>14</v>
      </c>
      <c r="K35" s="134">
        <v>0.63</v>
      </c>
      <c r="L35" s="134">
        <v>0.6</v>
      </c>
      <c r="M35" s="132">
        <f t="shared" si="1"/>
        <v>1.26</v>
      </c>
      <c r="N35" s="133">
        <f t="shared" si="0"/>
        <v>0.75600000000000001</v>
      </c>
    </row>
    <row r="36" spans="1:14" ht="15.5" x14ac:dyDescent="0.35">
      <c r="A36" s="152">
        <v>8</v>
      </c>
      <c r="B36" s="132"/>
      <c r="C36" s="132"/>
      <c r="D36" s="152">
        <v>8</v>
      </c>
      <c r="E36" s="132">
        <v>0.6</v>
      </c>
      <c r="F36" s="132">
        <v>0.4</v>
      </c>
      <c r="G36" s="132"/>
      <c r="H36" s="133"/>
      <c r="I36" s="444"/>
      <c r="J36" s="132">
        <v>16</v>
      </c>
      <c r="K36" s="134">
        <v>0.33</v>
      </c>
      <c r="L36" s="134">
        <v>0.6</v>
      </c>
      <c r="M36" s="132">
        <f>K36*3</f>
        <v>0.99</v>
      </c>
      <c r="N36" s="133">
        <f t="shared" si="0"/>
        <v>0.59399999999999997</v>
      </c>
    </row>
    <row r="37" spans="1:14" ht="15.5" x14ac:dyDescent="0.35">
      <c r="A37" s="152">
        <v>12</v>
      </c>
      <c r="B37" s="132"/>
      <c r="C37" s="132"/>
      <c r="D37" s="152">
        <v>10</v>
      </c>
      <c r="E37" s="132">
        <v>0.62</v>
      </c>
      <c r="F37" s="132">
        <v>0.4</v>
      </c>
      <c r="G37" s="132" t="s">
        <v>197</v>
      </c>
      <c r="H37" s="133"/>
      <c r="I37" s="158"/>
      <c r="J37" s="132">
        <v>18</v>
      </c>
      <c r="K37" s="82"/>
      <c r="L37" s="194"/>
      <c r="M37" s="132">
        <f t="shared" si="1"/>
        <v>0</v>
      </c>
      <c r="N37" s="133">
        <f t="shared" si="0"/>
        <v>0</v>
      </c>
    </row>
    <row r="38" spans="1:14" ht="15.5" x14ac:dyDescent="0.35">
      <c r="A38" s="123"/>
      <c r="B38" s="132"/>
      <c r="C38" s="132"/>
      <c r="D38" s="152">
        <v>12</v>
      </c>
      <c r="E38" s="134">
        <v>0.68</v>
      </c>
      <c r="F38" s="132">
        <v>1.7</v>
      </c>
      <c r="G38" s="132"/>
      <c r="H38" s="133"/>
      <c r="I38" s="445"/>
      <c r="J38" s="132">
        <v>20</v>
      </c>
      <c r="K38" s="132"/>
      <c r="L38" s="132"/>
      <c r="M38" s="132">
        <f t="shared" si="1"/>
        <v>0</v>
      </c>
      <c r="N38" s="133">
        <f t="shared" si="0"/>
        <v>0</v>
      </c>
    </row>
    <row r="39" spans="1:14" ht="15.5" x14ac:dyDescent="0.35">
      <c r="C39" s="443">
        <v>0.47</v>
      </c>
      <c r="D39" s="152">
        <v>14</v>
      </c>
      <c r="E39" s="134">
        <v>0.63</v>
      </c>
      <c r="F39" s="134">
        <v>0.6</v>
      </c>
      <c r="N39" s="6">
        <f>SUM(N29:N38)</f>
        <v>7.8020000000000014</v>
      </c>
    </row>
    <row r="40" spans="1:14" ht="15.5" x14ac:dyDescent="0.35">
      <c r="A40" s="319"/>
      <c r="D40" s="152">
        <v>16</v>
      </c>
      <c r="E40" s="134">
        <v>0.33</v>
      </c>
      <c r="F40" s="134">
        <v>0.6</v>
      </c>
    </row>
    <row r="41" spans="1:14" ht="15.5" x14ac:dyDescent="0.35">
      <c r="A41" s="319"/>
      <c r="D41" s="152">
        <v>18</v>
      </c>
      <c r="E41" s="82"/>
      <c r="F41" s="194"/>
    </row>
    <row r="42" spans="1:14" ht="15.5" x14ac:dyDescent="0.35">
      <c r="F42" s="366">
        <v>7.8</v>
      </c>
    </row>
    <row r="43" spans="1:14" ht="14" x14ac:dyDescent="0.3">
      <c r="A43" s="129" t="s">
        <v>211</v>
      </c>
      <c r="C43" s="11" t="s">
        <v>212</v>
      </c>
      <c r="D43" s="148">
        <v>40798</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v>0.47291666666666665</v>
      </c>
      <c r="C45" s="225">
        <v>0.28599999999999998</v>
      </c>
      <c r="D45" s="225">
        <v>7.7</v>
      </c>
      <c r="E45" s="515">
        <v>19.899999999999999</v>
      </c>
      <c r="F45" s="225">
        <v>8.4</v>
      </c>
      <c r="G45" s="128">
        <v>1.6</v>
      </c>
      <c r="H45" s="82">
        <v>5.5</v>
      </c>
    </row>
    <row r="46" spans="1:14" ht="14" x14ac:dyDescent="0.3">
      <c r="A46" s="121" t="s">
        <v>175</v>
      </c>
      <c r="B46" s="82"/>
      <c r="C46" s="225">
        <v>0.28599999999999998</v>
      </c>
      <c r="D46" s="225">
        <v>7.28</v>
      </c>
      <c r="E46" s="515">
        <v>19.88</v>
      </c>
      <c r="F46" s="225">
        <v>8.4</v>
      </c>
      <c r="G46" s="89"/>
    </row>
    <row r="47" spans="1:14" ht="14" x14ac:dyDescent="0.3">
      <c r="A47" s="121" t="s">
        <v>507</v>
      </c>
      <c r="B47" s="82"/>
      <c r="C47" s="225">
        <v>0.28599999999999998</v>
      </c>
      <c r="D47" s="225">
        <v>7.16</v>
      </c>
      <c r="E47" s="515">
        <v>19.760000000000002</v>
      </c>
      <c r="F47" s="225">
        <v>8.4</v>
      </c>
      <c r="G47" s="89"/>
      <c r="H47" s="176" t="s">
        <v>521</v>
      </c>
      <c r="I47" s="442">
        <f>AVERAGE(E45:E48)</f>
        <v>19.817500000000003</v>
      </c>
    </row>
    <row r="48" spans="1:14" ht="14" x14ac:dyDescent="0.3">
      <c r="A48" s="121" t="s">
        <v>176</v>
      </c>
      <c r="B48" s="82"/>
      <c r="C48" s="225">
        <v>0.28599999999999998</v>
      </c>
      <c r="D48" s="225">
        <v>7.11</v>
      </c>
      <c r="E48" s="515">
        <v>19.73</v>
      </c>
      <c r="F48" s="225">
        <v>8.3699999999999992</v>
      </c>
      <c r="G48" s="89"/>
      <c r="H48" s="20" t="s">
        <v>599</v>
      </c>
      <c r="I48" s="442">
        <f>AVERAGE(E45:E54)</f>
        <v>19.736666666666665</v>
      </c>
    </row>
    <row r="49" spans="1:10" ht="14" x14ac:dyDescent="0.3">
      <c r="A49" s="121" t="s">
        <v>508</v>
      </c>
      <c r="B49" s="82"/>
      <c r="C49" s="225">
        <v>0.28599999999999998</v>
      </c>
      <c r="D49" s="225">
        <v>7.02</v>
      </c>
      <c r="E49" s="515">
        <v>19.7</v>
      </c>
      <c r="F49" s="225">
        <v>8.39</v>
      </c>
      <c r="G49" s="89"/>
      <c r="H49" s="168"/>
      <c r="I49" s="169"/>
    </row>
    <row r="50" spans="1:10" ht="14" x14ac:dyDescent="0.3">
      <c r="A50" s="121" t="s">
        <v>177</v>
      </c>
      <c r="B50" s="82"/>
      <c r="C50" s="225">
        <v>0.28599999999999998</v>
      </c>
      <c r="D50" s="225">
        <v>7.1</v>
      </c>
      <c r="E50" s="515">
        <v>19.690000000000001</v>
      </c>
      <c r="F50" s="225">
        <v>8.39</v>
      </c>
      <c r="G50" s="89"/>
      <c r="H50" s="440" t="s">
        <v>600</v>
      </c>
      <c r="I50" s="333">
        <f>AVERAGE(D45:D53)</f>
        <v>7.1222222222222218</v>
      </c>
    </row>
    <row r="51" spans="1:10" ht="14" x14ac:dyDescent="0.3">
      <c r="A51" s="121" t="s">
        <v>509</v>
      </c>
      <c r="B51" s="82"/>
      <c r="C51" s="225">
        <v>0.28599999999999998</v>
      </c>
      <c r="D51" s="225">
        <v>6.91</v>
      </c>
      <c r="E51" s="515">
        <v>19.68</v>
      </c>
      <c r="F51" s="225">
        <v>8.3800000000000008</v>
      </c>
      <c r="G51" s="89"/>
      <c r="H51" s="440" t="s">
        <v>526</v>
      </c>
      <c r="I51" s="333">
        <f>AVERAGE(D45:D48)</f>
        <v>7.3125</v>
      </c>
    </row>
    <row r="52" spans="1:10" ht="14" x14ac:dyDescent="0.3">
      <c r="A52" s="121" t="s">
        <v>178</v>
      </c>
      <c r="B52" s="82"/>
      <c r="C52" s="225">
        <v>0.28599999999999998</v>
      </c>
      <c r="D52" s="225">
        <v>6.9</v>
      </c>
      <c r="E52" s="515">
        <v>19.66</v>
      </c>
      <c r="F52" s="225">
        <v>8.41</v>
      </c>
      <c r="G52" s="89"/>
    </row>
    <row r="53" spans="1:10" ht="14" x14ac:dyDescent="0.3">
      <c r="A53" s="121" t="s">
        <v>179</v>
      </c>
      <c r="B53" s="82"/>
      <c r="C53" s="225">
        <v>0.28599999999999998</v>
      </c>
      <c r="D53" s="225">
        <v>6.92</v>
      </c>
      <c r="E53" s="515">
        <v>19.63</v>
      </c>
      <c r="F53" s="225">
        <v>8.26</v>
      </c>
      <c r="G53" s="89"/>
    </row>
    <row r="54" spans="1:10" ht="14" x14ac:dyDescent="0.3">
      <c r="A54" s="121" t="s">
        <v>180</v>
      </c>
      <c r="B54" s="82"/>
      <c r="C54" s="225"/>
      <c r="D54" s="225"/>
      <c r="E54" s="515"/>
      <c r="F54" s="225"/>
      <c r="G54" s="89"/>
    </row>
    <row r="55" spans="1:10" ht="14" x14ac:dyDescent="0.3">
      <c r="A55" s="121" t="s">
        <v>181</v>
      </c>
      <c r="B55" s="137"/>
      <c r="C55" s="225"/>
      <c r="D55" s="225"/>
      <c r="E55" s="515"/>
      <c r="F55" s="225"/>
      <c r="G55" s="89"/>
    </row>
    <row r="56" spans="1:10" ht="14" x14ac:dyDescent="0.3">
      <c r="A56" s="121" t="s">
        <v>182</v>
      </c>
      <c r="B56" s="137"/>
      <c r="C56" s="225"/>
      <c r="D56" s="225"/>
      <c r="E56" s="515"/>
      <c r="F56" s="225"/>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v>0.48055555555555557</v>
      </c>
      <c r="C59" s="515">
        <v>0.28599999999999998</v>
      </c>
      <c r="D59" s="515">
        <v>7.35</v>
      </c>
      <c r="E59" s="225">
        <v>20.010000000000002</v>
      </c>
      <c r="F59" s="515">
        <v>8.56</v>
      </c>
      <c r="G59" s="128">
        <v>1.7</v>
      </c>
      <c r="H59" s="82">
        <v>5</v>
      </c>
    </row>
    <row r="60" spans="1:10" ht="14" x14ac:dyDescent="0.3">
      <c r="A60" s="121" t="s">
        <v>175</v>
      </c>
      <c r="B60" s="82"/>
      <c r="C60" s="540">
        <v>0.28599999999999998</v>
      </c>
      <c r="D60" s="515">
        <v>7.06</v>
      </c>
      <c r="E60" s="225">
        <v>19.920000000000002</v>
      </c>
      <c r="F60" s="515">
        <v>8.6199999999999992</v>
      </c>
      <c r="G60" s="89"/>
    </row>
    <row r="61" spans="1:10" ht="14" x14ac:dyDescent="0.3">
      <c r="A61" s="121" t="s">
        <v>507</v>
      </c>
      <c r="B61" s="82"/>
      <c r="C61" s="540">
        <v>0.28599999999999998</v>
      </c>
      <c r="D61" s="515">
        <v>7.12</v>
      </c>
      <c r="E61" s="225">
        <v>19.850000000000001</v>
      </c>
      <c r="F61" s="515">
        <v>8.69</v>
      </c>
      <c r="G61" s="89"/>
      <c r="H61" s="176" t="s">
        <v>521</v>
      </c>
      <c r="I61" s="442">
        <f>AVERAGE(E59:E62)</f>
        <v>19.902500000000003</v>
      </c>
    </row>
    <row r="62" spans="1:10" ht="14" x14ac:dyDescent="0.3">
      <c r="A62" s="121" t="s">
        <v>176</v>
      </c>
      <c r="B62" s="82"/>
      <c r="C62" s="540">
        <v>0.28599999999999998</v>
      </c>
      <c r="D62" s="515">
        <v>7.22</v>
      </c>
      <c r="E62" s="225">
        <v>19.829999999999998</v>
      </c>
      <c r="F62" s="515">
        <v>8.7100000000000009</v>
      </c>
      <c r="G62" s="89"/>
      <c r="H62" s="20" t="s">
        <v>601</v>
      </c>
      <c r="I62" s="442">
        <f>AVERAGE(E59:E70)</f>
        <v>19.831111111111113</v>
      </c>
    </row>
    <row r="63" spans="1:10" ht="14" x14ac:dyDescent="0.3">
      <c r="A63" s="121" t="s">
        <v>508</v>
      </c>
      <c r="B63" s="82"/>
      <c r="C63" s="540">
        <v>0.28599999999999998</v>
      </c>
      <c r="D63" s="454">
        <v>7.13</v>
      </c>
      <c r="E63" s="225">
        <v>19.84</v>
      </c>
      <c r="F63" s="515">
        <v>8.68</v>
      </c>
      <c r="G63" s="89"/>
      <c r="H63" s="168"/>
      <c r="I63" s="169"/>
    </row>
    <row r="64" spans="1:10" ht="14" x14ac:dyDescent="0.3">
      <c r="A64" s="121" t="s">
        <v>177</v>
      </c>
      <c r="B64" s="82"/>
      <c r="C64" s="540">
        <v>0.28599999999999998</v>
      </c>
      <c r="D64" s="515">
        <v>7.3</v>
      </c>
      <c r="E64" s="225">
        <v>19.82</v>
      </c>
      <c r="F64" s="515">
        <v>8.7200000000000006</v>
      </c>
      <c r="G64" s="89"/>
      <c r="H64" s="440" t="s">
        <v>602</v>
      </c>
      <c r="I64" s="333">
        <f>AVERAGE(D59:D70)</f>
        <v>7.2488888888888896</v>
      </c>
    </row>
    <row r="65" spans="1:9" ht="14" x14ac:dyDescent="0.3">
      <c r="A65" s="121" t="s">
        <v>509</v>
      </c>
      <c r="B65" s="82"/>
      <c r="C65" s="540">
        <v>0.28599999999999998</v>
      </c>
      <c r="D65" s="515">
        <v>7.42</v>
      </c>
      <c r="E65" s="225">
        <v>19.77</v>
      </c>
      <c r="F65" s="515">
        <v>8.8000000000000007</v>
      </c>
      <c r="G65" s="89"/>
      <c r="H65" s="440" t="s">
        <v>526</v>
      </c>
      <c r="I65" s="333">
        <f>AVERAGE(D59:D62)</f>
        <v>7.1875</v>
      </c>
    </row>
    <row r="66" spans="1:9" ht="14" x14ac:dyDescent="0.3">
      <c r="A66" s="121" t="s">
        <v>178</v>
      </c>
      <c r="B66" s="82"/>
      <c r="C66" s="540">
        <v>0.28599999999999998</v>
      </c>
      <c r="D66" s="515">
        <v>7.45</v>
      </c>
      <c r="E66" s="225">
        <v>19.72</v>
      </c>
      <c r="F66" s="515">
        <v>8.77</v>
      </c>
      <c r="G66" s="89"/>
    </row>
    <row r="67" spans="1:9" ht="14" x14ac:dyDescent="0.3">
      <c r="A67" s="121" t="s">
        <v>179</v>
      </c>
      <c r="B67" s="82"/>
      <c r="C67" s="540">
        <v>0.28599999999999998</v>
      </c>
      <c r="D67" s="515">
        <v>7.19</v>
      </c>
      <c r="E67" s="225">
        <v>19.72</v>
      </c>
      <c r="F67" s="515">
        <v>8.7200000000000006</v>
      </c>
      <c r="G67" s="89"/>
    </row>
    <row r="68" spans="1:9" ht="14" x14ac:dyDescent="0.3">
      <c r="A68" s="306" t="s">
        <v>180</v>
      </c>
      <c r="B68" s="137"/>
      <c r="C68" s="515"/>
      <c r="D68" s="515"/>
      <c r="E68" s="225"/>
      <c r="F68" s="515"/>
      <c r="G68" s="89"/>
    </row>
    <row r="69" spans="1:9" ht="14" x14ac:dyDescent="0.3">
      <c r="A69" s="306" t="s">
        <v>181</v>
      </c>
      <c r="B69" s="137"/>
      <c r="C69" s="515"/>
      <c r="D69" s="515"/>
      <c r="E69" s="225"/>
      <c r="F69" s="515"/>
      <c r="G69" s="89"/>
    </row>
    <row r="70" spans="1:9" ht="14" x14ac:dyDescent="0.3">
      <c r="A70" s="306" t="s">
        <v>182</v>
      </c>
      <c r="B70" s="137"/>
      <c r="C70" s="515"/>
      <c r="D70" s="515"/>
      <c r="E70" s="225"/>
      <c r="F70" s="515"/>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v>0.49027777777777781</v>
      </c>
      <c r="C73" s="515">
        <v>0.28699999999999998</v>
      </c>
      <c r="D73" s="515">
        <v>7.34</v>
      </c>
      <c r="E73" s="515">
        <v>20.05</v>
      </c>
      <c r="F73" s="515">
        <v>8.6999999999999993</v>
      </c>
      <c r="G73" s="128">
        <v>1.9</v>
      </c>
      <c r="H73" s="82">
        <v>4.2</v>
      </c>
    </row>
    <row r="74" spans="1:9" ht="13" x14ac:dyDescent="0.3">
      <c r="A74" s="121" t="s">
        <v>175</v>
      </c>
      <c r="B74" s="82"/>
      <c r="C74" s="515">
        <v>0.28599999999999998</v>
      </c>
      <c r="D74" s="515">
        <v>7.3</v>
      </c>
      <c r="E74" s="515">
        <v>19.98</v>
      </c>
      <c r="F74" s="515">
        <v>8.76</v>
      </c>
      <c r="G74" s="89"/>
    </row>
    <row r="75" spans="1:9" ht="13" x14ac:dyDescent="0.3">
      <c r="A75" s="121" t="s">
        <v>507</v>
      </c>
      <c r="B75" s="82"/>
      <c r="C75" s="540">
        <v>0.28599999999999998</v>
      </c>
      <c r="D75" s="515">
        <v>7.32</v>
      </c>
      <c r="E75" s="515">
        <v>19.920000000000002</v>
      </c>
      <c r="F75" s="515">
        <v>8.73</v>
      </c>
      <c r="G75" s="89"/>
      <c r="H75" s="176" t="s">
        <v>521</v>
      </c>
      <c r="I75" s="442">
        <f>AVERAGE(E72:E75)</f>
        <v>19.983333333333334</v>
      </c>
    </row>
    <row r="76" spans="1:9" ht="13" x14ac:dyDescent="0.3">
      <c r="A76" s="121" t="s">
        <v>176</v>
      </c>
      <c r="B76" s="82"/>
      <c r="C76" s="540">
        <v>0.28599999999999998</v>
      </c>
      <c r="D76" s="515">
        <v>7.3</v>
      </c>
      <c r="E76" s="515">
        <v>19.86</v>
      </c>
      <c r="F76" s="515">
        <v>8.81</v>
      </c>
      <c r="G76" s="89"/>
      <c r="H76" s="20" t="s">
        <v>604</v>
      </c>
      <c r="I76" s="442">
        <f>AVERAGE(E72:E82)</f>
        <v>19.823749999999997</v>
      </c>
    </row>
    <row r="77" spans="1:9" ht="13" x14ac:dyDescent="0.3">
      <c r="A77" s="121" t="s">
        <v>508</v>
      </c>
      <c r="B77" s="82"/>
      <c r="C77" s="540">
        <v>0.28599999999999998</v>
      </c>
      <c r="D77" s="515">
        <v>7.32</v>
      </c>
      <c r="E77" s="515">
        <v>19.850000000000001</v>
      </c>
      <c r="F77" s="515">
        <v>8.81</v>
      </c>
      <c r="G77" s="89"/>
      <c r="H77" s="168"/>
      <c r="I77" s="169"/>
    </row>
    <row r="78" spans="1:9" ht="13" x14ac:dyDescent="0.3">
      <c r="A78" s="121" t="s">
        <v>177</v>
      </c>
      <c r="B78" s="82"/>
      <c r="C78" s="540">
        <v>0.28599999999999998</v>
      </c>
      <c r="D78" s="515">
        <v>7.24</v>
      </c>
      <c r="E78" s="515">
        <v>19.8</v>
      </c>
      <c r="F78" s="515">
        <v>8.7899999999999991</v>
      </c>
      <c r="G78" s="89"/>
      <c r="H78" s="440" t="s">
        <v>603</v>
      </c>
      <c r="I78" s="333">
        <f>AVERAGE(D72:D86)</f>
        <v>7.290909090909091</v>
      </c>
    </row>
    <row r="79" spans="1:9" ht="13" x14ac:dyDescent="0.3">
      <c r="A79" s="121" t="s">
        <v>509</v>
      </c>
      <c r="B79" s="82"/>
      <c r="C79" s="515">
        <v>0.28699999999999998</v>
      </c>
      <c r="D79" s="515">
        <v>7.17</v>
      </c>
      <c r="E79" s="515">
        <v>19.649999999999999</v>
      </c>
      <c r="F79" s="515">
        <v>8.76</v>
      </c>
      <c r="G79" s="89"/>
      <c r="H79" s="440" t="s">
        <v>526</v>
      </c>
      <c r="I79" s="333">
        <f>AVERAGE(D72:D75)</f>
        <v>7.32</v>
      </c>
    </row>
    <row r="80" spans="1:9" ht="13" x14ac:dyDescent="0.3">
      <c r="A80" s="121" t="s">
        <v>178</v>
      </c>
      <c r="B80" s="82"/>
      <c r="C80" s="515">
        <v>0.28799999999999998</v>
      </c>
      <c r="D80" s="515">
        <v>6.79</v>
      </c>
      <c r="E80" s="515">
        <v>19.48</v>
      </c>
      <c r="F80" s="515">
        <v>8.6999999999999993</v>
      </c>
      <c r="G80" s="89"/>
    </row>
    <row r="81" spans="1:9" ht="13" x14ac:dyDescent="0.3">
      <c r="A81" s="121" t="s">
        <v>179</v>
      </c>
      <c r="B81" s="82"/>
      <c r="C81" s="515"/>
      <c r="D81" s="515"/>
      <c r="E81" s="515"/>
      <c r="F81" s="515"/>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v>0.5</v>
      </c>
      <c r="C84" s="515">
        <v>0.28599999999999998</v>
      </c>
      <c r="D84" s="310">
        <v>7.54</v>
      </c>
      <c r="E84" s="85">
        <v>19.989999999999998</v>
      </c>
      <c r="F84" s="310">
        <v>8.7799999999999994</v>
      </c>
      <c r="G84" s="186">
        <v>2.1</v>
      </c>
      <c r="H84" s="82">
        <v>6</v>
      </c>
    </row>
    <row r="85" spans="1:9" ht="13" x14ac:dyDescent="0.3">
      <c r="A85" s="121" t="s">
        <v>175</v>
      </c>
      <c r="B85" s="82"/>
      <c r="C85" s="540">
        <v>0.28599999999999998</v>
      </c>
      <c r="D85" s="310">
        <v>7.55</v>
      </c>
      <c r="E85" s="85">
        <v>19.93</v>
      </c>
      <c r="F85" s="310">
        <v>8.81</v>
      </c>
      <c r="G85" s="89"/>
    </row>
    <row r="86" spans="1:9" ht="13" x14ac:dyDescent="0.3">
      <c r="A86" s="121" t="s">
        <v>507</v>
      </c>
      <c r="B86" s="82"/>
      <c r="C86" s="540">
        <v>0.28599999999999998</v>
      </c>
      <c r="D86" s="310">
        <v>7.33</v>
      </c>
      <c r="E86" s="85">
        <v>19.920000000000002</v>
      </c>
      <c r="F86" s="310">
        <v>8.84</v>
      </c>
      <c r="G86" s="89"/>
      <c r="H86" s="176" t="s">
        <v>521</v>
      </c>
      <c r="I86" s="442">
        <f>AVERAGE(E84:E87)</f>
        <v>19.91</v>
      </c>
    </row>
    <row r="87" spans="1:9" ht="13" x14ac:dyDescent="0.3">
      <c r="A87" s="121" t="s">
        <v>176</v>
      </c>
      <c r="B87" s="82"/>
      <c r="C87" s="540">
        <v>0.28599999999999998</v>
      </c>
      <c r="D87" s="310">
        <v>7.33</v>
      </c>
      <c r="E87" s="85">
        <v>19.8</v>
      </c>
      <c r="F87" s="310">
        <v>8.81</v>
      </c>
      <c r="G87" s="89"/>
      <c r="H87" s="20" t="s">
        <v>605</v>
      </c>
      <c r="I87" s="442">
        <f>AVERAGE(E84:E94)</f>
        <v>19.689</v>
      </c>
    </row>
    <row r="88" spans="1:9" ht="13" x14ac:dyDescent="0.3">
      <c r="A88" s="121" t="s">
        <v>508</v>
      </c>
      <c r="B88" s="82"/>
      <c r="C88" s="540">
        <v>0.28599999999999998</v>
      </c>
      <c r="D88" s="310">
        <v>7.33</v>
      </c>
      <c r="E88" s="85">
        <v>19.82</v>
      </c>
      <c r="F88" s="310">
        <v>8.91</v>
      </c>
      <c r="G88" s="89"/>
      <c r="H88" s="168"/>
      <c r="I88" s="169"/>
    </row>
    <row r="89" spans="1:9" ht="13" x14ac:dyDescent="0.3">
      <c r="A89" s="121" t="s">
        <v>177</v>
      </c>
      <c r="B89" s="82"/>
      <c r="C89" s="540">
        <v>0.28599999999999998</v>
      </c>
      <c r="D89" s="310">
        <v>7.24</v>
      </c>
      <c r="E89" s="85">
        <v>19.690000000000001</v>
      </c>
      <c r="F89" s="310">
        <v>8.8800000000000008</v>
      </c>
      <c r="G89" s="89"/>
      <c r="H89" s="440" t="s">
        <v>606</v>
      </c>
      <c r="I89" s="333">
        <f>AVERAGE(D84:D94)</f>
        <v>7.2470000000000017</v>
      </c>
    </row>
    <row r="90" spans="1:9" ht="13" x14ac:dyDescent="0.3">
      <c r="A90" s="121" t="s">
        <v>509</v>
      </c>
      <c r="B90" s="82"/>
      <c r="C90" s="540">
        <v>0.28599999999999998</v>
      </c>
      <c r="D90" s="310">
        <v>7.27</v>
      </c>
      <c r="E90" s="85">
        <v>19.670000000000002</v>
      </c>
      <c r="F90" s="310">
        <v>8.86</v>
      </c>
      <c r="G90" s="89"/>
      <c r="H90" s="440" t="s">
        <v>526</v>
      </c>
      <c r="I90" s="333">
        <f>AVERAGE(D84:D87)</f>
        <v>7.4375</v>
      </c>
    </row>
    <row r="91" spans="1:9" ht="13" x14ac:dyDescent="0.3">
      <c r="A91" s="121" t="s">
        <v>178</v>
      </c>
      <c r="B91" s="82"/>
      <c r="C91" s="515">
        <v>0.28699999999999998</v>
      </c>
      <c r="D91" s="310">
        <v>7.04</v>
      </c>
      <c r="E91" s="85">
        <v>19.66</v>
      </c>
      <c r="F91" s="310">
        <v>8.8800000000000008</v>
      </c>
      <c r="G91" s="89"/>
    </row>
    <row r="92" spans="1:9" ht="13" x14ac:dyDescent="0.3">
      <c r="A92" s="121" t="s">
        <v>179</v>
      </c>
      <c r="B92" s="82"/>
      <c r="C92" s="515">
        <v>0.28499999999999998</v>
      </c>
      <c r="D92" s="310">
        <v>6.97</v>
      </c>
      <c r="E92" s="85">
        <v>19.25</v>
      </c>
      <c r="F92" s="310">
        <v>8.9</v>
      </c>
      <c r="G92" s="89"/>
    </row>
    <row r="93" spans="1:9" ht="13" x14ac:dyDescent="0.3">
      <c r="A93" s="121" t="s">
        <v>180</v>
      </c>
      <c r="B93" s="82"/>
      <c r="C93" s="515">
        <v>0.28199999999999997</v>
      </c>
      <c r="D93" s="310">
        <v>6.87</v>
      </c>
      <c r="E93" s="85">
        <v>19.16</v>
      </c>
      <c r="F93" s="310">
        <v>8.7100000000000009</v>
      </c>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3:H33"/>
    <mergeCell ref="G35:H35"/>
    <mergeCell ref="A28:C28"/>
    <mergeCell ref="D28:F28"/>
    <mergeCell ref="G28:H28"/>
    <mergeCell ref="B31:C31"/>
    <mergeCell ref="E31:F31"/>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V95"/>
  <sheetViews>
    <sheetView workbookViewId="0">
      <selection activeCell="G8" sqref="G8"/>
    </sheetView>
  </sheetViews>
  <sheetFormatPr defaultRowHeight="12.5" x14ac:dyDescent="0.25"/>
  <cols>
    <col min="1" max="1" width="16.6328125" customWidth="1"/>
    <col min="2" max="2" width="10.08984375" bestFit="1" customWidth="1"/>
    <col min="4" max="4" width="11.54296875" customWidth="1"/>
    <col min="8" max="8" width="12" customWidth="1"/>
    <col min="9" max="9" width="16" customWidth="1"/>
    <col min="10" max="10" width="23.6328125" customWidth="1"/>
    <col min="11" max="11" width="14.90625" customWidth="1"/>
    <col min="20" max="20" width="16" bestFit="1" customWidth="1"/>
    <col min="21" max="21" width="9.08984375" bestFit="1" customWidth="1"/>
  </cols>
  <sheetData>
    <row r="1" spans="1:22" ht="14" x14ac:dyDescent="0.3">
      <c r="A1" s="129" t="s">
        <v>505</v>
      </c>
    </row>
    <row r="2" spans="1:22" ht="13" x14ac:dyDescent="0.3">
      <c r="A2" s="1" t="s">
        <v>168</v>
      </c>
      <c r="B2" s="148">
        <v>40812</v>
      </c>
      <c r="I2" s="1"/>
      <c r="J2" s="29"/>
      <c r="K2" s="160"/>
      <c r="L2" s="1"/>
      <c r="M2" s="1"/>
      <c r="N2" s="8"/>
      <c r="O2" s="159"/>
      <c r="T2" s="509" t="s">
        <v>246</v>
      </c>
      <c r="U2" s="510">
        <v>40812</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514">
        <v>6</v>
      </c>
    </row>
    <row r="4" spans="1:22" ht="13" x14ac:dyDescent="0.3">
      <c r="A4" s="91" t="s">
        <v>213</v>
      </c>
      <c r="B4" s="137">
        <v>0.41944444444444445</v>
      </c>
      <c r="C4" s="82">
        <v>1.36</v>
      </c>
      <c r="D4" s="82">
        <v>9.26</v>
      </c>
      <c r="E4" s="82">
        <v>13.7</v>
      </c>
      <c r="F4" s="82">
        <v>8.51</v>
      </c>
      <c r="G4" s="89"/>
      <c r="I4" s="168"/>
      <c r="J4" s="169"/>
      <c r="K4" s="163"/>
      <c r="L4" s="11"/>
      <c r="M4" s="165"/>
      <c r="N4" s="166"/>
      <c r="O4" s="170"/>
      <c r="T4" s="179" t="s">
        <v>253</v>
      </c>
      <c r="U4" s="515">
        <v>14</v>
      </c>
    </row>
    <row r="5" spans="1:22" ht="13" x14ac:dyDescent="0.3">
      <c r="A5" s="91" t="s">
        <v>214</v>
      </c>
      <c r="B5" s="137">
        <v>0.43194444444444446</v>
      </c>
      <c r="C5" s="82">
        <v>0.188</v>
      </c>
      <c r="D5" s="82">
        <v>8.49</v>
      </c>
      <c r="E5" s="82">
        <v>13.3</v>
      </c>
      <c r="F5" s="82">
        <v>7.88</v>
      </c>
      <c r="G5" s="89"/>
      <c r="I5" s="168"/>
      <c r="J5" s="169"/>
      <c r="K5" s="172"/>
      <c r="L5" s="173"/>
      <c r="M5" s="174"/>
      <c r="N5" s="175"/>
      <c r="O5" s="170"/>
      <c r="T5" s="309" t="s">
        <v>257</v>
      </c>
      <c r="U5" s="515">
        <v>1</v>
      </c>
    </row>
    <row r="6" spans="1:22" ht="13" x14ac:dyDescent="0.3">
      <c r="A6" s="91" t="s">
        <v>215</v>
      </c>
      <c r="B6" s="137">
        <v>0.44861111111111113</v>
      </c>
      <c r="C6" s="82">
        <v>0.311</v>
      </c>
      <c r="D6" s="82">
        <v>6.1</v>
      </c>
      <c r="E6" s="82">
        <v>18.2</v>
      </c>
      <c r="F6" s="82">
        <v>8.25</v>
      </c>
      <c r="G6" s="89"/>
      <c r="I6" s="20"/>
      <c r="J6" s="162"/>
      <c r="K6" s="163"/>
      <c r="L6" s="28"/>
      <c r="M6" s="165"/>
      <c r="N6" s="166"/>
      <c r="O6" s="167"/>
      <c r="T6" s="179" t="s">
        <v>247</v>
      </c>
      <c r="U6" s="515">
        <v>28</v>
      </c>
    </row>
    <row r="7" spans="1:22" ht="14" x14ac:dyDescent="0.3">
      <c r="A7" s="91" t="s">
        <v>208</v>
      </c>
      <c r="B7" s="222" t="s">
        <v>539</v>
      </c>
      <c r="C7" s="223"/>
      <c r="D7" s="223"/>
      <c r="E7" s="223"/>
      <c r="F7" s="224"/>
      <c r="G7" s="188" t="s">
        <v>184</v>
      </c>
      <c r="H7" s="189" t="s">
        <v>195</v>
      </c>
      <c r="I7" s="168"/>
      <c r="J7" s="169"/>
      <c r="K7" s="163"/>
      <c r="L7" s="11"/>
      <c r="M7" s="165"/>
      <c r="N7" s="166"/>
      <c r="O7" s="170"/>
      <c r="T7" s="446" t="s">
        <v>537</v>
      </c>
      <c r="U7" s="515">
        <v>3</v>
      </c>
    </row>
    <row r="8" spans="1:22" ht="13" x14ac:dyDescent="0.3">
      <c r="A8" s="121" t="s">
        <v>506</v>
      </c>
      <c r="B8" s="201">
        <v>0.48402777777777778</v>
      </c>
      <c r="C8" s="82">
        <v>0.311</v>
      </c>
      <c r="D8" s="82">
        <v>7.02</v>
      </c>
      <c r="E8" s="82">
        <v>17.8</v>
      </c>
      <c r="F8" s="82">
        <v>7.93</v>
      </c>
      <c r="G8" s="128">
        <v>1.3</v>
      </c>
      <c r="H8" s="178">
        <v>10.65</v>
      </c>
      <c r="I8" s="168"/>
      <c r="J8" s="169"/>
      <c r="K8" s="172"/>
      <c r="L8" s="173"/>
      <c r="M8" s="174"/>
      <c r="N8" s="175"/>
      <c r="O8" s="170"/>
      <c r="T8" s="446" t="s">
        <v>538</v>
      </c>
      <c r="U8" s="515">
        <v>2</v>
      </c>
    </row>
    <row r="9" spans="1:22" ht="13" x14ac:dyDescent="0.3">
      <c r="A9" s="121" t="s">
        <v>175</v>
      </c>
      <c r="B9" s="82"/>
      <c r="C9" s="82">
        <v>0.312</v>
      </c>
      <c r="D9" s="82">
        <v>6.96</v>
      </c>
      <c r="E9" s="82">
        <v>17.8</v>
      </c>
      <c r="F9" s="82">
        <v>7.84</v>
      </c>
      <c r="G9" s="89"/>
      <c r="K9" s="177"/>
      <c r="M9" s="174"/>
      <c r="N9" s="175"/>
      <c r="O9" s="167"/>
      <c r="T9" s="179" t="s">
        <v>249</v>
      </c>
      <c r="U9" s="515">
        <v>44</v>
      </c>
    </row>
    <row r="10" spans="1:22" ht="13" x14ac:dyDescent="0.3">
      <c r="A10" s="121" t="s">
        <v>507</v>
      </c>
      <c r="B10" s="82"/>
      <c r="C10" s="82">
        <v>0.312</v>
      </c>
      <c r="D10" s="82">
        <v>6.81</v>
      </c>
      <c r="E10" s="82">
        <v>17.8</v>
      </c>
      <c r="F10" s="82">
        <v>7.8</v>
      </c>
      <c r="G10" s="89"/>
      <c r="H10" s="176" t="s">
        <v>521</v>
      </c>
      <c r="I10" s="442">
        <f>AVERAGE(E8:E11)</f>
        <v>17.8</v>
      </c>
      <c r="K10" s="163"/>
      <c r="L10" s="28"/>
      <c r="M10" s="165"/>
      <c r="N10" s="166"/>
      <c r="O10" s="167"/>
      <c r="T10" s="179" t="s">
        <v>250</v>
      </c>
      <c r="U10" s="515">
        <v>20</v>
      </c>
      <c r="V10" s="20"/>
    </row>
    <row r="11" spans="1:22" ht="13" x14ac:dyDescent="0.3">
      <c r="A11" s="121" t="s">
        <v>176</v>
      </c>
      <c r="B11" s="82"/>
      <c r="C11" s="82">
        <v>0.312</v>
      </c>
      <c r="D11" s="82">
        <v>6.79</v>
      </c>
      <c r="E11" s="82">
        <v>17.8</v>
      </c>
      <c r="F11" s="82">
        <v>7.79</v>
      </c>
      <c r="G11" s="89"/>
      <c r="H11" s="20" t="s">
        <v>549</v>
      </c>
      <c r="I11" s="442">
        <f>AVERAGE(E8:E19)</f>
        <v>17.733333333333331</v>
      </c>
      <c r="K11" s="163"/>
      <c r="L11" s="11"/>
      <c r="M11" s="165"/>
      <c r="N11" s="166"/>
      <c r="O11" s="170"/>
      <c r="T11" s="511" t="s">
        <v>628</v>
      </c>
      <c r="U11" s="515">
        <v>14</v>
      </c>
    </row>
    <row r="12" spans="1:22" ht="13" x14ac:dyDescent="0.3">
      <c r="A12" s="121" t="s">
        <v>508</v>
      </c>
      <c r="B12" s="82"/>
      <c r="C12" s="82">
        <v>0.312</v>
      </c>
      <c r="D12" s="82">
        <v>6.8</v>
      </c>
      <c r="E12" s="82">
        <v>17.7</v>
      </c>
      <c r="F12" s="82">
        <v>7.79</v>
      </c>
      <c r="G12" s="89"/>
      <c r="H12" s="168"/>
      <c r="I12" s="169"/>
      <c r="K12" s="172"/>
      <c r="L12" s="173"/>
      <c r="M12" s="174"/>
      <c r="N12" s="175"/>
      <c r="O12" s="170"/>
      <c r="T12" s="179" t="s">
        <v>251</v>
      </c>
      <c r="U12" s="208">
        <v>26</v>
      </c>
    </row>
    <row r="13" spans="1:22" ht="13" x14ac:dyDescent="0.3">
      <c r="A13" s="121" t="s">
        <v>177</v>
      </c>
      <c r="B13" s="82"/>
      <c r="C13" s="82">
        <v>0.312</v>
      </c>
      <c r="D13" s="82">
        <v>6.78</v>
      </c>
      <c r="E13" s="82">
        <v>17.7</v>
      </c>
      <c r="F13" s="82">
        <v>7.79</v>
      </c>
      <c r="G13" s="89"/>
      <c r="H13" s="440" t="s">
        <v>548</v>
      </c>
      <c r="I13" s="333">
        <f>AVERAGE(D8:D22)</f>
        <v>6.7559999999999993</v>
      </c>
      <c r="K13" s="163"/>
      <c r="L13" s="28"/>
      <c r="M13" s="165"/>
      <c r="N13" s="166"/>
      <c r="O13" s="167"/>
      <c r="T13" s="179" t="s">
        <v>576</v>
      </c>
      <c r="U13" s="515">
        <v>5</v>
      </c>
    </row>
    <row r="14" spans="1:22" ht="13" x14ac:dyDescent="0.3">
      <c r="A14" s="121" t="s">
        <v>509</v>
      </c>
      <c r="B14" s="82"/>
      <c r="C14" s="82">
        <v>0.312</v>
      </c>
      <c r="D14" s="82">
        <v>6.91</v>
      </c>
      <c r="E14" s="82">
        <v>17.7</v>
      </c>
      <c r="F14" s="82">
        <v>7.75</v>
      </c>
      <c r="G14" s="89"/>
      <c r="H14" s="440" t="s">
        <v>526</v>
      </c>
      <c r="I14" s="333">
        <f>AVERAGE(D8:D11)</f>
        <v>6.8949999999999996</v>
      </c>
      <c r="K14" s="163"/>
      <c r="L14" s="11"/>
      <c r="M14" s="165"/>
      <c r="N14" s="166"/>
      <c r="O14" s="170"/>
    </row>
    <row r="15" spans="1:22" ht="13" x14ac:dyDescent="0.3">
      <c r="A15" s="121" t="s">
        <v>178</v>
      </c>
      <c r="B15" s="82"/>
      <c r="C15" s="82">
        <v>0.312</v>
      </c>
      <c r="D15" s="82">
        <v>6.84</v>
      </c>
      <c r="E15" s="82">
        <v>17.7</v>
      </c>
      <c r="F15" s="82">
        <v>7.74</v>
      </c>
      <c r="G15" s="89"/>
      <c r="K15" s="172"/>
      <c r="L15" s="173"/>
      <c r="M15" s="174"/>
      <c r="N15" s="175"/>
      <c r="O15" s="170"/>
    </row>
    <row r="16" spans="1:22" ht="13" x14ac:dyDescent="0.3">
      <c r="A16" s="121" t="s">
        <v>179</v>
      </c>
      <c r="B16" s="137"/>
      <c r="C16" s="82">
        <v>0.312</v>
      </c>
      <c r="D16" s="82">
        <v>7.04</v>
      </c>
      <c r="E16" s="82">
        <v>17.7</v>
      </c>
      <c r="F16" s="82">
        <v>7.74</v>
      </c>
      <c r="G16" s="89"/>
      <c r="H16" s="440" t="s">
        <v>547</v>
      </c>
      <c r="I16" s="333">
        <f>AVERAGE(F8:F9)</f>
        <v>7.8849999999999998</v>
      </c>
      <c r="K16" s="163"/>
      <c r="L16" s="28"/>
      <c r="M16" s="165"/>
      <c r="N16" s="166"/>
      <c r="O16" s="167"/>
    </row>
    <row r="17" spans="1:20" ht="13" x14ac:dyDescent="0.3">
      <c r="A17" s="121" t="s">
        <v>180</v>
      </c>
      <c r="B17" s="137"/>
      <c r="C17" s="82">
        <v>0.312</v>
      </c>
      <c r="D17" s="312">
        <v>6.73</v>
      </c>
      <c r="E17" s="82">
        <v>17.7</v>
      </c>
      <c r="F17" s="82">
        <v>7.73</v>
      </c>
      <c r="G17" s="89"/>
      <c r="H17" s="440" t="s">
        <v>546</v>
      </c>
      <c r="I17" s="441">
        <f>AVERAGE(C8:C22)</f>
        <v>0.31066666666666659</v>
      </c>
      <c r="J17" s="169"/>
      <c r="K17" s="163"/>
      <c r="L17" s="11"/>
      <c r="M17" s="165"/>
      <c r="N17" s="166"/>
      <c r="O17" s="170"/>
    </row>
    <row r="18" spans="1:20" ht="13" x14ac:dyDescent="0.3">
      <c r="A18" s="121" t="s">
        <v>181</v>
      </c>
      <c r="B18" s="82"/>
      <c r="C18" s="82">
        <v>0.312</v>
      </c>
      <c r="D18" s="312">
        <v>6.47</v>
      </c>
      <c r="E18" s="82">
        <v>17.7</v>
      </c>
      <c r="F18" s="82">
        <v>7.76</v>
      </c>
      <c r="G18" s="89"/>
      <c r="I18" s="168"/>
      <c r="J18" s="169"/>
      <c r="K18" s="172"/>
      <c r="L18" s="173"/>
      <c r="M18" s="174"/>
      <c r="N18" s="175"/>
      <c r="O18" s="170"/>
    </row>
    <row r="19" spans="1:20" ht="13" x14ac:dyDescent="0.3">
      <c r="A19" s="121" t="s">
        <v>182</v>
      </c>
      <c r="B19" s="82"/>
      <c r="C19" s="82">
        <v>0.312</v>
      </c>
      <c r="D19" s="312">
        <v>6.89</v>
      </c>
      <c r="E19" s="82">
        <v>17.7</v>
      </c>
      <c r="F19" s="82">
        <v>7.77</v>
      </c>
      <c r="G19" s="89"/>
      <c r="I19" s="168"/>
      <c r="J19" s="169"/>
      <c r="K19" s="172"/>
      <c r="L19" s="173"/>
      <c r="M19" s="174"/>
      <c r="N19" s="175"/>
      <c r="S19" s="149"/>
    </row>
    <row r="20" spans="1:20" ht="13" x14ac:dyDescent="0.3">
      <c r="A20" s="121" t="s">
        <v>183</v>
      </c>
      <c r="B20" s="82"/>
      <c r="C20" s="82">
        <v>0.312</v>
      </c>
      <c r="D20" s="312">
        <v>6.74</v>
      </c>
      <c r="E20" s="82">
        <v>17.600000000000001</v>
      </c>
      <c r="F20" s="82">
        <v>7.78</v>
      </c>
      <c r="G20" s="89"/>
      <c r="I20" s="168"/>
      <c r="J20" s="169"/>
      <c r="K20" s="172"/>
      <c r="L20" s="173"/>
      <c r="M20" s="174"/>
      <c r="N20" s="175"/>
      <c r="S20" s="447"/>
      <c r="T20" s="447"/>
    </row>
    <row r="21" spans="1:20" ht="13" x14ac:dyDescent="0.3">
      <c r="A21" s="121" t="s">
        <v>206</v>
      </c>
      <c r="B21" s="82"/>
      <c r="C21" s="82">
        <v>0.30299999999999999</v>
      </c>
      <c r="D21" s="312">
        <v>6.32</v>
      </c>
      <c r="E21" s="82">
        <v>17.2</v>
      </c>
      <c r="F21" s="82">
        <v>7.74</v>
      </c>
      <c r="G21" s="89"/>
      <c r="I21" s="168"/>
      <c r="J21" s="169"/>
      <c r="K21" s="172"/>
      <c r="L21" s="173"/>
      <c r="M21" s="174"/>
      <c r="N21" s="175"/>
      <c r="S21" s="86"/>
      <c r="T21" s="86"/>
    </row>
    <row r="22" spans="1:20" ht="13" x14ac:dyDescent="0.3">
      <c r="A22" s="121" t="s">
        <v>207</v>
      </c>
      <c r="B22" s="82"/>
      <c r="C22" s="82">
        <v>0.30199999999999999</v>
      </c>
      <c r="D22" s="82">
        <v>6.24</v>
      </c>
      <c r="E22" s="82">
        <v>17.2</v>
      </c>
      <c r="F22" s="82">
        <v>7.65</v>
      </c>
      <c r="G22" s="89"/>
      <c r="S22" s="86"/>
      <c r="T22" s="86"/>
    </row>
    <row r="23" spans="1:20" ht="13" x14ac:dyDescent="0.3">
      <c r="A23" s="121" t="s">
        <v>209</v>
      </c>
      <c r="B23" s="137">
        <v>0.4604166666666667</v>
      </c>
      <c r="C23" s="82">
        <v>1.1100000000000001</v>
      </c>
      <c r="D23" s="82">
        <v>7.48</v>
      </c>
      <c r="E23" s="82">
        <v>12.8</v>
      </c>
      <c r="F23" s="186">
        <v>8.2200000000000006</v>
      </c>
      <c r="G23" s="179"/>
      <c r="H23" s="20"/>
      <c r="S23" s="86"/>
      <c r="T23" s="86"/>
    </row>
    <row r="24" spans="1:20" ht="13" x14ac:dyDescent="0.3">
      <c r="A24" s="306" t="s">
        <v>210</v>
      </c>
      <c r="B24" s="137">
        <v>0.46597222222222223</v>
      </c>
      <c r="C24" s="82">
        <v>0.96</v>
      </c>
      <c r="D24" s="82">
        <v>9.0399999999999991</v>
      </c>
      <c r="E24" s="82">
        <v>14.4</v>
      </c>
      <c r="F24" s="186">
        <v>8.4600000000000009</v>
      </c>
      <c r="G24" s="179"/>
      <c r="H24" s="20"/>
      <c r="S24" s="86"/>
      <c r="T24" s="86"/>
    </row>
    <row r="25" spans="1:20" x14ac:dyDescent="0.25">
      <c r="A25" s="125" t="s">
        <v>11</v>
      </c>
      <c r="B25" s="193" t="s">
        <v>694</v>
      </c>
      <c r="C25" s="126"/>
      <c r="D25" s="126"/>
      <c r="E25" s="126"/>
      <c r="F25" s="126"/>
      <c r="G25" s="126"/>
      <c r="S25" s="86"/>
      <c r="T25" s="86"/>
    </row>
    <row r="26" spans="1:20" x14ac:dyDescent="0.25">
      <c r="A26" s="138"/>
      <c r="B26" s="20" t="s">
        <v>707</v>
      </c>
      <c r="D26" s="322"/>
      <c r="E26" s="322"/>
      <c r="F26" s="322"/>
      <c r="G26" s="322"/>
      <c r="S26" s="86"/>
      <c r="T26" s="86"/>
    </row>
    <row r="27" spans="1:20" x14ac:dyDescent="0.25">
      <c r="A27" s="138"/>
      <c r="B27" s="322"/>
      <c r="C27" s="322"/>
      <c r="D27" s="322"/>
      <c r="E27" s="322"/>
      <c r="F27" s="322"/>
      <c r="G27" s="322"/>
      <c r="S27" s="86"/>
      <c r="T27" s="86"/>
    </row>
    <row r="28" spans="1:20" ht="23" x14ac:dyDescent="0.25">
      <c r="A28" s="953" t="s">
        <v>127</v>
      </c>
      <c r="B28" s="954"/>
      <c r="C28" s="955"/>
      <c r="D28" s="953" t="s">
        <v>130</v>
      </c>
      <c r="E28" s="954"/>
      <c r="F28" s="955"/>
      <c r="G28" s="956" t="s">
        <v>31</v>
      </c>
      <c r="H28" s="956"/>
      <c r="J28" s="135" t="s">
        <v>187</v>
      </c>
      <c r="K28" s="135" t="s">
        <v>188</v>
      </c>
      <c r="L28" s="136" t="s">
        <v>189</v>
      </c>
      <c r="M28" s="135" t="s">
        <v>190</v>
      </c>
      <c r="N28" s="136" t="s">
        <v>191</v>
      </c>
      <c r="S28" s="86"/>
      <c r="T28" s="86"/>
    </row>
    <row r="29" spans="1:20" ht="15.5" x14ac:dyDescent="0.35">
      <c r="A29" s="518" t="s">
        <v>170</v>
      </c>
      <c r="B29" s="519">
        <v>0.41944444444444445</v>
      </c>
      <c r="C29" s="520">
        <v>0.64</v>
      </c>
      <c r="D29" s="518" t="s">
        <v>170</v>
      </c>
      <c r="E29" s="519">
        <v>0.43541666666666662</v>
      </c>
      <c r="F29" s="521">
        <v>3.7</v>
      </c>
      <c r="G29" s="518" t="s">
        <v>170</v>
      </c>
      <c r="H29" s="519">
        <v>0.44861111111111113</v>
      </c>
      <c r="J29" s="132">
        <v>2</v>
      </c>
      <c r="K29" s="132">
        <v>0.28000000000000003</v>
      </c>
      <c r="L29" s="132">
        <v>0.2</v>
      </c>
      <c r="M29" s="132">
        <f>K29*3</f>
        <v>0.84000000000000008</v>
      </c>
      <c r="N29" s="133">
        <f>L29*M29</f>
        <v>0.16800000000000004</v>
      </c>
      <c r="S29" s="86"/>
      <c r="T29" s="86"/>
    </row>
    <row r="30" spans="1:20" ht="15.5" x14ac:dyDescent="0.35">
      <c r="A30" s="518" t="s">
        <v>185</v>
      </c>
      <c r="B30" s="517">
        <v>6</v>
      </c>
      <c r="C30" s="522"/>
      <c r="D30" s="518" t="s">
        <v>185</v>
      </c>
      <c r="E30" s="520">
        <v>18</v>
      </c>
      <c r="F30" s="522"/>
      <c r="G30" s="518" t="s">
        <v>185</v>
      </c>
      <c r="H30" s="520">
        <v>50</v>
      </c>
      <c r="I30" s="512"/>
      <c r="J30" s="132">
        <v>4</v>
      </c>
      <c r="K30" s="132">
        <v>0.72</v>
      </c>
      <c r="L30" s="132">
        <v>0.5</v>
      </c>
      <c r="M30" s="132">
        <f>K30*2</f>
        <v>1.44</v>
      </c>
      <c r="N30" s="133">
        <f>L30*M30</f>
        <v>0.72</v>
      </c>
      <c r="S30" s="86"/>
      <c r="T30" s="86"/>
    </row>
    <row r="31" spans="1:20" ht="15.5" x14ac:dyDescent="0.35">
      <c r="A31" s="523" t="s">
        <v>186</v>
      </c>
      <c r="B31" s="957" t="s">
        <v>644</v>
      </c>
      <c r="C31" s="957"/>
      <c r="D31" s="523" t="s">
        <v>186</v>
      </c>
      <c r="E31" s="957" t="s">
        <v>695</v>
      </c>
      <c r="F31" s="957"/>
      <c r="G31" s="523" t="s">
        <v>186</v>
      </c>
      <c r="H31" s="524" t="s">
        <v>330</v>
      </c>
      <c r="J31" s="132">
        <v>6</v>
      </c>
      <c r="K31" s="132">
        <v>0.62</v>
      </c>
      <c r="L31" s="132">
        <v>0.4</v>
      </c>
      <c r="M31" s="132">
        <f>K31*2</f>
        <v>1.24</v>
      </c>
      <c r="N31" s="133">
        <f t="shared" ref="N31:N38" si="0">L31*M31</f>
        <v>0.496</v>
      </c>
    </row>
    <row r="32" spans="1:20" ht="24" x14ac:dyDescent="0.35">
      <c r="A32" s="313" t="s">
        <v>187</v>
      </c>
      <c r="B32" s="313" t="s">
        <v>188</v>
      </c>
      <c r="C32" s="314" t="s">
        <v>189</v>
      </c>
      <c r="D32" s="313" t="s">
        <v>187</v>
      </c>
      <c r="E32" s="313" t="s">
        <v>188</v>
      </c>
      <c r="F32" s="314" t="s">
        <v>189</v>
      </c>
      <c r="G32" s="313" t="s">
        <v>188</v>
      </c>
      <c r="H32" s="314" t="s">
        <v>189</v>
      </c>
      <c r="J32" s="132">
        <v>8</v>
      </c>
      <c r="K32" s="132">
        <v>0.42</v>
      </c>
      <c r="L32" s="132">
        <v>0.6</v>
      </c>
      <c r="M32" s="132">
        <f>K32*2</f>
        <v>0.84</v>
      </c>
      <c r="N32" s="133">
        <f t="shared" si="0"/>
        <v>0.504</v>
      </c>
    </row>
    <row r="33" spans="1:14" ht="15.5" x14ac:dyDescent="0.35">
      <c r="A33" s="152">
        <v>2</v>
      </c>
      <c r="B33" s="132">
        <v>0.35</v>
      </c>
      <c r="C33" s="132">
        <v>0.7</v>
      </c>
      <c r="D33" s="152">
        <v>2</v>
      </c>
      <c r="E33" s="132">
        <v>0.28000000000000003</v>
      </c>
      <c r="F33" s="132">
        <v>0.2</v>
      </c>
      <c r="G33" s="947" t="s">
        <v>31</v>
      </c>
      <c r="H33" s="947"/>
      <c r="J33" s="132">
        <v>10</v>
      </c>
      <c r="K33" s="132">
        <v>0.4</v>
      </c>
      <c r="L33" s="132">
        <v>0.2</v>
      </c>
      <c r="M33" s="132">
        <f t="shared" ref="M33:M38" si="1">K33*2</f>
        <v>0.8</v>
      </c>
      <c r="N33" s="133">
        <f t="shared" si="0"/>
        <v>0.16000000000000003</v>
      </c>
    </row>
    <row r="34" spans="1:14" ht="15.5" x14ac:dyDescent="0.35">
      <c r="A34" s="152">
        <v>4</v>
      </c>
      <c r="B34" s="132">
        <v>0.32</v>
      </c>
      <c r="C34" s="132">
        <v>0.3</v>
      </c>
      <c r="D34" s="152">
        <v>4</v>
      </c>
      <c r="E34" s="132">
        <v>0.72</v>
      </c>
      <c r="F34" s="132">
        <v>0.5</v>
      </c>
      <c r="G34" s="132">
        <v>0.09</v>
      </c>
      <c r="H34" s="133">
        <v>0.8</v>
      </c>
      <c r="I34" s="444">
        <v>3.6</v>
      </c>
      <c r="J34" s="132">
        <v>12</v>
      </c>
      <c r="K34" s="134">
        <v>0.49</v>
      </c>
      <c r="L34" s="132">
        <v>1.2</v>
      </c>
      <c r="M34" s="132">
        <f t="shared" si="1"/>
        <v>0.98</v>
      </c>
      <c r="N34" s="133">
        <f t="shared" si="0"/>
        <v>1.1759999999999999</v>
      </c>
    </row>
    <row r="35" spans="1:14" ht="15.5" x14ac:dyDescent="0.35">
      <c r="A35" s="152">
        <v>6</v>
      </c>
      <c r="B35" s="132"/>
      <c r="C35" s="132"/>
      <c r="D35" s="331">
        <v>6</v>
      </c>
      <c r="E35" s="132">
        <v>0.62</v>
      </c>
      <c r="F35" s="132">
        <v>0.4</v>
      </c>
      <c r="G35" s="948" t="s">
        <v>196</v>
      </c>
      <c r="H35" s="949"/>
      <c r="I35" s="158"/>
      <c r="J35" s="132">
        <v>14</v>
      </c>
      <c r="K35" s="134">
        <v>0.57999999999999996</v>
      </c>
      <c r="L35" s="134">
        <v>0.7</v>
      </c>
      <c r="M35" s="132">
        <f t="shared" si="1"/>
        <v>1.1599999999999999</v>
      </c>
      <c r="N35" s="133">
        <f t="shared" si="0"/>
        <v>0.81199999999999994</v>
      </c>
    </row>
    <row r="36" spans="1:14" ht="15.5" x14ac:dyDescent="0.35">
      <c r="A36" s="152">
        <v>8</v>
      </c>
      <c r="B36" s="132"/>
      <c r="C36" s="132"/>
      <c r="D36" s="152">
        <v>8</v>
      </c>
      <c r="E36" s="132">
        <v>0.42</v>
      </c>
      <c r="F36" s="132">
        <v>0.6</v>
      </c>
      <c r="G36" s="132" t="s">
        <v>487</v>
      </c>
      <c r="H36" s="133">
        <v>0.6</v>
      </c>
      <c r="I36" s="444">
        <v>0.48</v>
      </c>
      <c r="J36" s="132">
        <v>16</v>
      </c>
      <c r="K36" s="134">
        <v>0.25</v>
      </c>
      <c r="L36" s="134">
        <v>0.7</v>
      </c>
      <c r="M36" s="132">
        <f>K36*3</f>
        <v>0.75</v>
      </c>
      <c r="N36" s="133">
        <f t="shared" si="0"/>
        <v>0.52499999999999991</v>
      </c>
    </row>
    <row r="37" spans="1:14" ht="15.5" x14ac:dyDescent="0.35">
      <c r="A37" s="152">
        <v>12</v>
      </c>
      <c r="B37" s="132"/>
      <c r="C37" s="132"/>
      <c r="D37" s="152">
        <v>10</v>
      </c>
      <c r="E37" s="132">
        <v>0.4</v>
      </c>
      <c r="F37" s="132">
        <v>0.2</v>
      </c>
      <c r="G37" s="132" t="s">
        <v>197</v>
      </c>
      <c r="H37" s="133"/>
      <c r="I37" s="158"/>
      <c r="J37" s="132">
        <v>18</v>
      </c>
      <c r="K37" s="82"/>
      <c r="L37" s="194"/>
      <c r="M37" s="132">
        <f t="shared" si="1"/>
        <v>0</v>
      </c>
      <c r="N37" s="133">
        <f t="shared" si="0"/>
        <v>0</v>
      </c>
    </row>
    <row r="38" spans="1:14" ht="15.5" x14ac:dyDescent="0.35">
      <c r="A38" s="123"/>
      <c r="B38" s="132"/>
      <c r="C38" s="132"/>
      <c r="D38" s="152">
        <v>12</v>
      </c>
      <c r="E38" s="134">
        <v>0.49</v>
      </c>
      <c r="F38" s="132">
        <v>1.2</v>
      </c>
      <c r="G38" s="132" t="s">
        <v>696</v>
      </c>
      <c r="H38" s="133">
        <v>0.7</v>
      </c>
      <c r="I38" s="445">
        <v>0.38</v>
      </c>
      <c r="J38" s="132">
        <v>20</v>
      </c>
      <c r="K38" s="132"/>
      <c r="L38" s="132"/>
      <c r="M38" s="132">
        <f t="shared" si="1"/>
        <v>0</v>
      </c>
      <c r="N38" s="133">
        <f t="shared" si="0"/>
        <v>0</v>
      </c>
    </row>
    <row r="39" spans="1:14" ht="15.5" x14ac:dyDescent="0.35">
      <c r="C39" s="443">
        <v>1.02</v>
      </c>
      <c r="D39" s="152">
        <v>14</v>
      </c>
      <c r="E39" s="134">
        <v>0.57999999999999996</v>
      </c>
      <c r="F39" s="134">
        <v>0.7</v>
      </c>
      <c r="N39" s="6">
        <f>SUM(N29:N38)</f>
        <v>4.5609999999999999</v>
      </c>
    </row>
    <row r="40" spans="1:14" ht="15.5" x14ac:dyDescent="0.35">
      <c r="A40" s="319"/>
      <c r="D40" s="152">
        <v>16</v>
      </c>
      <c r="E40" s="134">
        <v>0.25</v>
      </c>
      <c r="F40" s="134">
        <v>0.7</v>
      </c>
    </row>
    <row r="41" spans="1:14" ht="15.5" x14ac:dyDescent="0.35">
      <c r="A41" s="319"/>
      <c r="D41" s="152">
        <v>18</v>
      </c>
      <c r="E41" s="82"/>
      <c r="F41" s="194"/>
    </row>
    <row r="42" spans="1:14" ht="15.5" x14ac:dyDescent="0.35">
      <c r="F42" s="366">
        <v>4.5999999999999996</v>
      </c>
    </row>
    <row r="43" spans="1:14" ht="14" x14ac:dyDescent="0.3">
      <c r="A43" s="129" t="s">
        <v>211</v>
      </c>
      <c r="C43" s="11" t="s">
        <v>212</v>
      </c>
      <c r="D43" s="148">
        <v>40812</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v>0.49444444444444446</v>
      </c>
      <c r="C45" s="225">
        <v>0.313</v>
      </c>
      <c r="D45" s="225">
        <v>7.44</v>
      </c>
      <c r="E45" s="515">
        <v>17.899999999999999</v>
      </c>
      <c r="F45" s="225">
        <v>8.19</v>
      </c>
      <c r="G45" s="128">
        <v>1.8</v>
      </c>
      <c r="H45" s="82">
        <v>8.1999999999999993</v>
      </c>
    </row>
    <row r="46" spans="1:14" ht="14" x14ac:dyDescent="0.3">
      <c r="A46" s="121" t="s">
        <v>175</v>
      </c>
      <c r="B46" s="82"/>
      <c r="C46" s="225">
        <v>0.313</v>
      </c>
      <c r="D46" s="225">
        <v>7.06</v>
      </c>
      <c r="E46" s="515">
        <v>17.8</v>
      </c>
      <c r="F46" s="225">
        <v>8.08</v>
      </c>
      <c r="G46" s="89"/>
    </row>
    <row r="47" spans="1:14" ht="14" x14ac:dyDescent="0.3">
      <c r="A47" s="121" t="s">
        <v>507</v>
      </c>
      <c r="B47" s="82"/>
      <c r="C47" s="225">
        <v>0.313</v>
      </c>
      <c r="D47" s="225">
        <v>6.75</v>
      </c>
      <c r="E47" s="515">
        <v>17.8</v>
      </c>
      <c r="F47" s="225">
        <v>8.01</v>
      </c>
      <c r="G47" s="89"/>
      <c r="H47" s="176" t="s">
        <v>521</v>
      </c>
      <c r="I47" s="442">
        <f>AVERAGE(E45:E48)</f>
        <v>17.824999999999999</v>
      </c>
    </row>
    <row r="48" spans="1:14" ht="14" x14ac:dyDescent="0.3">
      <c r="A48" s="121" t="s">
        <v>176</v>
      </c>
      <c r="B48" s="82"/>
      <c r="C48" s="225">
        <v>0.313</v>
      </c>
      <c r="D48" s="225">
        <v>6.5</v>
      </c>
      <c r="E48" s="515">
        <v>17.8</v>
      </c>
      <c r="F48" s="225">
        <v>7.97</v>
      </c>
      <c r="G48" s="89"/>
      <c r="H48" s="20" t="s">
        <v>599</v>
      </c>
      <c r="I48" s="442">
        <f>AVERAGE(E45:E54)</f>
        <v>17.739999999999998</v>
      </c>
    </row>
    <row r="49" spans="1:10" ht="14" x14ac:dyDescent="0.3">
      <c r="A49" s="121" t="s">
        <v>508</v>
      </c>
      <c r="B49" s="82"/>
      <c r="C49" s="225">
        <v>0.313</v>
      </c>
      <c r="D49" s="225">
        <v>6.48</v>
      </c>
      <c r="E49" s="515">
        <v>17.7</v>
      </c>
      <c r="F49" s="225">
        <v>7.93</v>
      </c>
      <c r="G49" s="89"/>
      <c r="H49" s="168"/>
      <c r="I49" s="169"/>
    </row>
    <row r="50" spans="1:10" ht="14" x14ac:dyDescent="0.3">
      <c r="A50" s="121" t="s">
        <v>177</v>
      </c>
      <c r="B50" s="82"/>
      <c r="C50" s="225">
        <v>0.313</v>
      </c>
      <c r="D50" s="225">
        <v>6.38</v>
      </c>
      <c r="E50" s="540">
        <v>17.7</v>
      </c>
      <c r="F50" s="225">
        <v>7.92</v>
      </c>
      <c r="G50" s="89"/>
      <c r="H50" s="440" t="s">
        <v>600</v>
      </c>
      <c r="I50" s="333">
        <f>AVERAGE(D45:D53)</f>
        <v>6.6577777777777776</v>
      </c>
    </row>
    <row r="51" spans="1:10" ht="14" x14ac:dyDescent="0.3">
      <c r="A51" s="121" t="s">
        <v>509</v>
      </c>
      <c r="B51" s="82"/>
      <c r="C51" s="225">
        <v>0.313</v>
      </c>
      <c r="D51" s="225">
        <v>6.4</v>
      </c>
      <c r="E51" s="540">
        <v>17.7</v>
      </c>
      <c r="F51" s="225">
        <v>7.89</v>
      </c>
      <c r="G51" s="89"/>
      <c r="H51" s="440" t="s">
        <v>526</v>
      </c>
      <c r="I51" s="333">
        <f>AVERAGE(D45:D48)</f>
        <v>6.9375</v>
      </c>
    </row>
    <row r="52" spans="1:10" ht="14" x14ac:dyDescent="0.3">
      <c r="A52" s="121" t="s">
        <v>178</v>
      </c>
      <c r="B52" s="82"/>
      <c r="C52" s="225">
        <v>0.313</v>
      </c>
      <c r="D52" s="225">
        <v>6.47</v>
      </c>
      <c r="E52" s="540">
        <v>17.7</v>
      </c>
      <c r="F52" s="225">
        <v>7.88</v>
      </c>
      <c r="G52" s="89"/>
    </row>
    <row r="53" spans="1:10" ht="14" x14ac:dyDescent="0.3">
      <c r="A53" s="121" t="s">
        <v>179</v>
      </c>
      <c r="B53" s="82"/>
      <c r="C53" s="225">
        <v>0.313</v>
      </c>
      <c r="D53" s="225">
        <v>6.44</v>
      </c>
      <c r="E53" s="540">
        <v>17.7</v>
      </c>
      <c r="F53" s="225">
        <v>7.88</v>
      </c>
      <c r="G53" s="89"/>
    </row>
    <row r="54" spans="1:10" ht="14" x14ac:dyDescent="0.3">
      <c r="A54" s="121" t="s">
        <v>180</v>
      </c>
      <c r="B54" s="82"/>
      <c r="C54" s="225">
        <v>0.313</v>
      </c>
      <c r="D54" s="225">
        <v>6.54</v>
      </c>
      <c r="E54" s="515">
        <v>17.600000000000001</v>
      </c>
      <c r="F54" s="225">
        <v>7.84</v>
      </c>
      <c r="G54" s="89"/>
    </row>
    <row r="55" spans="1:10" ht="14" x14ac:dyDescent="0.3">
      <c r="A55" s="121" t="s">
        <v>181</v>
      </c>
      <c r="B55" s="137"/>
      <c r="C55" s="225">
        <v>0.313</v>
      </c>
      <c r="D55" s="225">
        <v>6.39</v>
      </c>
      <c r="E55" s="515">
        <v>17.600000000000001</v>
      </c>
      <c r="F55" s="225">
        <v>7.82</v>
      </c>
      <c r="G55" s="89"/>
    </row>
    <row r="56" spans="1:10" ht="14" x14ac:dyDescent="0.3">
      <c r="A56" s="121" t="s">
        <v>182</v>
      </c>
      <c r="B56" s="137"/>
      <c r="C56" s="225">
        <v>0.314</v>
      </c>
      <c r="D56" s="225">
        <v>6.09</v>
      </c>
      <c r="E56" s="515">
        <v>17.5</v>
      </c>
      <c r="F56" s="225">
        <v>7.81</v>
      </c>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v>0.50208333333333333</v>
      </c>
      <c r="C59" s="515">
        <v>0.313</v>
      </c>
      <c r="D59" s="515">
        <v>6.81</v>
      </c>
      <c r="E59" s="225">
        <v>18.2</v>
      </c>
      <c r="F59" s="515">
        <v>7.94</v>
      </c>
      <c r="G59" s="128">
        <v>1.3</v>
      </c>
      <c r="H59" s="82">
        <v>5</v>
      </c>
    </row>
    <row r="60" spans="1:10" ht="14" x14ac:dyDescent="0.3">
      <c r="A60" s="121" t="s">
        <v>175</v>
      </c>
      <c r="B60" s="82"/>
      <c r="C60" s="540">
        <v>0.313</v>
      </c>
      <c r="D60" s="515">
        <v>6.7</v>
      </c>
      <c r="E60" s="225">
        <v>18</v>
      </c>
      <c r="F60" s="515">
        <v>7.96</v>
      </c>
      <c r="G60" s="89"/>
    </row>
    <row r="61" spans="1:10" ht="14" x14ac:dyDescent="0.3">
      <c r="A61" s="121" t="s">
        <v>507</v>
      </c>
      <c r="B61" s="82"/>
      <c r="C61" s="540">
        <v>0.313</v>
      </c>
      <c r="D61" s="515">
        <v>6.61</v>
      </c>
      <c r="E61" s="225">
        <v>18</v>
      </c>
      <c r="F61" s="515">
        <v>7.94</v>
      </c>
      <c r="G61" s="89"/>
      <c r="H61" s="176" t="s">
        <v>521</v>
      </c>
      <c r="I61" s="442">
        <f>AVERAGE(E59:E62)</f>
        <v>18.024999999999999</v>
      </c>
    </row>
    <row r="62" spans="1:10" ht="14" x14ac:dyDescent="0.3">
      <c r="A62" s="121" t="s">
        <v>176</v>
      </c>
      <c r="B62" s="82"/>
      <c r="C62" s="540">
        <v>0.313</v>
      </c>
      <c r="D62" s="515">
        <v>6.68</v>
      </c>
      <c r="E62" s="225">
        <v>17.899999999999999</v>
      </c>
      <c r="F62" s="515">
        <v>7.92</v>
      </c>
      <c r="G62" s="89"/>
      <c r="H62" s="20" t="s">
        <v>601</v>
      </c>
      <c r="I62" s="442">
        <f>AVERAGE(E59:E70)</f>
        <v>17.866666666666664</v>
      </c>
    </row>
    <row r="63" spans="1:10" ht="14" x14ac:dyDescent="0.3">
      <c r="A63" s="121" t="s">
        <v>508</v>
      </c>
      <c r="B63" s="82"/>
      <c r="C63" s="540">
        <v>0.313</v>
      </c>
      <c r="D63" s="454">
        <v>6.72</v>
      </c>
      <c r="E63" s="225">
        <v>17.8</v>
      </c>
      <c r="F63" s="515">
        <v>7.96</v>
      </c>
      <c r="G63" s="89"/>
      <c r="H63" s="168"/>
      <c r="I63" s="169"/>
    </row>
    <row r="64" spans="1:10" ht="14" x14ac:dyDescent="0.3">
      <c r="A64" s="121" t="s">
        <v>177</v>
      </c>
      <c r="B64" s="82"/>
      <c r="C64" s="540">
        <v>0.313</v>
      </c>
      <c r="D64" s="515">
        <v>6.51</v>
      </c>
      <c r="E64" s="225">
        <v>17.8</v>
      </c>
      <c r="F64" s="515">
        <v>7.92</v>
      </c>
      <c r="G64" s="89"/>
      <c r="H64" s="440" t="s">
        <v>602</v>
      </c>
      <c r="I64" s="333">
        <f>AVERAGE(D59:D70)</f>
        <v>6.6011111111111109</v>
      </c>
    </row>
    <row r="65" spans="1:9" ht="14" x14ac:dyDescent="0.3">
      <c r="A65" s="121" t="s">
        <v>509</v>
      </c>
      <c r="B65" s="82"/>
      <c r="C65" s="540">
        <v>0.313</v>
      </c>
      <c r="D65" s="515">
        <v>6.69</v>
      </c>
      <c r="E65" s="225">
        <v>17.8</v>
      </c>
      <c r="F65" s="515">
        <v>7.86</v>
      </c>
      <c r="G65" s="89"/>
      <c r="H65" s="440" t="s">
        <v>526</v>
      </c>
      <c r="I65" s="333">
        <f>AVERAGE(D59:D62)</f>
        <v>6.7</v>
      </c>
    </row>
    <row r="66" spans="1:9" ht="14" x14ac:dyDescent="0.3">
      <c r="A66" s="121" t="s">
        <v>178</v>
      </c>
      <c r="B66" s="82"/>
      <c r="C66" s="540">
        <v>0.313</v>
      </c>
      <c r="D66" s="515">
        <v>6.67</v>
      </c>
      <c r="E66" s="225">
        <v>17.7</v>
      </c>
      <c r="F66" s="515">
        <v>7.86</v>
      </c>
      <c r="G66" s="89"/>
    </row>
    <row r="67" spans="1:9" ht="14" x14ac:dyDescent="0.3">
      <c r="A67" s="121" t="s">
        <v>179</v>
      </c>
      <c r="B67" s="82"/>
      <c r="C67" s="540">
        <v>0.313</v>
      </c>
      <c r="D67" s="515">
        <v>6.02</v>
      </c>
      <c r="E67" s="225">
        <v>17.600000000000001</v>
      </c>
      <c r="F67" s="515">
        <v>7.86</v>
      </c>
      <c r="G67" s="89"/>
    </row>
    <row r="68" spans="1:9" ht="14" x14ac:dyDescent="0.3">
      <c r="A68" s="306" t="s">
        <v>180</v>
      </c>
      <c r="B68" s="137"/>
      <c r="C68" s="515"/>
      <c r="D68" s="515"/>
      <c r="E68" s="225"/>
      <c r="F68" s="515"/>
      <c r="G68" s="89"/>
    </row>
    <row r="69" spans="1:9" ht="14" x14ac:dyDescent="0.3">
      <c r="A69" s="306" t="s">
        <v>181</v>
      </c>
      <c r="B69" s="137"/>
      <c r="C69" s="515"/>
      <c r="D69" s="515"/>
      <c r="E69" s="225"/>
      <c r="F69" s="515"/>
      <c r="G69" s="89"/>
    </row>
    <row r="70" spans="1:9" ht="14" x14ac:dyDescent="0.3">
      <c r="A70" s="306" t="s">
        <v>182</v>
      </c>
      <c r="B70" s="137"/>
      <c r="C70" s="515"/>
      <c r="D70" s="515"/>
      <c r="E70" s="225"/>
      <c r="F70" s="515"/>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v>0.5083333333333333</v>
      </c>
      <c r="C73" s="515">
        <v>0.313</v>
      </c>
      <c r="D73" s="515">
        <v>7.05</v>
      </c>
      <c r="E73" s="515">
        <v>18.8</v>
      </c>
      <c r="F73" s="515">
        <v>8.1999999999999993</v>
      </c>
      <c r="G73" s="128">
        <v>2.2000000000000002</v>
      </c>
      <c r="H73" s="82">
        <v>4</v>
      </c>
    </row>
    <row r="74" spans="1:9" ht="13" x14ac:dyDescent="0.3">
      <c r="A74" s="121" t="s">
        <v>175</v>
      </c>
      <c r="B74" s="82"/>
      <c r="C74" s="515">
        <v>0.314</v>
      </c>
      <c r="D74" s="515">
        <v>6.75</v>
      </c>
      <c r="E74" s="515">
        <v>18.600000000000001</v>
      </c>
      <c r="F74" s="515">
        <v>8.06</v>
      </c>
      <c r="G74" s="89"/>
    </row>
    <row r="75" spans="1:9" ht="13" x14ac:dyDescent="0.3">
      <c r="A75" s="121" t="s">
        <v>507</v>
      </c>
      <c r="B75" s="82"/>
      <c r="C75" s="515">
        <v>0.313</v>
      </c>
      <c r="D75" s="515">
        <v>7.69</v>
      </c>
      <c r="E75" s="515">
        <v>18.2</v>
      </c>
      <c r="F75" s="515">
        <v>8.06</v>
      </c>
      <c r="G75" s="89"/>
      <c r="H75" s="176" t="s">
        <v>521</v>
      </c>
      <c r="I75" s="442">
        <f>AVERAGE(E72:E75)</f>
        <v>18.533333333333335</v>
      </c>
    </row>
    <row r="76" spans="1:9" ht="13" x14ac:dyDescent="0.3">
      <c r="A76" s="121" t="s">
        <v>176</v>
      </c>
      <c r="B76" s="82"/>
      <c r="C76" s="540">
        <v>0.314</v>
      </c>
      <c r="D76" s="515">
        <v>6.75</v>
      </c>
      <c r="E76" s="515">
        <v>18</v>
      </c>
      <c r="F76" s="515">
        <v>8.0500000000000007</v>
      </c>
      <c r="G76" s="89"/>
      <c r="H76" s="20" t="s">
        <v>604</v>
      </c>
      <c r="I76" s="442">
        <f>AVERAGE(E72:E82)</f>
        <v>18.0625</v>
      </c>
    </row>
    <row r="77" spans="1:9" ht="13" x14ac:dyDescent="0.3">
      <c r="A77" s="121" t="s">
        <v>508</v>
      </c>
      <c r="B77" s="82"/>
      <c r="C77" s="540">
        <v>0.313</v>
      </c>
      <c r="D77" s="515">
        <v>6.84</v>
      </c>
      <c r="E77" s="515">
        <v>17.8</v>
      </c>
      <c r="F77" s="515">
        <v>8.0399999999999991</v>
      </c>
      <c r="G77" s="89"/>
      <c r="H77" s="168"/>
      <c r="I77" s="169"/>
    </row>
    <row r="78" spans="1:9" ht="13" x14ac:dyDescent="0.3">
      <c r="A78" s="121" t="s">
        <v>177</v>
      </c>
      <c r="B78" s="82"/>
      <c r="C78" s="515">
        <v>0.314</v>
      </c>
      <c r="D78" s="515">
        <v>6.76</v>
      </c>
      <c r="E78" s="515">
        <v>17.8</v>
      </c>
      <c r="F78" s="515">
        <v>8.02</v>
      </c>
      <c r="G78" s="89"/>
      <c r="H78" s="440" t="s">
        <v>603</v>
      </c>
      <c r="I78" s="333">
        <f>AVERAGE(D72:D86)</f>
        <v>6.754545454545454</v>
      </c>
    </row>
    <row r="79" spans="1:9" ht="13" x14ac:dyDescent="0.3">
      <c r="A79" s="121" t="s">
        <v>509</v>
      </c>
      <c r="B79" s="82"/>
      <c r="C79" s="515">
        <v>0.315</v>
      </c>
      <c r="D79" s="515">
        <v>6.25</v>
      </c>
      <c r="E79" s="515">
        <v>17.7</v>
      </c>
      <c r="F79" s="515">
        <v>7.97</v>
      </c>
      <c r="G79" s="89"/>
      <c r="H79" s="440" t="s">
        <v>526</v>
      </c>
      <c r="I79" s="333">
        <f>AVERAGE(D72:D75)</f>
        <v>7.163333333333334</v>
      </c>
    </row>
    <row r="80" spans="1:9" ht="13" x14ac:dyDescent="0.3">
      <c r="A80" s="121" t="s">
        <v>178</v>
      </c>
      <c r="B80" s="82"/>
      <c r="C80" s="515">
        <v>0.317</v>
      </c>
      <c r="D80" s="515">
        <v>5.25</v>
      </c>
      <c r="E80" s="515">
        <v>17.600000000000001</v>
      </c>
      <c r="F80" s="454">
        <v>7.75</v>
      </c>
      <c r="G80" s="89"/>
    </row>
    <row r="81" spans="1:9" ht="13" x14ac:dyDescent="0.3">
      <c r="A81" s="121" t="s">
        <v>179</v>
      </c>
      <c r="B81" s="82"/>
      <c r="C81" s="515"/>
      <c r="D81" s="515"/>
      <c r="E81" s="515"/>
      <c r="F81" s="515"/>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v>0.51597222222222217</v>
      </c>
      <c r="C84" s="515">
        <v>0.312</v>
      </c>
      <c r="D84" s="310">
        <v>6.86</v>
      </c>
      <c r="E84" s="85">
        <v>18.2</v>
      </c>
      <c r="F84" s="310">
        <v>8.0399999999999991</v>
      </c>
      <c r="G84" s="186">
        <v>1.8</v>
      </c>
      <c r="H84" s="82">
        <v>6</v>
      </c>
    </row>
    <row r="85" spans="1:9" ht="13" x14ac:dyDescent="0.3">
      <c r="A85" s="121" t="s">
        <v>175</v>
      </c>
      <c r="B85" s="82"/>
      <c r="C85" s="515">
        <v>0.311</v>
      </c>
      <c r="D85" s="310">
        <v>7.04</v>
      </c>
      <c r="E85" s="85">
        <v>18</v>
      </c>
      <c r="F85" s="310">
        <v>8.0399999999999991</v>
      </c>
      <c r="G85" s="89"/>
    </row>
    <row r="86" spans="1:9" ht="13" x14ac:dyDescent="0.3">
      <c r="A86" s="121" t="s">
        <v>507</v>
      </c>
      <c r="B86" s="82"/>
      <c r="C86" s="540">
        <v>0.311</v>
      </c>
      <c r="D86" s="310">
        <v>7.06</v>
      </c>
      <c r="E86" s="85">
        <v>18</v>
      </c>
      <c r="F86" s="310">
        <v>7.98</v>
      </c>
      <c r="G86" s="89"/>
      <c r="H86" s="176" t="s">
        <v>521</v>
      </c>
      <c r="I86" s="442">
        <f>AVERAGE(E84:E87)</f>
        <v>18.05</v>
      </c>
    </row>
    <row r="87" spans="1:9" ht="13" x14ac:dyDescent="0.3">
      <c r="A87" s="121" t="s">
        <v>176</v>
      </c>
      <c r="B87" s="82"/>
      <c r="C87" s="540">
        <v>0.311</v>
      </c>
      <c r="D87" s="310">
        <v>6.67</v>
      </c>
      <c r="E87" s="85">
        <v>18</v>
      </c>
      <c r="F87" s="318">
        <v>7.98</v>
      </c>
      <c r="G87" s="89"/>
      <c r="H87" s="20" t="s">
        <v>605</v>
      </c>
      <c r="I87" s="442">
        <f>AVERAGE(E84:E94)</f>
        <v>17.889999999999997</v>
      </c>
    </row>
    <row r="88" spans="1:9" ht="13" x14ac:dyDescent="0.3">
      <c r="A88" s="121" t="s">
        <v>508</v>
      </c>
      <c r="B88" s="82"/>
      <c r="C88" s="540">
        <v>0.311</v>
      </c>
      <c r="D88" s="310">
        <v>6.75</v>
      </c>
      <c r="E88" s="85">
        <v>17.899999999999999</v>
      </c>
      <c r="F88" s="310">
        <v>8</v>
      </c>
      <c r="G88" s="89"/>
      <c r="H88" s="168"/>
      <c r="I88" s="169"/>
    </row>
    <row r="89" spans="1:9" ht="13" x14ac:dyDescent="0.3">
      <c r="A89" s="121" t="s">
        <v>177</v>
      </c>
      <c r="B89" s="82"/>
      <c r="C89" s="540">
        <v>0.311</v>
      </c>
      <c r="D89" s="310">
        <v>6.82</v>
      </c>
      <c r="E89" s="85">
        <v>17.7</v>
      </c>
      <c r="F89" s="310">
        <v>7.99</v>
      </c>
      <c r="G89" s="89"/>
      <c r="H89" s="440" t="s">
        <v>606</v>
      </c>
      <c r="I89" s="333">
        <f>AVERAGE(D84:D94)</f>
        <v>6.8320000000000007</v>
      </c>
    </row>
    <row r="90" spans="1:9" ht="13" x14ac:dyDescent="0.3">
      <c r="A90" s="121" t="s">
        <v>509</v>
      </c>
      <c r="B90" s="82"/>
      <c r="C90" s="540">
        <v>0.311</v>
      </c>
      <c r="D90" s="310">
        <v>6.87</v>
      </c>
      <c r="E90" s="85">
        <v>17.899999999999999</v>
      </c>
      <c r="F90" s="310">
        <v>7.97</v>
      </c>
      <c r="G90" s="89"/>
      <c r="H90" s="440" t="s">
        <v>526</v>
      </c>
      <c r="I90" s="333">
        <f>AVERAGE(D84:D87)</f>
        <v>6.9075000000000006</v>
      </c>
    </row>
    <row r="91" spans="1:9" ht="13" x14ac:dyDescent="0.3">
      <c r="A91" s="121" t="s">
        <v>178</v>
      </c>
      <c r="B91" s="82"/>
      <c r="C91" s="540">
        <v>0.311</v>
      </c>
      <c r="D91" s="310">
        <v>6.89</v>
      </c>
      <c r="E91" s="85">
        <v>17.8</v>
      </c>
      <c r="F91" s="310">
        <v>8.01</v>
      </c>
      <c r="G91" s="89"/>
    </row>
    <row r="92" spans="1:9" ht="13" x14ac:dyDescent="0.3">
      <c r="A92" s="121" t="s">
        <v>179</v>
      </c>
      <c r="B92" s="82"/>
      <c r="C92" s="540">
        <v>0.311</v>
      </c>
      <c r="D92" s="310">
        <v>6.66</v>
      </c>
      <c r="E92" s="85">
        <v>17.7</v>
      </c>
      <c r="F92" s="310">
        <v>7.99</v>
      </c>
      <c r="G92" s="89"/>
    </row>
    <row r="93" spans="1:9" ht="13" x14ac:dyDescent="0.3">
      <c r="A93" s="121" t="s">
        <v>180</v>
      </c>
      <c r="B93" s="82"/>
      <c r="C93" s="540">
        <v>0.311</v>
      </c>
      <c r="D93" s="310">
        <v>6.7</v>
      </c>
      <c r="E93" s="85">
        <v>17.7</v>
      </c>
      <c r="F93" s="310">
        <v>8</v>
      </c>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3:H33"/>
    <mergeCell ref="G35:H35"/>
    <mergeCell ref="A28:C28"/>
    <mergeCell ref="D28:F28"/>
    <mergeCell ref="G28:H28"/>
    <mergeCell ref="B31:C31"/>
    <mergeCell ref="E31:F31"/>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S77"/>
  <sheetViews>
    <sheetView workbookViewId="0">
      <selection activeCell="D5" sqref="D5:D19"/>
    </sheetView>
  </sheetViews>
  <sheetFormatPr defaultRowHeight="12.5" x14ac:dyDescent="0.25"/>
  <cols>
    <col min="1" max="1" width="16.6328125" customWidth="1"/>
    <col min="2" max="3" width="10.08984375" bestFit="1" customWidth="1"/>
    <col min="4" max="4" width="11.54296875" customWidth="1"/>
    <col min="7" max="7" width="10" bestFit="1" customWidth="1"/>
    <col min="8" max="8" width="12" customWidth="1"/>
    <col min="9" max="9" width="16" customWidth="1"/>
    <col min="10" max="10" width="23.6328125" customWidth="1"/>
    <col min="11" max="11" width="14.90625" customWidth="1"/>
  </cols>
  <sheetData>
    <row r="1" spans="1:19" ht="14" x14ac:dyDescent="0.3">
      <c r="A1" s="129" t="s">
        <v>505</v>
      </c>
    </row>
    <row r="2" spans="1:19" ht="13" x14ac:dyDescent="0.3">
      <c r="A2" s="1" t="s">
        <v>168</v>
      </c>
      <c r="B2" s="148">
        <v>40833</v>
      </c>
      <c r="C2" s="148">
        <v>40834</v>
      </c>
      <c r="I2" s="1"/>
      <c r="J2" s="29"/>
      <c r="K2" s="160"/>
      <c r="L2" s="1"/>
      <c r="M2" s="1"/>
      <c r="N2" s="8"/>
      <c r="O2" s="159"/>
    </row>
    <row r="3" spans="1:19" ht="14" x14ac:dyDescent="0.3">
      <c r="A3" s="188" t="s">
        <v>704</v>
      </c>
      <c r="B3" s="188" t="s">
        <v>170</v>
      </c>
      <c r="C3" s="188" t="s">
        <v>171</v>
      </c>
      <c r="D3" s="188" t="s">
        <v>172</v>
      </c>
      <c r="E3" s="188" t="s">
        <v>173</v>
      </c>
      <c r="F3" s="188" t="s">
        <v>174</v>
      </c>
      <c r="I3" s="20"/>
      <c r="J3" s="162"/>
      <c r="K3" s="163"/>
      <c r="L3" s="164"/>
      <c r="M3" s="165"/>
      <c r="N3" s="166"/>
      <c r="O3" s="167"/>
    </row>
    <row r="4" spans="1:19" ht="14" x14ac:dyDescent="0.3">
      <c r="A4" s="91" t="s">
        <v>208</v>
      </c>
      <c r="B4" s="222"/>
      <c r="C4" s="223"/>
      <c r="D4" s="223"/>
      <c r="E4" s="223"/>
      <c r="F4" s="224"/>
      <c r="G4" s="188" t="s">
        <v>184</v>
      </c>
      <c r="H4" s="189" t="s">
        <v>195</v>
      </c>
      <c r="I4" s="168"/>
      <c r="J4" s="169"/>
      <c r="K4" s="163"/>
      <c r="L4" s="11"/>
      <c r="M4" s="165"/>
      <c r="N4" s="166"/>
      <c r="O4" s="170"/>
    </row>
    <row r="5" spans="1:19" ht="13" x14ac:dyDescent="0.3">
      <c r="A5" s="121" t="s">
        <v>506</v>
      </c>
      <c r="B5" s="201">
        <v>0.38055555555555554</v>
      </c>
      <c r="C5" s="82">
        <v>0.32300000000000001</v>
      </c>
      <c r="D5" s="82">
        <v>9.61</v>
      </c>
      <c r="E5" s="82">
        <v>13.5</v>
      </c>
      <c r="F5" s="82">
        <v>8.52</v>
      </c>
      <c r="G5" s="128">
        <v>1.05</v>
      </c>
      <c r="H5" s="178">
        <v>10.65</v>
      </c>
      <c r="I5" s="168"/>
      <c r="J5" s="169"/>
      <c r="K5" s="172"/>
      <c r="L5" s="173"/>
      <c r="M5" s="174"/>
      <c r="N5" s="175"/>
      <c r="O5" s="170"/>
    </row>
    <row r="6" spans="1:19" ht="13" x14ac:dyDescent="0.3">
      <c r="A6" s="121" t="s">
        <v>175</v>
      </c>
      <c r="B6" s="82"/>
      <c r="C6" s="82">
        <v>0.32300000000000001</v>
      </c>
      <c r="D6" s="82">
        <v>9.4499999999999993</v>
      </c>
      <c r="E6" s="82">
        <v>13.5</v>
      </c>
      <c r="F6" s="82">
        <v>8.49</v>
      </c>
      <c r="G6" s="89"/>
      <c r="K6" s="177"/>
      <c r="M6" s="174"/>
      <c r="N6" s="175"/>
      <c r="O6" s="167"/>
    </row>
    <row r="7" spans="1:19" ht="13" x14ac:dyDescent="0.3">
      <c r="A7" s="121" t="s">
        <v>507</v>
      </c>
      <c r="B7" s="82"/>
      <c r="C7" s="82">
        <v>0.32300000000000001</v>
      </c>
      <c r="D7" s="82">
        <v>9.0500000000000007</v>
      </c>
      <c r="E7" s="82">
        <v>13.5</v>
      </c>
      <c r="F7" s="82">
        <v>8.44</v>
      </c>
      <c r="G7" s="89"/>
      <c r="H7" s="176" t="s">
        <v>521</v>
      </c>
      <c r="I7" s="442">
        <f>AVERAGE(E5:E8)</f>
        <v>13.5</v>
      </c>
      <c r="K7" s="163"/>
      <c r="L7" s="28"/>
      <c r="M7" s="165"/>
      <c r="N7" s="166"/>
      <c r="O7" s="167"/>
      <c r="S7" s="20"/>
    </row>
    <row r="8" spans="1:19" ht="13" x14ac:dyDescent="0.3">
      <c r="A8" s="121" t="s">
        <v>176</v>
      </c>
      <c r="B8" s="82"/>
      <c r="C8" s="82">
        <v>0.32300000000000001</v>
      </c>
      <c r="D8" s="82">
        <v>9.1199999999999992</v>
      </c>
      <c r="E8" s="82">
        <v>13.5</v>
      </c>
      <c r="F8" s="82">
        <v>8.43</v>
      </c>
      <c r="G8" s="89"/>
      <c r="H8" s="20" t="s">
        <v>549</v>
      </c>
      <c r="I8" s="442">
        <f>AVERAGE(E5:E16)</f>
        <v>13.458333333333336</v>
      </c>
      <c r="K8" s="163"/>
      <c r="L8" s="11"/>
      <c r="M8" s="165"/>
      <c r="N8" s="166"/>
      <c r="O8" s="170"/>
    </row>
    <row r="9" spans="1:19" ht="13" x14ac:dyDescent="0.3">
      <c r="A9" s="121" t="s">
        <v>508</v>
      </c>
      <c r="B9" s="82"/>
      <c r="C9" s="82">
        <v>0.32300000000000001</v>
      </c>
      <c r="D9" s="82">
        <v>9.2899999999999991</v>
      </c>
      <c r="E9" s="82">
        <v>13.5</v>
      </c>
      <c r="F9" s="82">
        <v>8.41</v>
      </c>
      <c r="G9" s="89"/>
      <c r="H9" s="168"/>
      <c r="I9" s="169"/>
      <c r="K9" s="172"/>
      <c r="L9" s="173"/>
      <c r="M9" s="174"/>
      <c r="N9" s="175"/>
      <c r="O9" s="170"/>
    </row>
    <row r="10" spans="1:19" ht="13" x14ac:dyDescent="0.3">
      <c r="A10" s="121" t="s">
        <v>177</v>
      </c>
      <c r="B10" s="82"/>
      <c r="C10" s="82">
        <v>0.32300000000000001</v>
      </c>
      <c r="D10" s="82">
        <v>9.16</v>
      </c>
      <c r="E10" s="82">
        <v>13.5</v>
      </c>
      <c r="F10" s="186">
        <v>8.42</v>
      </c>
      <c r="G10" s="89"/>
      <c r="H10" s="440" t="s">
        <v>548</v>
      </c>
      <c r="I10" s="333">
        <f>AVERAGE(D5:D19)</f>
        <v>8.6966666666666654</v>
      </c>
      <c r="K10" s="163"/>
      <c r="L10" s="28"/>
      <c r="M10" s="165"/>
      <c r="N10" s="166"/>
      <c r="O10" s="167"/>
    </row>
    <row r="11" spans="1:19" ht="13" x14ac:dyDescent="0.3">
      <c r="A11" s="121" t="s">
        <v>509</v>
      </c>
      <c r="B11" s="82"/>
      <c r="C11" s="82">
        <v>0.32300000000000001</v>
      </c>
      <c r="D11" s="82">
        <v>8.51</v>
      </c>
      <c r="E11" s="82">
        <v>13.5</v>
      </c>
      <c r="F11" s="82">
        <v>8.41</v>
      </c>
      <c r="G11" s="89"/>
      <c r="H11" s="440" t="s">
        <v>526</v>
      </c>
      <c r="I11" s="333">
        <f>AVERAGE(D5:D8)</f>
        <v>9.3074999999999992</v>
      </c>
      <c r="K11" s="163"/>
      <c r="L11" s="11"/>
      <c r="M11" s="165"/>
      <c r="N11" s="166"/>
      <c r="O11" s="170"/>
    </row>
    <row r="12" spans="1:19" ht="13" x14ac:dyDescent="0.3">
      <c r="A12" s="121" t="s">
        <v>178</v>
      </c>
      <c r="B12" s="82"/>
      <c r="C12" s="82">
        <v>0.32300000000000001</v>
      </c>
      <c r="D12" s="82">
        <v>8.5399999999999991</v>
      </c>
      <c r="E12" s="82">
        <v>13.5</v>
      </c>
      <c r="F12" s="82">
        <v>8.42</v>
      </c>
      <c r="G12" s="89"/>
      <c r="K12" s="172"/>
      <c r="L12" s="173"/>
      <c r="M12" s="174"/>
      <c r="N12" s="175"/>
      <c r="O12" s="170"/>
    </row>
    <row r="13" spans="1:19" ht="13" x14ac:dyDescent="0.3">
      <c r="A13" s="121" t="s">
        <v>179</v>
      </c>
      <c r="B13" s="137"/>
      <c r="C13" s="82">
        <v>0.32400000000000001</v>
      </c>
      <c r="D13" s="82">
        <v>8.52</v>
      </c>
      <c r="E13" s="82">
        <v>13.5</v>
      </c>
      <c r="F13" s="82">
        <v>8.4499999999999993</v>
      </c>
      <c r="G13" s="89"/>
      <c r="H13" s="440" t="s">
        <v>547</v>
      </c>
      <c r="I13" s="333">
        <f>AVERAGE(F5:F17)</f>
        <v>8.4630769230769225</v>
      </c>
      <c r="K13" s="163"/>
      <c r="L13" s="28"/>
      <c r="M13" s="165"/>
      <c r="N13" s="166"/>
      <c r="O13" s="167"/>
    </row>
    <row r="14" spans="1:19" ht="13" x14ac:dyDescent="0.3">
      <c r="A14" s="121" t="s">
        <v>180</v>
      </c>
      <c r="B14" s="137"/>
      <c r="C14" s="82">
        <v>0.32500000000000001</v>
      </c>
      <c r="D14" s="312">
        <v>8.33</v>
      </c>
      <c r="E14" s="82">
        <v>13.4</v>
      </c>
      <c r="F14" s="82">
        <v>8.48</v>
      </c>
      <c r="G14" s="89"/>
      <c r="H14" s="440" t="s">
        <v>546</v>
      </c>
      <c r="I14" s="441">
        <f>AVERAGE(C5:C19)</f>
        <v>0.32433333333333342</v>
      </c>
      <c r="J14" s="169"/>
      <c r="K14" s="163"/>
      <c r="L14" s="11"/>
      <c r="M14" s="165"/>
      <c r="N14" s="166"/>
      <c r="O14" s="170"/>
    </row>
    <row r="15" spans="1:19" ht="13" x14ac:dyDescent="0.3">
      <c r="A15" s="121" t="s">
        <v>181</v>
      </c>
      <c r="B15" s="82"/>
      <c r="C15" s="82">
        <v>0.32500000000000001</v>
      </c>
      <c r="D15" s="312">
        <v>8.6</v>
      </c>
      <c r="E15" s="82">
        <v>13.3</v>
      </c>
      <c r="F15" s="82">
        <v>8.5</v>
      </c>
      <c r="G15" s="89"/>
      <c r="I15" s="168"/>
      <c r="J15" s="169"/>
      <c r="K15" s="172"/>
      <c r="L15" s="173"/>
      <c r="M15" s="174"/>
      <c r="N15" s="175"/>
      <c r="O15" s="170"/>
    </row>
    <row r="16" spans="1:19" ht="13" x14ac:dyDescent="0.3">
      <c r="A16" s="121" t="s">
        <v>182</v>
      </c>
      <c r="B16" s="82"/>
      <c r="C16" s="82">
        <v>0.32500000000000001</v>
      </c>
      <c r="D16" s="312">
        <v>8.76</v>
      </c>
      <c r="E16" s="82">
        <v>13.3</v>
      </c>
      <c r="F16" s="82">
        <v>8.5299999999999994</v>
      </c>
      <c r="G16" s="89"/>
      <c r="I16" s="168"/>
      <c r="J16" s="169"/>
      <c r="K16" s="172"/>
      <c r="L16" s="173"/>
      <c r="M16" s="174"/>
      <c r="N16" s="175"/>
    </row>
    <row r="17" spans="1:14" ht="13" x14ac:dyDescent="0.3">
      <c r="A17" s="121" t="s">
        <v>183</v>
      </c>
      <c r="B17" s="82"/>
      <c r="C17" s="82">
        <v>0.32600000000000001</v>
      </c>
      <c r="D17" s="312">
        <v>8.36</v>
      </c>
      <c r="E17" s="82">
        <v>13.3</v>
      </c>
      <c r="F17" s="82">
        <v>8.52</v>
      </c>
      <c r="G17" s="89"/>
      <c r="I17" s="168"/>
      <c r="J17" s="169"/>
      <c r="K17" s="172"/>
      <c r="L17" s="173"/>
      <c r="M17" s="174"/>
      <c r="N17" s="175"/>
    </row>
    <row r="18" spans="1:14" ht="13" x14ac:dyDescent="0.3">
      <c r="A18" s="121" t="s">
        <v>206</v>
      </c>
      <c r="B18" s="82"/>
      <c r="C18" s="82">
        <v>0.33900000000000002</v>
      </c>
      <c r="D18" s="312">
        <v>7.41</v>
      </c>
      <c r="E18" s="82">
        <v>12.9</v>
      </c>
      <c r="F18" s="82">
        <v>8.3000000000000007</v>
      </c>
      <c r="G18" s="89"/>
      <c r="I18" s="168"/>
      <c r="J18" s="169"/>
      <c r="K18" s="172"/>
      <c r="L18" s="173"/>
      <c r="M18" s="174"/>
      <c r="N18" s="175"/>
    </row>
    <row r="19" spans="1:14" ht="13" x14ac:dyDescent="0.3">
      <c r="A19" s="121" t="s">
        <v>207</v>
      </c>
      <c r="B19" s="82"/>
      <c r="C19" s="82">
        <v>0.317</v>
      </c>
      <c r="D19" s="82">
        <v>7.74</v>
      </c>
      <c r="E19" s="82">
        <v>12.5</v>
      </c>
      <c r="F19" s="82">
        <v>8.2799999999999994</v>
      </c>
      <c r="G19" s="89"/>
    </row>
    <row r="20" spans="1:14" ht="13" x14ac:dyDescent="0.3">
      <c r="A20" s="121" t="s">
        <v>209</v>
      </c>
      <c r="B20" s="137"/>
      <c r="C20" s="82"/>
      <c r="D20" s="82"/>
      <c r="E20" s="82"/>
      <c r="F20" s="186"/>
      <c r="G20" s="179"/>
      <c r="H20" s="20"/>
    </row>
    <row r="21" spans="1:14" ht="13" x14ac:dyDescent="0.3">
      <c r="A21" s="306" t="s">
        <v>210</v>
      </c>
      <c r="B21" s="137"/>
      <c r="C21" s="82"/>
      <c r="D21" s="82"/>
      <c r="E21" s="82"/>
      <c r="F21" s="186"/>
      <c r="G21" s="179"/>
      <c r="H21" s="20"/>
    </row>
    <row r="22" spans="1:14" x14ac:dyDescent="0.25">
      <c r="A22" s="125" t="s">
        <v>11</v>
      </c>
      <c r="B22" s="193" t="s">
        <v>703</v>
      </c>
      <c r="C22" s="126"/>
      <c r="D22" s="126"/>
      <c r="E22" s="126"/>
      <c r="F22" s="126"/>
      <c r="G22" s="126"/>
    </row>
    <row r="23" spans="1:14" x14ac:dyDescent="0.25">
      <c r="A23" s="138"/>
      <c r="B23" s="20" t="s">
        <v>705</v>
      </c>
      <c r="D23" s="322"/>
      <c r="E23" s="322"/>
      <c r="F23" s="322"/>
      <c r="G23" s="322"/>
    </row>
    <row r="24" spans="1:14" x14ac:dyDescent="0.25">
      <c r="A24" s="138"/>
      <c r="B24" s="322"/>
      <c r="C24" s="322"/>
      <c r="D24" s="322"/>
      <c r="E24" s="322"/>
      <c r="F24" s="322"/>
      <c r="G24" s="322"/>
    </row>
    <row r="25" spans="1:14" ht="14" x14ac:dyDescent="0.3">
      <c r="A25" s="129" t="s">
        <v>211</v>
      </c>
      <c r="C25" s="11" t="s">
        <v>212</v>
      </c>
      <c r="D25" s="148" t="s">
        <v>706</v>
      </c>
    </row>
    <row r="26" spans="1:14" ht="14" x14ac:dyDescent="0.3">
      <c r="A26" s="188" t="s">
        <v>218</v>
      </c>
      <c r="B26" s="188" t="s">
        <v>170</v>
      </c>
      <c r="C26" s="188" t="s">
        <v>171</v>
      </c>
      <c r="D26" s="188" t="s">
        <v>172</v>
      </c>
      <c r="E26" s="188" t="s">
        <v>173</v>
      </c>
      <c r="F26" s="188" t="s">
        <v>174</v>
      </c>
      <c r="G26" s="188" t="s">
        <v>184</v>
      </c>
      <c r="H26" s="189" t="s">
        <v>195</v>
      </c>
    </row>
    <row r="27" spans="1:14" ht="14" x14ac:dyDescent="0.3">
      <c r="A27" s="121" t="s">
        <v>506</v>
      </c>
      <c r="B27" s="137">
        <v>0.46875</v>
      </c>
      <c r="C27" s="225">
        <v>0.32200000000000001</v>
      </c>
      <c r="D27" s="225">
        <v>10.47</v>
      </c>
      <c r="E27" s="515">
        <v>14</v>
      </c>
      <c r="F27" s="225">
        <v>8.98</v>
      </c>
      <c r="G27" s="128">
        <v>0.95</v>
      </c>
      <c r="H27" s="82">
        <v>8.6</v>
      </c>
    </row>
    <row r="28" spans="1:14" ht="14" x14ac:dyDescent="0.3">
      <c r="A28" s="121" t="s">
        <v>175</v>
      </c>
      <c r="B28" s="82"/>
      <c r="C28" s="225">
        <v>0.32300000000000001</v>
      </c>
      <c r="D28" s="225">
        <v>10.23</v>
      </c>
      <c r="E28" s="515">
        <v>13.9</v>
      </c>
      <c r="F28" s="225">
        <v>8.99</v>
      </c>
      <c r="G28" s="89"/>
    </row>
    <row r="29" spans="1:14" ht="14" x14ac:dyDescent="0.3">
      <c r="A29" s="121" t="s">
        <v>507</v>
      </c>
      <c r="B29" s="82"/>
      <c r="C29" s="225">
        <v>0.32300000000000001</v>
      </c>
      <c r="D29" s="225">
        <v>9.6999999999999993</v>
      </c>
      <c r="E29" s="540">
        <v>13.9</v>
      </c>
      <c r="F29" s="225">
        <v>8.99</v>
      </c>
      <c r="G29" s="89"/>
      <c r="H29" s="176" t="s">
        <v>521</v>
      </c>
      <c r="I29" s="442">
        <f>AVERAGE(E27:E30)</f>
        <v>13.924999999999999</v>
      </c>
    </row>
    <row r="30" spans="1:14" ht="14" x14ac:dyDescent="0.3">
      <c r="A30" s="121" t="s">
        <v>176</v>
      </c>
      <c r="B30" s="82"/>
      <c r="C30" s="225">
        <v>0.32300000000000001</v>
      </c>
      <c r="D30" s="225">
        <v>9.68</v>
      </c>
      <c r="E30" s="540">
        <v>13.9</v>
      </c>
      <c r="F30" s="225">
        <v>8.9600000000000009</v>
      </c>
      <c r="G30" s="89"/>
      <c r="H30" s="20" t="s">
        <v>599</v>
      </c>
      <c r="I30" s="442">
        <f>AVERAGE(E27:E36)</f>
        <v>13.910000000000002</v>
      </c>
    </row>
    <row r="31" spans="1:14" ht="14" x14ac:dyDescent="0.3">
      <c r="A31" s="121" t="s">
        <v>508</v>
      </c>
      <c r="B31" s="82"/>
      <c r="C31" s="225">
        <v>0.32300000000000001</v>
      </c>
      <c r="D31" s="225">
        <v>9.65</v>
      </c>
      <c r="E31" s="540">
        <v>13.9</v>
      </c>
      <c r="F31" s="225">
        <v>8.9499999999999993</v>
      </c>
      <c r="G31" s="89"/>
      <c r="H31" s="168"/>
      <c r="I31" s="169"/>
    </row>
    <row r="32" spans="1:14" ht="14" x14ac:dyDescent="0.3">
      <c r="A32" s="121" t="s">
        <v>177</v>
      </c>
      <c r="B32" s="82"/>
      <c r="C32" s="225">
        <v>0.32300000000000001</v>
      </c>
      <c r="D32" s="225">
        <v>9.59</v>
      </c>
      <c r="E32" s="540">
        <v>13.9</v>
      </c>
      <c r="F32" s="225">
        <v>8.93</v>
      </c>
      <c r="G32" s="89"/>
      <c r="H32" s="440" t="s">
        <v>600</v>
      </c>
      <c r="I32" s="333">
        <f>AVERAGE(D27:D35)</f>
        <v>9.8666666666666671</v>
      </c>
    </row>
    <row r="33" spans="1:10" ht="14" x14ac:dyDescent="0.3">
      <c r="A33" s="121" t="s">
        <v>509</v>
      </c>
      <c r="B33" s="82"/>
      <c r="C33" s="225">
        <v>0.32300000000000001</v>
      </c>
      <c r="D33" s="225">
        <v>9.81</v>
      </c>
      <c r="E33" s="540">
        <v>13.9</v>
      </c>
      <c r="F33" s="225">
        <v>8.93</v>
      </c>
      <c r="G33" s="89"/>
      <c r="H33" s="440" t="s">
        <v>526</v>
      </c>
      <c r="I33" s="333">
        <f>AVERAGE(D27:D30)</f>
        <v>10.02</v>
      </c>
    </row>
    <row r="34" spans="1:10" ht="14" x14ac:dyDescent="0.3">
      <c r="A34" s="121" t="s">
        <v>178</v>
      </c>
      <c r="B34" s="82"/>
      <c r="C34" s="225">
        <v>0.32300000000000001</v>
      </c>
      <c r="D34" s="225">
        <v>9.83</v>
      </c>
      <c r="E34" s="540">
        <v>13.9</v>
      </c>
      <c r="F34" s="225">
        <v>8.91</v>
      </c>
      <c r="G34" s="89"/>
    </row>
    <row r="35" spans="1:10" ht="14" x14ac:dyDescent="0.3">
      <c r="A35" s="121" t="s">
        <v>179</v>
      </c>
      <c r="B35" s="82"/>
      <c r="C35" s="225">
        <v>0.32200000000000001</v>
      </c>
      <c r="D35" s="225">
        <v>9.84</v>
      </c>
      <c r="E35" s="540">
        <v>13.9</v>
      </c>
      <c r="F35" s="225">
        <v>8.89</v>
      </c>
      <c r="G35" s="89"/>
    </row>
    <row r="36" spans="1:10" ht="14" x14ac:dyDescent="0.3">
      <c r="A36" s="121" t="s">
        <v>180</v>
      </c>
      <c r="B36" s="82"/>
      <c r="C36" s="225">
        <v>0.32200000000000001</v>
      </c>
      <c r="D36" s="225">
        <v>9.6999999999999993</v>
      </c>
      <c r="E36" s="540">
        <v>13.9</v>
      </c>
      <c r="F36" s="225">
        <v>8.9</v>
      </c>
      <c r="G36" s="89"/>
    </row>
    <row r="37" spans="1:10" ht="14" x14ac:dyDescent="0.3">
      <c r="A37" s="121" t="s">
        <v>181</v>
      </c>
      <c r="B37" s="137"/>
      <c r="C37" s="225">
        <v>0.32200000000000001</v>
      </c>
      <c r="D37" s="225">
        <v>9.91</v>
      </c>
      <c r="E37" s="515">
        <v>13.8</v>
      </c>
      <c r="F37" s="225">
        <v>8.9</v>
      </c>
      <c r="G37" s="89"/>
    </row>
    <row r="38" spans="1:10" ht="14" x14ac:dyDescent="0.3">
      <c r="A38" s="121" t="s">
        <v>182</v>
      </c>
      <c r="B38" s="137"/>
      <c r="C38" s="225">
        <v>0.32200000000000001</v>
      </c>
      <c r="D38" s="225">
        <v>9.85</v>
      </c>
      <c r="E38" s="515">
        <v>13.8</v>
      </c>
      <c r="F38" s="225">
        <v>8.86</v>
      </c>
      <c r="G38" s="89"/>
    </row>
    <row r="39" spans="1:10" x14ac:dyDescent="0.25">
      <c r="A39" s="82"/>
      <c r="B39" s="82"/>
      <c r="C39" s="82"/>
      <c r="D39" s="82"/>
      <c r="E39" s="82"/>
      <c r="F39" s="82"/>
      <c r="J39" s="6"/>
    </row>
    <row r="40" spans="1:10" ht="14" x14ac:dyDescent="0.3">
      <c r="A40" s="188" t="s">
        <v>219</v>
      </c>
      <c r="B40" s="188" t="s">
        <v>170</v>
      </c>
      <c r="C40" s="188" t="s">
        <v>171</v>
      </c>
      <c r="D40" s="188" t="s">
        <v>172</v>
      </c>
      <c r="E40" s="188" t="s">
        <v>173</v>
      </c>
      <c r="F40" s="188" t="s">
        <v>174</v>
      </c>
      <c r="G40" s="188" t="s">
        <v>184</v>
      </c>
      <c r="H40" s="189" t="s">
        <v>195</v>
      </c>
    </row>
    <row r="41" spans="1:10" ht="14" x14ac:dyDescent="0.3">
      <c r="A41" s="121" t="s">
        <v>506</v>
      </c>
      <c r="B41" s="137">
        <v>0.39861111111111108</v>
      </c>
      <c r="C41" s="515">
        <v>0.32300000000000001</v>
      </c>
      <c r="D41" s="515">
        <v>9.64</v>
      </c>
      <c r="E41" s="225">
        <v>13.4</v>
      </c>
      <c r="F41" s="515">
        <v>8.77</v>
      </c>
      <c r="G41" s="128">
        <v>1.05</v>
      </c>
      <c r="H41" s="82">
        <v>5</v>
      </c>
    </row>
    <row r="42" spans="1:10" ht="14" x14ac:dyDescent="0.3">
      <c r="A42" s="121" t="s">
        <v>175</v>
      </c>
      <c r="B42" s="82"/>
      <c r="C42" s="540">
        <v>0.32300000000000001</v>
      </c>
      <c r="D42" s="515">
        <v>9.59</v>
      </c>
      <c r="E42" s="225">
        <v>13.4</v>
      </c>
      <c r="F42" s="515">
        <v>8.81</v>
      </c>
      <c r="G42" s="89"/>
    </row>
    <row r="43" spans="1:10" ht="14" x14ac:dyDescent="0.3">
      <c r="A43" s="121" t="s">
        <v>507</v>
      </c>
      <c r="B43" s="82"/>
      <c r="C43" s="540">
        <v>0.32300000000000001</v>
      </c>
      <c r="D43" s="515">
        <v>9.2899999999999991</v>
      </c>
      <c r="E43" s="225">
        <v>13.4</v>
      </c>
      <c r="F43" s="515">
        <v>8.81</v>
      </c>
      <c r="G43" s="89"/>
      <c r="H43" s="176" t="s">
        <v>521</v>
      </c>
      <c r="I43" s="442">
        <f>AVERAGE(E41:E44)</f>
        <v>13.4</v>
      </c>
    </row>
    <row r="44" spans="1:10" ht="14" x14ac:dyDescent="0.3">
      <c r="A44" s="121" t="s">
        <v>176</v>
      </c>
      <c r="B44" s="82"/>
      <c r="C44" s="540">
        <v>0.32300000000000001</v>
      </c>
      <c r="D44" s="515">
        <v>9.16</v>
      </c>
      <c r="E44" s="225">
        <v>13.4</v>
      </c>
      <c r="F44" s="515">
        <v>8.7899999999999991</v>
      </c>
      <c r="G44" s="89"/>
      <c r="H44" s="20" t="s">
        <v>601</v>
      </c>
      <c r="I44" s="442">
        <f>AVERAGE(E41:E52)</f>
        <v>13.333333333333334</v>
      </c>
    </row>
    <row r="45" spans="1:10" ht="14" x14ac:dyDescent="0.3">
      <c r="A45" s="121" t="s">
        <v>508</v>
      </c>
      <c r="B45" s="82"/>
      <c r="C45" s="540">
        <v>0.32300000000000001</v>
      </c>
      <c r="D45" s="454">
        <v>8.86</v>
      </c>
      <c r="E45" s="225">
        <v>13.3</v>
      </c>
      <c r="F45" s="515">
        <v>8.76</v>
      </c>
      <c r="G45" s="89"/>
      <c r="H45" s="168"/>
      <c r="I45" s="169"/>
    </row>
    <row r="46" spans="1:10" ht="14" x14ac:dyDescent="0.3">
      <c r="A46" s="121" t="s">
        <v>177</v>
      </c>
      <c r="B46" s="82"/>
      <c r="C46" s="540">
        <v>0.32300000000000001</v>
      </c>
      <c r="D46" s="515">
        <v>8.82</v>
      </c>
      <c r="E46" s="225">
        <v>13.3</v>
      </c>
      <c r="F46" s="515">
        <v>8.69</v>
      </c>
      <c r="G46" s="89"/>
      <c r="H46" s="440" t="s">
        <v>602</v>
      </c>
      <c r="I46" s="333">
        <f>AVERAGE(D41:D52)</f>
        <v>9.068888888888889</v>
      </c>
    </row>
    <row r="47" spans="1:10" ht="14" x14ac:dyDescent="0.3">
      <c r="A47" s="121" t="s">
        <v>509</v>
      </c>
      <c r="B47" s="82"/>
      <c r="C47" s="540">
        <v>0.32300000000000001</v>
      </c>
      <c r="D47" s="515">
        <v>9.06</v>
      </c>
      <c r="E47" s="225">
        <v>13.3</v>
      </c>
      <c r="F47" s="515">
        <v>8.69</v>
      </c>
      <c r="G47" s="89"/>
      <c r="H47" s="440" t="s">
        <v>526</v>
      </c>
      <c r="I47" s="333">
        <f>AVERAGE(D41:D44)</f>
        <v>9.42</v>
      </c>
    </row>
    <row r="48" spans="1:10" ht="14" x14ac:dyDescent="0.3">
      <c r="A48" s="121" t="s">
        <v>178</v>
      </c>
      <c r="B48" s="82"/>
      <c r="C48" s="540">
        <v>0.32300000000000001</v>
      </c>
      <c r="D48" s="515">
        <v>8.61</v>
      </c>
      <c r="E48" s="225">
        <v>13.3</v>
      </c>
      <c r="F48" s="515">
        <v>8.67</v>
      </c>
      <c r="G48" s="89"/>
    </row>
    <row r="49" spans="1:9" ht="14" x14ac:dyDescent="0.3">
      <c r="A49" s="121" t="s">
        <v>179</v>
      </c>
      <c r="B49" s="82"/>
      <c r="C49" s="540">
        <v>0.32300000000000001</v>
      </c>
      <c r="D49" s="515">
        <v>8.59</v>
      </c>
      <c r="E49" s="225">
        <v>13.2</v>
      </c>
      <c r="F49" s="515">
        <v>8.6199999999999992</v>
      </c>
      <c r="G49" s="89"/>
    </row>
    <row r="50" spans="1:9" ht="14" x14ac:dyDescent="0.3">
      <c r="A50" s="306" t="s">
        <v>180</v>
      </c>
      <c r="B50" s="137"/>
      <c r="C50" s="515"/>
      <c r="D50" s="515"/>
      <c r="E50" s="225"/>
      <c r="F50" s="515"/>
      <c r="G50" s="89"/>
    </row>
    <row r="51" spans="1:9" ht="14" x14ac:dyDescent="0.3">
      <c r="A51" s="306" t="s">
        <v>181</v>
      </c>
      <c r="B51" s="137"/>
      <c r="C51" s="515"/>
      <c r="D51" s="515"/>
      <c r="E51" s="225"/>
      <c r="F51" s="515"/>
      <c r="G51" s="89"/>
    </row>
    <row r="52" spans="1:9" ht="14" x14ac:dyDescent="0.3">
      <c r="A52" s="306" t="s">
        <v>182</v>
      </c>
      <c r="B52" s="137"/>
      <c r="C52" s="515"/>
      <c r="D52" s="515"/>
      <c r="E52" s="225"/>
      <c r="F52" s="515"/>
      <c r="G52" s="89"/>
    </row>
    <row r="53" spans="1:9" x14ac:dyDescent="0.25">
      <c r="A53" s="82"/>
      <c r="B53" s="82"/>
      <c r="C53" s="82"/>
      <c r="D53" s="82"/>
      <c r="E53" s="82"/>
      <c r="F53" s="82"/>
    </row>
    <row r="54" spans="1:9" ht="14" x14ac:dyDescent="0.3">
      <c r="A54" s="188" t="s">
        <v>220</v>
      </c>
      <c r="B54" s="188" t="s">
        <v>170</v>
      </c>
      <c r="C54" s="188" t="s">
        <v>171</v>
      </c>
      <c r="D54" s="188" t="s">
        <v>172</v>
      </c>
      <c r="E54" s="188" t="s">
        <v>173</v>
      </c>
      <c r="F54" s="188" t="s">
        <v>174</v>
      </c>
      <c r="G54" s="188" t="s">
        <v>184</v>
      </c>
      <c r="H54" s="189" t="s">
        <v>195</v>
      </c>
    </row>
    <row r="55" spans="1:9" ht="13" x14ac:dyDescent="0.3">
      <c r="A55" s="121" t="s">
        <v>506</v>
      </c>
      <c r="B55" s="137">
        <v>0.41736111111111113</v>
      </c>
      <c r="C55" s="515">
        <v>0.32500000000000001</v>
      </c>
      <c r="D55" s="515">
        <v>9.9600000000000009</v>
      </c>
      <c r="E55" s="515">
        <v>13.4</v>
      </c>
      <c r="F55" s="515">
        <v>8.94</v>
      </c>
      <c r="G55" s="128">
        <v>1.3</v>
      </c>
      <c r="H55" s="82">
        <v>3.8</v>
      </c>
    </row>
    <row r="56" spans="1:9" ht="13" x14ac:dyDescent="0.3">
      <c r="A56" s="121" t="s">
        <v>175</v>
      </c>
      <c r="B56" s="82"/>
      <c r="C56" s="540">
        <v>0.32500000000000001</v>
      </c>
      <c r="D56" s="515">
        <v>10.01</v>
      </c>
      <c r="E56" s="540">
        <v>13.4</v>
      </c>
      <c r="F56" s="515">
        <v>8.83</v>
      </c>
      <c r="G56" s="89"/>
    </row>
    <row r="57" spans="1:9" ht="13" x14ac:dyDescent="0.3">
      <c r="A57" s="121" t="s">
        <v>507</v>
      </c>
      <c r="B57" s="82"/>
      <c r="C57" s="540">
        <v>0.32500000000000001</v>
      </c>
      <c r="D57" s="515">
        <v>9.7200000000000006</v>
      </c>
      <c r="E57" s="540">
        <v>13.4</v>
      </c>
      <c r="F57" s="515">
        <v>8.83</v>
      </c>
      <c r="G57" s="89"/>
      <c r="H57" s="176" t="s">
        <v>521</v>
      </c>
      <c r="I57" s="442">
        <f>AVERAGE(E54:E57)</f>
        <v>13.4</v>
      </c>
    </row>
    <row r="58" spans="1:9" ht="13" x14ac:dyDescent="0.3">
      <c r="A58" s="121" t="s">
        <v>176</v>
      </c>
      <c r="B58" s="82"/>
      <c r="C58" s="540">
        <v>0.32500000000000001</v>
      </c>
      <c r="D58" s="515">
        <v>9.23</v>
      </c>
      <c r="E58" s="540">
        <v>13.4</v>
      </c>
      <c r="F58" s="515">
        <v>8.7899999999999991</v>
      </c>
      <c r="G58" s="89"/>
      <c r="H58" s="20" t="s">
        <v>604</v>
      </c>
      <c r="I58" s="442">
        <f>AVERAGE(E54:E64)</f>
        <v>13.342857142857143</v>
      </c>
    </row>
    <row r="59" spans="1:9" ht="13" x14ac:dyDescent="0.3">
      <c r="A59" s="121" t="s">
        <v>508</v>
      </c>
      <c r="B59" s="82"/>
      <c r="C59" s="540">
        <v>0.32500000000000001</v>
      </c>
      <c r="D59" s="515">
        <v>9.36</v>
      </c>
      <c r="E59" s="515">
        <v>13.3</v>
      </c>
      <c r="F59" s="515">
        <v>8.7799999999999994</v>
      </c>
      <c r="G59" s="89"/>
      <c r="H59" s="168"/>
      <c r="I59" s="169"/>
    </row>
    <row r="60" spans="1:9" ht="13" x14ac:dyDescent="0.3">
      <c r="A60" s="121" t="s">
        <v>177</v>
      </c>
      <c r="B60" s="82"/>
      <c r="C60" s="540">
        <v>0.32500000000000001</v>
      </c>
      <c r="D60" s="515">
        <v>8.81</v>
      </c>
      <c r="E60" s="515">
        <v>13.3</v>
      </c>
      <c r="F60" s="515">
        <v>8.76</v>
      </c>
      <c r="G60" s="89"/>
      <c r="H60" s="440" t="s">
        <v>603</v>
      </c>
      <c r="I60" s="333">
        <f>AVERAGE(D54:D68)</f>
        <v>9.5120000000000005</v>
      </c>
    </row>
    <row r="61" spans="1:9" ht="13" x14ac:dyDescent="0.3">
      <c r="A61" s="121" t="s">
        <v>509</v>
      </c>
      <c r="B61" s="82"/>
      <c r="C61" s="515">
        <v>0.32600000000000001</v>
      </c>
      <c r="D61" s="515">
        <v>7.22</v>
      </c>
      <c r="E61" s="515">
        <v>13.2</v>
      </c>
      <c r="F61" s="515">
        <v>8.75</v>
      </c>
      <c r="G61" s="89"/>
      <c r="H61" s="440" t="s">
        <v>526</v>
      </c>
      <c r="I61" s="333">
        <f>AVERAGE(D54:D57)</f>
        <v>9.8966666666666665</v>
      </c>
    </row>
    <row r="62" spans="1:9" ht="13" x14ac:dyDescent="0.3">
      <c r="A62" s="121" t="s">
        <v>178</v>
      </c>
      <c r="B62" s="82"/>
      <c r="C62" s="515"/>
      <c r="D62" s="515"/>
      <c r="E62" s="515"/>
      <c r="F62" s="515"/>
      <c r="G62" s="89"/>
    </row>
    <row r="63" spans="1:9" ht="13" x14ac:dyDescent="0.3">
      <c r="A63" s="121" t="s">
        <v>179</v>
      </c>
      <c r="B63" s="82"/>
      <c r="C63" s="515"/>
      <c r="D63" s="515"/>
      <c r="E63" s="515"/>
      <c r="F63" s="515"/>
      <c r="G63" s="89"/>
    </row>
    <row r="64" spans="1:9" x14ac:dyDescent="0.25">
      <c r="A64" s="82"/>
      <c r="B64" s="82"/>
      <c r="C64" s="82"/>
      <c r="D64" s="82"/>
      <c r="E64" s="82"/>
      <c r="F64" s="82"/>
    </row>
    <row r="65" spans="1:9" ht="14" x14ac:dyDescent="0.3">
      <c r="A65" s="188" t="s">
        <v>221</v>
      </c>
      <c r="B65" s="188" t="s">
        <v>170</v>
      </c>
      <c r="C65" s="188" t="s">
        <v>171</v>
      </c>
      <c r="D65" s="188" t="s">
        <v>172</v>
      </c>
      <c r="E65" s="188" t="s">
        <v>173</v>
      </c>
      <c r="F65" s="188" t="s">
        <v>174</v>
      </c>
      <c r="G65" s="188" t="s">
        <v>184</v>
      </c>
      <c r="H65" s="189" t="s">
        <v>195</v>
      </c>
    </row>
    <row r="66" spans="1:9" ht="13" x14ac:dyDescent="0.3">
      <c r="A66" s="121" t="s">
        <v>506</v>
      </c>
      <c r="B66" s="137">
        <v>0.44930555555555557</v>
      </c>
      <c r="C66" s="515">
        <v>0.318</v>
      </c>
      <c r="D66" s="310">
        <v>10.56</v>
      </c>
      <c r="E66" s="85">
        <v>13.8</v>
      </c>
      <c r="F66" s="310">
        <v>8.69</v>
      </c>
      <c r="G66" s="186">
        <v>1.1000000000000001</v>
      </c>
      <c r="H66" s="82">
        <v>5.3</v>
      </c>
    </row>
    <row r="67" spans="1:9" ht="13" x14ac:dyDescent="0.3">
      <c r="A67" s="121" t="s">
        <v>175</v>
      </c>
      <c r="B67" s="82"/>
      <c r="C67" s="540">
        <v>0.318</v>
      </c>
      <c r="D67" s="310">
        <v>10.199999999999999</v>
      </c>
      <c r="E67" s="85">
        <v>13.7</v>
      </c>
      <c r="F67" s="310">
        <v>8.64</v>
      </c>
      <c r="G67" s="89"/>
    </row>
    <row r="68" spans="1:9" ht="13" x14ac:dyDescent="0.3">
      <c r="A68" s="121" t="s">
        <v>507</v>
      </c>
      <c r="B68" s="82"/>
      <c r="C68" s="540">
        <v>0.318</v>
      </c>
      <c r="D68" s="310">
        <v>10.050000000000001</v>
      </c>
      <c r="E68" s="85">
        <v>13.7</v>
      </c>
      <c r="F68" s="310">
        <v>8.66</v>
      </c>
      <c r="G68" s="89"/>
      <c r="H68" s="176" t="s">
        <v>521</v>
      </c>
      <c r="I68" s="442">
        <f>AVERAGE(E66:E69)</f>
        <v>13.725000000000001</v>
      </c>
    </row>
    <row r="69" spans="1:9" ht="13" x14ac:dyDescent="0.3">
      <c r="A69" s="121" t="s">
        <v>176</v>
      </c>
      <c r="B69" s="82"/>
      <c r="C69" s="540">
        <v>0.318</v>
      </c>
      <c r="D69" s="310">
        <v>9.92</v>
      </c>
      <c r="E69" s="85">
        <v>13.7</v>
      </c>
      <c r="F69" s="310">
        <v>8.69</v>
      </c>
      <c r="G69" s="89"/>
      <c r="H69" s="20" t="s">
        <v>605</v>
      </c>
      <c r="I69" s="442">
        <f>AVERAGE(E66:E76)</f>
        <v>13.666666666666668</v>
      </c>
    </row>
    <row r="70" spans="1:9" ht="13" x14ac:dyDescent="0.3">
      <c r="A70" s="121" t="s">
        <v>508</v>
      </c>
      <c r="B70" s="82"/>
      <c r="C70" s="540">
        <v>0.318</v>
      </c>
      <c r="D70" s="310">
        <v>10.210000000000001</v>
      </c>
      <c r="E70" s="85">
        <v>13.7</v>
      </c>
      <c r="F70" s="310">
        <v>8.75</v>
      </c>
      <c r="G70" s="89"/>
      <c r="H70" s="168"/>
      <c r="I70" s="169"/>
    </row>
    <row r="71" spans="1:9" ht="13" x14ac:dyDescent="0.3">
      <c r="A71" s="121" t="s">
        <v>177</v>
      </c>
      <c r="B71" s="82"/>
      <c r="C71" s="540">
        <v>0.318</v>
      </c>
      <c r="D71" s="310">
        <v>10.119999999999999</v>
      </c>
      <c r="E71" s="85">
        <v>13.7</v>
      </c>
      <c r="F71" s="310">
        <v>8.81</v>
      </c>
      <c r="G71" s="89"/>
      <c r="H71" s="440" t="s">
        <v>606</v>
      </c>
      <c r="I71" s="333">
        <f>AVERAGE(D66:D76)</f>
        <v>10.183333333333332</v>
      </c>
    </row>
    <row r="72" spans="1:9" ht="13" x14ac:dyDescent="0.3">
      <c r="A72" s="121" t="s">
        <v>509</v>
      </c>
      <c r="B72" s="82"/>
      <c r="C72" s="540">
        <v>0.318</v>
      </c>
      <c r="D72" s="310">
        <v>10.130000000000001</v>
      </c>
      <c r="E72" s="85">
        <v>13.7</v>
      </c>
      <c r="F72" s="310">
        <v>8.8699999999999992</v>
      </c>
      <c r="G72" s="89"/>
      <c r="H72" s="440" t="s">
        <v>526</v>
      </c>
      <c r="I72" s="333">
        <f>AVERAGE(D66:D69)</f>
        <v>10.182499999999999</v>
      </c>
    </row>
    <row r="73" spans="1:9" ht="13" x14ac:dyDescent="0.3">
      <c r="A73" s="121" t="s">
        <v>178</v>
      </c>
      <c r="B73" s="82"/>
      <c r="C73" s="540">
        <v>0.318</v>
      </c>
      <c r="D73" s="310">
        <v>10.24</v>
      </c>
      <c r="E73" s="85">
        <v>13.6</v>
      </c>
      <c r="F73" s="310">
        <v>8.89</v>
      </c>
      <c r="G73" s="89"/>
    </row>
    <row r="74" spans="1:9" ht="13" x14ac:dyDescent="0.3">
      <c r="A74" s="121" t="s">
        <v>179</v>
      </c>
      <c r="B74" s="82"/>
      <c r="C74" s="540">
        <v>0.318</v>
      </c>
      <c r="D74" s="310">
        <v>10.220000000000001</v>
      </c>
      <c r="E74" s="85">
        <v>13.4</v>
      </c>
      <c r="F74" s="310">
        <v>8.89</v>
      </c>
      <c r="G74" s="89"/>
    </row>
    <row r="75" spans="1:9" ht="13" x14ac:dyDescent="0.3">
      <c r="A75" s="121" t="s">
        <v>180</v>
      </c>
      <c r="B75" s="82"/>
      <c r="C75" s="515"/>
      <c r="D75" s="310"/>
      <c r="E75" s="85"/>
      <c r="F75" s="310"/>
    </row>
    <row r="76" spans="1:9" ht="14" x14ac:dyDescent="0.3">
      <c r="A76" s="121" t="s">
        <v>181</v>
      </c>
      <c r="B76" s="412"/>
      <c r="C76" s="412"/>
      <c r="D76" s="412"/>
      <c r="E76" s="412"/>
      <c r="F76" s="412"/>
      <c r="G76" s="411"/>
      <c r="H76" s="124"/>
    </row>
    <row r="77" spans="1:9" ht="13" x14ac:dyDescent="0.3">
      <c r="A77" s="121" t="s">
        <v>182</v>
      </c>
      <c r="B77" s="186"/>
      <c r="C77" s="186"/>
      <c r="D77" s="186"/>
      <c r="E77" s="186"/>
      <c r="F77" s="186"/>
      <c r="G77" s="86"/>
      <c r="H77" s="86"/>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V95"/>
  <sheetViews>
    <sheetView workbookViewId="0">
      <selection activeCell="G8" sqref="G8"/>
    </sheetView>
  </sheetViews>
  <sheetFormatPr defaultRowHeight="12.5" x14ac:dyDescent="0.25"/>
  <cols>
    <col min="1" max="1" width="16.6328125" customWidth="1"/>
    <col min="2" max="2" width="10.08984375" bestFit="1" customWidth="1"/>
    <col min="4" max="4" width="11.54296875" customWidth="1"/>
    <col min="8" max="8" width="12" customWidth="1"/>
    <col min="9" max="9" width="16" customWidth="1"/>
    <col min="10" max="10" width="23.6328125" customWidth="1"/>
    <col min="11" max="11" width="14.90625" customWidth="1"/>
    <col min="13" max="13" width="9.90625" bestFit="1" customWidth="1"/>
    <col min="20" max="20" width="16" bestFit="1" customWidth="1"/>
    <col min="21" max="21" width="10.08984375" bestFit="1" customWidth="1"/>
  </cols>
  <sheetData>
    <row r="1" spans="1:22" ht="14" x14ac:dyDescent="0.3">
      <c r="A1" s="129" t="s">
        <v>505</v>
      </c>
    </row>
    <row r="2" spans="1:22" ht="13" x14ac:dyDescent="0.3">
      <c r="A2" s="1" t="s">
        <v>168</v>
      </c>
      <c r="B2" s="148">
        <v>40840</v>
      </c>
      <c r="I2" s="1"/>
      <c r="J2" s="29"/>
      <c r="K2" s="160"/>
      <c r="L2" s="1"/>
      <c r="M2" s="1"/>
      <c r="N2" s="8"/>
      <c r="O2" s="159"/>
      <c r="T2" s="509" t="s">
        <v>246</v>
      </c>
      <c r="U2" s="510">
        <v>40840</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514">
        <v>0</v>
      </c>
    </row>
    <row r="4" spans="1:22" ht="13" x14ac:dyDescent="0.3">
      <c r="A4" s="91" t="s">
        <v>213</v>
      </c>
      <c r="B4" s="137">
        <v>0.41041666666666665</v>
      </c>
      <c r="C4" s="82">
        <v>1.86</v>
      </c>
      <c r="D4" s="82">
        <v>9.48</v>
      </c>
      <c r="E4" s="82">
        <v>8.9</v>
      </c>
      <c r="F4" s="82">
        <v>8.42</v>
      </c>
      <c r="G4" s="89"/>
      <c r="I4" s="168"/>
      <c r="J4" s="169"/>
      <c r="K4" s="163"/>
      <c r="L4" s="11"/>
      <c r="M4" s="165"/>
      <c r="N4" s="166"/>
      <c r="O4" s="170"/>
      <c r="T4" s="179" t="s">
        <v>253</v>
      </c>
      <c r="U4" s="515">
        <v>5</v>
      </c>
    </row>
    <row r="5" spans="1:22" ht="13" x14ac:dyDescent="0.3">
      <c r="A5" s="91" t="s">
        <v>214</v>
      </c>
      <c r="B5" s="137">
        <v>0.42152777777777778</v>
      </c>
      <c r="C5" s="82">
        <v>0.24299999999999999</v>
      </c>
      <c r="D5" s="82">
        <v>10.07</v>
      </c>
      <c r="E5" s="82">
        <v>6.8</v>
      </c>
      <c r="F5" s="82">
        <v>8.6</v>
      </c>
      <c r="G5" s="89"/>
      <c r="I5" s="168"/>
      <c r="J5" s="169"/>
      <c r="K5" s="172"/>
      <c r="L5" s="173"/>
      <c r="M5" s="174"/>
      <c r="N5" s="175"/>
      <c r="O5" s="170"/>
      <c r="T5" s="309" t="s">
        <v>257</v>
      </c>
      <c r="U5" s="515">
        <v>0</v>
      </c>
    </row>
    <row r="6" spans="1:22" ht="13" x14ac:dyDescent="0.3">
      <c r="A6" s="91" t="s">
        <v>215</v>
      </c>
      <c r="B6" s="137">
        <v>0.43958333333333338</v>
      </c>
      <c r="C6" s="82">
        <v>0.313</v>
      </c>
      <c r="D6" s="82">
        <v>8.4700000000000006</v>
      </c>
      <c r="E6" s="82">
        <v>11.5</v>
      </c>
      <c r="F6" s="82">
        <v>9.3000000000000007</v>
      </c>
      <c r="G6" s="89"/>
      <c r="I6" s="20"/>
      <c r="J6" s="162"/>
      <c r="K6" s="163"/>
      <c r="L6" s="28"/>
      <c r="M6" s="165"/>
      <c r="N6" s="166"/>
      <c r="O6" s="167"/>
      <c r="T6" s="179" t="s">
        <v>247</v>
      </c>
      <c r="U6" s="515">
        <v>16</v>
      </c>
    </row>
    <row r="7" spans="1:22" ht="14" x14ac:dyDescent="0.3">
      <c r="A7" s="91" t="s">
        <v>208</v>
      </c>
      <c r="B7" s="222" t="s">
        <v>539</v>
      </c>
      <c r="C7" s="223"/>
      <c r="D7" s="223"/>
      <c r="E7" s="223"/>
      <c r="F7" s="224"/>
      <c r="G7" s="188" t="s">
        <v>184</v>
      </c>
      <c r="H7" s="189" t="s">
        <v>195</v>
      </c>
      <c r="I7" s="168"/>
      <c r="J7" s="169"/>
      <c r="K7" s="163"/>
      <c r="L7" s="11"/>
      <c r="M7" s="165"/>
      <c r="N7" s="166"/>
      <c r="O7" s="170"/>
      <c r="T7" s="446" t="s">
        <v>537</v>
      </c>
      <c r="U7" s="515">
        <v>2</v>
      </c>
    </row>
    <row r="8" spans="1:22" ht="13" x14ac:dyDescent="0.3">
      <c r="A8" s="121" t="s">
        <v>506</v>
      </c>
      <c r="B8" s="201">
        <v>0.47361111111111115</v>
      </c>
      <c r="C8" s="82">
        <v>0.308</v>
      </c>
      <c r="D8" s="82">
        <v>11.29</v>
      </c>
      <c r="E8" s="82">
        <v>13</v>
      </c>
      <c r="F8" s="82">
        <v>9.5</v>
      </c>
      <c r="G8" s="128">
        <v>2.25</v>
      </c>
      <c r="H8" s="178">
        <v>10.65</v>
      </c>
      <c r="I8" s="168"/>
      <c r="J8" s="169"/>
      <c r="K8" s="172"/>
      <c r="L8" s="173"/>
      <c r="M8" s="174"/>
      <c r="N8" s="175"/>
      <c r="O8" s="170"/>
      <c r="T8" s="446" t="s">
        <v>538</v>
      </c>
      <c r="U8" s="515">
        <v>3</v>
      </c>
    </row>
    <row r="9" spans="1:22" ht="13" x14ac:dyDescent="0.3">
      <c r="A9" s="121" t="s">
        <v>175</v>
      </c>
      <c r="B9" s="82"/>
      <c r="C9" s="82">
        <v>0.308</v>
      </c>
      <c r="D9" s="82">
        <v>11.66</v>
      </c>
      <c r="E9" s="82">
        <v>12.7</v>
      </c>
      <c r="F9" s="82">
        <v>9.4600000000000009</v>
      </c>
      <c r="G9" s="89"/>
      <c r="K9" s="177"/>
      <c r="M9" s="174"/>
      <c r="N9" s="175"/>
      <c r="O9" s="167"/>
      <c r="T9" s="179" t="s">
        <v>249</v>
      </c>
      <c r="U9" s="515">
        <v>51</v>
      </c>
    </row>
    <row r="10" spans="1:22" ht="13" x14ac:dyDescent="0.3">
      <c r="A10" s="121" t="s">
        <v>507</v>
      </c>
      <c r="B10" s="82"/>
      <c r="C10" s="82">
        <v>0.308</v>
      </c>
      <c r="D10" s="82">
        <v>11.09</v>
      </c>
      <c r="E10" s="82">
        <v>12.6</v>
      </c>
      <c r="F10" s="82">
        <v>9.4499999999999993</v>
      </c>
      <c r="G10" s="89"/>
      <c r="H10" s="176" t="s">
        <v>521</v>
      </c>
      <c r="I10" s="442">
        <f>AVERAGE(E8:E11)</f>
        <v>12.7</v>
      </c>
      <c r="K10" s="163"/>
      <c r="L10" s="28"/>
      <c r="M10" s="165"/>
      <c r="N10" s="166"/>
      <c r="O10" s="167"/>
      <c r="T10" s="179" t="s">
        <v>250</v>
      </c>
      <c r="U10" s="515">
        <v>0</v>
      </c>
      <c r="V10" s="20"/>
    </row>
    <row r="11" spans="1:22" ht="13" x14ac:dyDescent="0.3">
      <c r="A11" s="121" t="s">
        <v>176</v>
      </c>
      <c r="B11" s="82"/>
      <c r="C11" s="186">
        <v>0.311</v>
      </c>
      <c r="D11" s="82">
        <v>10.91</v>
      </c>
      <c r="E11" s="82">
        <v>12.5</v>
      </c>
      <c r="F11" s="82">
        <v>9.41</v>
      </c>
      <c r="G11" s="89"/>
      <c r="H11" s="20" t="s">
        <v>549</v>
      </c>
      <c r="I11" s="442">
        <f>AVERAGE(E8:E19)</f>
        <v>12.537500000000001</v>
      </c>
      <c r="K11" s="163"/>
      <c r="L11" s="11"/>
      <c r="M11" s="165"/>
      <c r="N11" s="166"/>
      <c r="O11" s="170"/>
      <c r="T11" s="511" t="s">
        <v>628</v>
      </c>
      <c r="U11" s="515">
        <v>0</v>
      </c>
    </row>
    <row r="12" spans="1:22" ht="13" x14ac:dyDescent="0.3">
      <c r="A12" s="121" t="s">
        <v>508</v>
      </c>
      <c r="B12" s="82"/>
      <c r="C12" s="186">
        <v>0.311</v>
      </c>
      <c r="D12" s="82">
        <v>11.02</v>
      </c>
      <c r="E12" s="82">
        <v>12.5</v>
      </c>
      <c r="F12" s="82">
        <v>9.4</v>
      </c>
      <c r="G12" s="89"/>
      <c r="H12" s="168"/>
      <c r="I12" s="169"/>
      <c r="K12" s="172"/>
      <c r="L12" s="173"/>
      <c r="M12" s="174"/>
      <c r="N12" s="175"/>
      <c r="O12" s="170"/>
      <c r="T12" s="179" t="s">
        <v>251</v>
      </c>
      <c r="U12" s="208">
        <v>29</v>
      </c>
    </row>
    <row r="13" spans="1:22" ht="13" x14ac:dyDescent="0.3">
      <c r="A13" s="121" t="s">
        <v>177</v>
      </c>
      <c r="B13" s="82"/>
      <c r="C13" s="186">
        <v>0.311</v>
      </c>
      <c r="D13" s="82">
        <v>10.91</v>
      </c>
      <c r="E13" s="82">
        <v>12.5</v>
      </c>
      <c r="F13" s="186">
        <v>9.36</v>
      </c>
      <c r="G13" s="89"/>
      <c r="H13" s="440" t="s">
        <v>548</v>
      </c>
      <c r="I13" s="333">
        <f>AVERAGE(D8:D22)</f>
        <v>9.32</v>
      </c>
      <c r="K13" s="163"/>
      <c r="L13" s="28"/>
      <c r="M13" s="165"/>
      <c r="N13" s="166"/>
      <c r="O13" s="167"/>
      <c r="T13" s="179" t="s">
        <v>576</v>
      </c>
      <c r="U13" s="515">
        <v>4</v>
      </c>
    </row>
    <row r="14" spans="1:22" ht="13" x14ac:dyDescent="0.3">
      <c r="A14" s="121" t="s">
        <v>509</v>
      </c>
      <c r="B14" s="82"/>
      <c r="C14" s="186">
        <v>0.311</v>
      </c>
      <c r="D14" s="82">
        <v>10.86</v>
      </c>
      <c r="E14" s="82">
        <v>12.5</v>
      </c>
      <c r="F14" s="82">
        <v>9.3699999999999992</v>
      </c>
      <c r="G14" s="89"/>
      <c r="H14" s="440" t="s">
        <v>526</v>
      </c>
      <c r="I14" s="333">
        <f>AVERAGE(D8:D11)</f>
        <v>11.237500000000001</v>
      </c>
      <c r="K14" s="163"/>
      <c r="L14" s="11"/>
      <c r="M14" s="165"/>
      <c r="N14" s="166"/>
      <c r="O14" s="170"/>
    </row>
    <row r="15" spans="1:22" ht="13" x14ac:dyDescent="0.3">
      <c r="A15" s="121" t="s">
        <v>178</v>
      </c>
      <c r="B15" s="82"/>
      <c r="C15" s="82">
        <v>0.312</v>
      </c>
      <c r="D15" s="82">
        <v>10.65</v>
      </c>
      <c r="E15" s="82">
        <v>12.5</v>
      </c>
      <c r="F15" s="82">
        <v>9.4</v>
      </c>
      <c r="G15" s="89"/>
      <c r="K15" s="172"/>
      <c r="L15" s="173"/>
      <c r="M15" s="174"/>
      <c r="N15" s="175"/>
      <c r="O15" s="170"/>
    </row>
    <row r="16" spans="1:22" ht="13" x14ac:dyDescent="0.3">
      <c r="A16" s="121" t="s">
        <v>179</v>
      </c>
      <c r="B16" s="137"/>
      <c r="C16" s="82">
        <v>0.313</v>
      </c>
      <c r="D16" s="82">
        <v>10.02</v>
      </c>
      <c r="E16" s="82">
        <v>12.45</v>
      </c>
      <c r="F16" s="82">
        <v>9.33</v>
      </c>
      <c r="G16" s="89"/>
      <c r="H16" s="440" t="s">
        <v>547</v>
      </c>
      <c r="I16" s="333">
        <f>AVERAGE(F8:F20)</f>
        <v>9.2507692307692313</v>
      </c>
      <c r="K16" s="163"/>
      <c r="L16" s="28"/>
      <c r="M16" s="165"/>
      <c r="N16" s="166"/>
      <c r="O16" s="167"/>
    </row>
    <row r="17" spans="1:20" ht="13" x14ac:dyDescent="0.3">
      <c r="A17" s="121" t="s">
        <v>180</v>
      </c>
      <c r="B17" s="137"/>
      <c r="C17" s="82">
        <v>0.317</v>
      </c>
      <c r="D17" s="312">
        <v>8.1999999999999993</v>
      </c>
      <c r="E17" s="82">
        <v>12.4</v>
      </c>
      <c r="F17" s="82">
        <v>9.06</v>
      </c>
      <c r="G17" s="89"/>
      <c r="H17" s="440" t="s">
        <v>546</v>
      </c>
      <c r="I17" s="441">
        <f>AVERAGE(C8:C22)</f>
        <v>0.31979999999999997</v>
      </c>
      <c r="J17" s="169"/>
      <c r="K17" s="163"/>
      <c r="L17" s="11"/>
      <c r="M17" s="165"/>
      <c r="N17" s="166"/>
      <c r="O17" s="170"/>
    </row>
    <row r="18" spans="1:20" ht="13" x14ac:dyDescent="0.3">
      <c r="A18" s="121" t="s">
        <v>181</v>
      </c>
      <c r="B18" s="82"/>
      <c r="C18" s="82">
        <v>0.31900000000000001</v>
      </c>
      <c r="D18" s="312">
        <v>7.9</v>
      </c>
      <c r="E18" s="82">
        <v>12.4</v>
      </c>
      <c r="F18" s="82">
        <v>8.99</v>
      </c>
      <c r="G18" s="89"/>
      <c r="I18" s="168"/>
      <c r="J18" s="169"/>
      <c r="K18" s="172"/>
      <c r="L18" s="173"/>
      <c r="M18" s="174"/>
      <c r="N18" s="175"/>
      <c r="O18" s="170"/>
    </row>
    <row r="19" spans="1:20" ht="13" x14ac:dyDescent="0.3">
      <c r="A19" s="121" t="s">
        <v>182</v>
      </c>
      <c r="B19" s="82"/>
      <c r="C19" s="82">
        <v>0.31900000000000001</v>
      </c>
      <c r="D19" s="312">
        <v>7.03</v>
      </c>
      <c r="E19" s="82">
        <v>12.4</v>
      </c>
      <c r="F19" s="82">
        <v>8.8000000000000007</v>
      </c>
      <c r="G19" s="89"/>
      <c r="I19" s="168"/>
      <c r="J19" s="169"/>
      <c r="K19" s="172"/>
      <c r="L19" s="173"/>
      <c r="M19" s="174"/>
      <c r="N19" s="175"/>
      <c r="S19" s="149"/>
    </row>
    <row r="20" spans="1:20" ht="13" x14ac:dyDescent="0.3">
      <c r="A20" s="121" t="s">
        <v>183</v>
      </c>
      <c r="B20" s="82"/>
      <c r="C20" s="82">
        <v>0.31900000000000001</v>
      </c>
      <c r="D20" s="312">
        <v>6.98</v>
      </c>
      <c r="E20" s="82">
        <v>12.2</v>
      </c>
      <c r="F20" s="82">
        <v>8.73</v>
      </c>
      <c r="G20" s="89"/>
      <c r="I20" s="168"/>
      <c r="J20" s="169"/>
      <c r="K20" s="172"/>
      <c r="L20" s="173"/>
      <c r="M20" s="174"/>
      <c r="N20" s="175"/>
      <c r="S20" s="447"/>
      <c r="T20" s="447"/>
    </row>
    <row r="21" spans="1:20" ht="13" x14ac:dyDescent="0.3">
      <c r="A21" s="121" t="s">
        <v>206</v>
      </c>
      <c r="B21" s="82"/>
      <c r="C21" s="82">
        <v>0.32400000000000001</v>
      </c>
      <c r="D21" s="312">
        <v>6.31</v>
      </c>
      <c r="E21" s="82">
        <v>12.3</v>
      </c>
      <c r="F21" s="82">
        <v>8.57</v>
      </c>
      <c r="G21" s="89"/>
      <c r="I21" s="168"/>
      <c r="J21" s="169"/>
      <c r="K21" s="172"/>
      <c r="L21" s="173"/>
      <c r="M21" s="174"/>
      <c r="N21" s="175"/>
      <c r="S21" s="86"/>
      <c r="T21" s="86"/>
    </row>
    <row r="22" spans="1:20" ht="13" x14ac:dyDescent="0.3">
      <c r="A22" s="121" t="s">
        <v>207</v>
      </c>
      <c r="B22" s="82"/>
      <c r="C22" s="82">
        <v>0.40600000000000003</v>
      </c>
      <c r="D22" s="82">
        <v>4.97</v>
      </c>
      <c r="E22" s="82">
        <v>12.4</v>
      </c>
      <c r="F22" s="82">
        <v>8.08</v>
      </c>
      <c r="G22" s="89"/>
      <c r="S22" s="86"/>
      <c r="T22" s="86"/>
    </row>
    <row r="23" spans="1:20" ht="13" x14ac:dyDescent="0.3">
      <c r="A23" s="121" t="s">
        <v>209</v>
      </c>
      <c r="B23" s="137">
        <v>0.44930555555555557</v>
      </c>
      <c r="C23" s="82">
        <v>1.2</v>
      </c>
      <c r="D23" s="82">
        <v>9.57</v>
      </c>
      <c r="E23" s="82">
        <v>6.9</v>
      </c>
      <c r="F23" s="186">
        <v>8.56</v>
      </c>
      <c r="G23" s="179" t="s">
        <v>767</v>
      </c>
      <c r="H23" s="20"/>
      <c r="S23" s="86"/>
      <c r="T23" s="86"/>
    </row>
    <row r="24" spans="1:20" ht="13" x14ac:dyDescent="0.3">
      <c r="A24" s="306" t="s">
        <v>210</v>
      </c>
      <c r="B24" s="137">
        <v>0.45416666666666666</v>
      </c>
      <c r="C24" s="82">
        <v>1.08</v>
      </c>
      <c r="D24" s="82">
        <v>11.09</v>
      </c>
      <c r="E24" s="82">
        <v>8</v>
      </c>
      <c r="F24" s="186">
        <v>8.66</v>
      </c>
      <c r="G24" s="179" t="s">
        <v>768</v>
      </c>
      <c r="H24" s="20"/>
      <c r="S24" s="86"/>
      <c r="T24" s="86"/>
    </row>
    <row r="25" spans="1:20" x14ac:dyDescent="0.25">
      <c r="A25" s="125" t="s">
        <v>11</v>
      </c>
      <c r="B25" s="193" t="s">
        <v>765</v>
      </c>
      <c r="C25" s="126"/>
      <c r="D25" s="126"/>
      <c r="E25" s="126"/>
      <c r="F25" s="126"/>
      <c r="G25" s="126"/>
      <c r="S25" s="86"/>
      <c r="T25" s="86"/>
    </row>
    <row r="26" spans="1:20" x14ac:dyDescent="0.25">
      <c r="A26" s="138"/>
      <c r="B26" s="20" t="s">
        <v>558</v>
      </c>
      <c r="D26" s="322"/>
      <c r="E26" s="322"/>
      <c r="F26" s="322"/>
      <c r="G26" s="322"/>
      <c r="S26" s="86"/>
      <c r="T26" s="86"/>
    </row>
    <row r="27" spans="1:20" x14ac:dyDescent="0.25">
      <c r="A27" s="138"/>
      <c r="B27" s="322"/>
      <c r="C27" s="322"/>
      <c r="D27" s="322"/>
      <c r="E27" s="322"/>
      <c r="F27" s="322"/>
      <c r="G27" s="322"/>
      <c r="S27" s="86"/>
      <c r="T27" s="86"/>
    </row>
    <row r="28" spans="1:20" ht="23" x14ac:dyDescent="0.25">
      <c r="A28" s="953" t="s">
        <v>127</v>
      </c>
      <c r="B28" s="954"/>
      <c r="C28" s="955"/>
      <c r="D28" s="953" t="s">
        <v>130</v>
      </c>
      <c r="E28" s="954"/>
      <c r="F28" s="955"/>
      <c r="G28" s="956" t="s">
        <v>31</v>
      </c>
      <c r="H28" s="956"/>
      <c r="J28" s="135" t="s">
        <v>187</v>
      </c>
      <c r="K28" s="135" t="s">
        <v>188</v>
      </c>
      <c r="L28" s="136" t="s">
        <v>189</v>
      </c>
      <c r="M28" s="135" t="s">
        <v>190</v>
      </c>
      <c r="N28" s="136" t="s">
        <v>191</v>
      </c>
      <c r="S28" s="86"/>
      <c r="T28" s="86"/>
    </row>
    <row r="29" spans="1:20" ht="15.5" x14ac:dyDescent="0.35">
      <c r="A29" s="518" t="s">
        <v>170</v>
      </c>
      <c r="B29" s="519">
        <v>0.41041666666666665</v>
      </c>
      <c r="C29" s="520">
        <v>0.67</v>
      </c>
      <c r="D29" s="518" t="s">
        <v>170</v>
      </c>
      <c r="E29" s="519">
        <v>0.42152777777777778</v>
      </c>
      <c r="F29" s="521">
        <v>3.6</v>
      </c>
      <c r="G29" s="518" t="s">
        <v>170</v>
      </c>
      <c r="H29" s="519">
        <v>0.43541666666666662</v>
      </c>
      <c r="J29" s="132">
        <v>2</v>
      </c>
      <c r="K29" s="132">
        <v>0.55000000000000004</v>
      </c>
      <c r="L29" s="132">
        <v>0.2</v>
      </c>
      <c r="M29" s="132">
        <f>K29*2</f>
        <v>1.1000000000000001</v>
      </c>
      <c r="N29" s="133">
        <f>L29*M29</f>
        <v>0.22000000000000003</v>
      </c>
      <c r="S29" s="86"/>
      <c r="T29" s="86"/>
    </row>
    <row r="30" spans="1:20" ht="15.5" x14ac:dyDescent="0.35">
      <c r="A30" s="518" t="s">
        <v>185</v>
      </c>
      <c r="B30" s="517">
        <v>6</v>
      </c>
      <c r="C30" s="522"/>
      <c r="D30" s="518" t="s">
        <v>185</v>
      </c>
      <c r="E30" s="520">
        <v>17</v>
      </c>
      <c r="F30" s="522"/>
      <c r="G30" s="518" t="s">
        <v>185</v>
      </c>
      <c r="H30" s="520">
        <v>50</v>
      </c>
      <c r="I30" s="512"/>
      <c r="J30" s="132">
        <v>4</v>
      </c>
      <c r="K30" s="132">
        <v>0.66</v>
      </c>
      <c r="L30" s="132">
        <v>0.5</v>
      </c>
      <c r="M30" s="132">
        <f>K30*3</f>
        <v>1.98</v>
      </c>
      <c r="N30" s="133">
        <f>L30*M30</f>
        <v>0.99</v>
      </c>
      <c r="S30" s="86"/>
      <c r="T30" s="86"/>
    </row>
    <row r="31" spans="1:20" ht="15.5" x14ac:dyDescent="0.35">
      <c r="A31" s="523" t="s">
        <v>186</v>
      </c>
      <c r="B31" s="957" t="s">
        <v>644</v>
      </c>
      <c r="C31" s="957"/>
      <c r="D31" s="523" t="s">
        <v>186</v>
      </c>
      <c r="E31" s="957" t="s">
        <v>329</v>
      </c>
      <c r="F31" s="957"/>
      <c r="G31" s="523" t="s">
        <v>186</v>
      </c>
      <c r="H31" s="524" t="s">
        <v>330</v>
      </c>
      <c r="J31" s="132">
        <v>6</v>
      </c>
      <c r="K31" s="132">
        <v>0.57999999999999996</v>
      </c>
      <c r="L31" s="132">
        <v>0.5</v>
      </c>
      <c r="M31" s="132">
        <f>K31*2</f>
        <v>1.1599999999999999</v>
      </c>
      <c r="N31" s="133">
        <f t="shared" ref="N31:N38" si="0">L31*M31</f>
        <v>0.57999999999999996</v>
      </c>
    </row>
    <row r="32" spans="1:20" ht="24" x14ac:dyDescent="0.35">
      <c r="A32" s="313" t="s">
        <v>187</v>
      </c>
      <c r="B32" s="313" t="s">
        <v>188</v>
      </c>
      <c r="C32" s="314" t="s">
        <v>189</v>
      </c>
      <c r="D32" s="313" t="s">
        <v>187</v>
      </c>
      <c r="E32" s="313" t="s">
        <v>188</v>
      </c>
      <c r="F32" s="314" t="s">
        <v>189</v>
      </c>
      <c r="G32" s="313" t="s">
        <v>188</v>
      </c>
      <c r="H32" s="314" t="s">
        <v>189</v>
      </c>
      <c r="J32" s="132">
        <v>8</v>
      </c>
      <c r="K32" s="132">
        <v>0.42</v>
      </c>
      <c r="L32" s="132">
        <v>0.1</v>
      </c>
      <c r="M32" s="132">
        <f>K32*2</f>
        <v>0.84</v>
      </c>
      <c r="N32" s="133">
        <f t="shared" si="0"/>
        <v>8.4000000000000005E-2</v>
      </c>
    </row>
    <row r="33" spans="1:14" ht="15.5" x14ac:dyDescent="0.35">
      <c r="A33" s="152">
        <v>2</v>
      </c>
      <c r="B33" s="132">
        <v>0.33</v>
      </c>
      <c r="C33" s="132">
        <v>0.2</v>
      </c>
      <c r="D33" s="152">
        <v>2</v>
      </c>
      <c r="E33" s="132">
        <v>0.55000000000000004</v>
      </c>
      <c r="F33" s="132">
        <v>0.2</v>
      </c>
      <c r="G33" s="947" t="s">
        <v>31</v>
      </c>
      <c r="H33" s="947"/>
      <c r="J33" s="132">
        <v>10</v>
      </c>
      <c r="K33" s="132">
        <v>0.47</v>
      </c>
      <c r="L33" s="132">
        <v>0.4</v>
      </c>
      <c r="M33" s="132">
        <f t="shared" ref="M33:M38" si="1">K33*2</f>
        <v>0.94</v>
      </c>
      <c r="N33" s="133">
        <f t="shared" si="0"/>
        <v>0.376</v>
      </c>
    </row>
    <row r="34" spans="1:14" ht="15.5" x14ac:dyDescent="0.35">
      <c r="A34" s="152">
        <v>4</v>
      </c>
      <c r="B34" s="132">
        <v>0.27</v>
      </c>
      <c r="C34" s="132">
        <v>1.1000000000000001</v>
      </c>
      <c r="D34" s="152">
        <v>4</v>
      </c>
      <c r="E34" s="132">
        <v>0.66</v>
      </c>
      <c r="F34" s="132">
        <v>0.5</v>
      </c>
      <c r="G34" s="132">
        <v>0.06</v>
      </c>
      <c r="H34" s="133">
        <v>0.1</v>
      </c>
      <c r="I34" s="444">
        <v>0.3</v>
      </c>
      <c r="J34" s="132">
        <v>12</v>
      </c>
      <c r="K34" s="134">
        <v>0.47</v>
      </c>
      <c r="L34" s="132">
        <v>0.4</v>
      </c>
      <c r="M34" s="132">
        <f t="shared" si="1"/>
        <v>0.94</v>
      </c>
      <c r="N34" s="133">
        <f t="shared" si="0"/>
        <v>0.376</v>
      </c>
    </row>
    <row r="35" spans="1:14" ht="15.5" x14ac:dyDescent="0.35">
      <c r="A35" s="152">
        <v>6</v>
      </c>
      <c r="B35" s="132"/>
      <c r="C35" s="132"/>
      <c r="D35" s="331">
        <v>6</v>
      </c>
      <c r="E35" s="132">
        <v>0.57999999999999996</v>
      </c>
      <c r="F35" s="132">
        <v>0.5</v>
      </c>
      <c r="G35" s="948" t="s">
        <v>196</v>
      </c>
      <c r="H35" s="949"/>
      <c r="I35" s="158"/>
      <c r="J35" s="132">
        <v>14</v>
      </c>
      <c r="K35" s="134">
        <v>0.41</v>
      </c>
      <c r="L35" s="134">
        <v>0.6</v>
      </c>
      <c r="M35" s="132">
        <f t="shared" si="1"/>
        <v>0.82</v>
      </c>
      <c r="N35" s="133">
        <f t="shared" si="0"/>
        <v>0.49199999999999994</v>
      </c>
    </row>
    <row r="36" spans="1:14" ht="15.5" x14ac:dyDescent="0.35">
      <c r="A36" s="152">
        <v>8</v>
      </c>
      <c r="B36" s="132"/>
      <c r="C36" s="132"/>
      <c r="D36" s="152">
        <v>8</v>
      </c>
      <c r="E36" s="132">
        <v>0.42</v>
      </c>
      <c r="F36" s="132">
        <v>0.1</v>
      </c>
      <c r="G36" s="132" t="s">
        <v>766</v>
      </c>
      <c r="H36" s="133">
        <v>0.6</v>
      </c>
      <c r="I36" s="444">
        <v>0.52</v>
      </c>
      <c r="J36" s="132">
        <v>16</v>
      </c>
      <c r="K36" s="134"/>
      <c r="L36" s="134"/>
      <c r="M36" s="132">
        <f>K36*3</f>
        <v>0</v>
      </c>
      <c r="N36" s="133">
        <f t="shared" si="0"/>
        <v>0</v>
      </c>
    </row>
    <row r="37" spans="1:14" ht="15.5" x14ac:dyDescent="0.35">
      <c r="A37" s="152">
        <v>12</v>
      </c>
      <c r="B37" s="132"/>
      <c r="C37" s="132"/>
      <c r="D37" s="152">
        <v>10</v>
      </c>
      <c r="E37" s="132">
        <v>0.47</v>
      </c>
      <c r="F37" s="132">
        <v>0.4</v>
      </c>
      <c r="G37" s="132" t="s">
        <v>197</v>
      </c>
      <c r="H37" s="133"/>
      <c r="I37" s="158"/>
      <c r="J37" s="132">
        <v>18</v>
      </c>
      <c r="K37" s="82"/>
      <c r="L37" s="194"/>
      <c r="M37" s="132">
        <f t="shared" si="1"/>
        <v>0</v>
      </c>
      <c r="N37" s="133">
        <f t="shared" si="0"/>
        <v>0</v>
      </c>
    </row>
    <row r="38" spans="1:14" ht="15.5" x14ac:dyDescent="0.35">
      <c r="A38" s="123"/>
      <c r="B38" s="132"/>
      <c r="C38" s="132"/>
      <c r="D38" s="152">
        <v>12</v>
      </c>
      <c r="E38" s="134">
        <v>0.47</v>
      </c>
      <c r="F38" s="132">
        <v>0.4</v>
      </c>
      <c r="G38" s="132" t="s">
        <v>686</v>
      </c>
      <c r="H38" s="133">
        <v>0.8</v>
      </c>
      <c r="I38" s="445">
        <v>0.4</v>
      </c>
      <c r="J38" s="132">
        <v>20</v>
      </c>
      <c r="K38" s="132"/>
      <c r="L38" s="132"/>
      <c r="M38" s="132">
        <f t="shared" si="1"/>
        <v>0</v>
      </c>
      <c r="N38" s="133">
        <f t="shared" si="0"/>
        <v>0</v>
      </c>
    </row>
    <row r="39" spans="1:14" ht="15.5" x14ac:dyDescent="0.35">
      <c r="C39" s="443">
        <v>1.0900000000000001</v>
      </c>
      <c r="D39" s="152">
        <v>14</v>
      </c>
      <c r="E39" s="134">
        <v>0.41</v>
      </c>
      <c r="F39" s="134">
        <v>0.6</v>
      </c>
      <c r="G39" s="20" t="s">
        <v>644</v>
      </c>
      <c r="N39" s="6">
        <f>SUM(N29:N38)</f>
        <v>3.1179999999999999</v>
      </c>
    </row>
    <row r="40" spans="1:14" ht="15.5" x14ac:dyDescent="0.35">
      <c r="A40" s="319"/>
      <c r="D40" s="152">
        <v>16</v>
      </c>
      <c r="E40" s="134"/>
      <c r="F40" s="134"/>
    </row>
    <row r="41" spans="1:14" ht="15.5" x14ac:dyDescent="0.35">
      <c r="A41" s="319"/>
      <c r="D41" s="152">
        <v>18</v>
      </c>
      <c r="E41" s="82"/>
      <c r="F41" s="194"/>
    </row>
    <row r="42" spans="1:14" ht="15.5" x14ac:dyDescent="0.35">
      <c r="F42" s="366">
        <v>3.12</v>
      </c>
    </row>
    <row r="43" spans="1:14" ht="14" x14ac:dyDescent="0.3">
      <c r="A43" s="129" t="s">
        <v>211</v>
      </c>
      <c r="C43" s="11" t="s">
        <v>212</v>
      </c>
      <c r="D43" s="148">
        <v>40840</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v>0.48958333333333331</v>
      </c>
      <c r="C45" s="614">
        <v>0.31</v>
      </c>
      <c r="D45" s="225">
        <v>11.23</v>
      </c>
      <c r="E45" s="515">
        <v>13.1</v>
      </c>
      <c r="F45" s="225">
        <v>9.42</v>
      </c>
      <c r="G45" s="128">
        <v>2.44</v>
      </c>
      <c r="H45" s="82">
        <v>8.3000000000000007</v>
      </c>
    </row>
    <row r="46" spans="1:14" ht="14" x14ac:dyDescent="0.3">
      <c r="A46" s="121" t="s">
        <v>175</v>
      </c>
      <c r="B46" s="82"/>
      <c r="C46" s="614">
        <v>0.31</v>
      </c>
      <c r="D46" s="225">
        <v>10.73</v>
      </c>
      <c r="E46" s="515">
        <v>12.8</v>
      </c>
      <c r="F46" s="225">
        <v>9.4499999999999993</v>
      </c>
      <c r="G46" s="89"/>
    </row>
    <row r="47" spans="1:14" ht="14" x14ac:dyDescent="0.3">
      <c r="A47" s="121" t="s">
        <v>507</v>
      </c>
      <c r="B47" s="82"/>
      <c r="C47" s="614">
        <v>0.31</v>
      </c>
      <c r="D47" s="225">
        <v>11.09</v>
      </c>
      <c r="E47" s="515">
        <v>12.7</v>
      </c>
      <c r="F47" s="225">
        <v>9.4700000000000006</v>
      </c>
      <c r="G47" s="89"/>
      <c r="H47" s="176" t="s">
        <v>521</v>
      </c>
      <c r="I47" s="442">
        <f>AVERAGE(E45:E48)</f>
        <v>12.774999999999999</v>
      </c>
    </row>
    <row r="48" spans="1:14" ht="14" x14ac:dyDescent="0.3">
      <c r="A48" s="121" t="s">
        <v>176</v>
      </c>
      <c r="B48" s="82"/>
      <c r="C48" s="614">
        <v>0.31</v>
      </c>
      <c r="D48" s="225">
        <v>11.51</v>
      </c>
      <c r="E48" s="515">
        <v>12.5</v>
      </c>
      <c r="F48" s="225">
        <v>9.4700000000000006</v>
      </c>
      <c r="G48" s="89"/>
      <c r="H48" s="20" t="s">
        <v>599</v>
      </c>
      <c r="I48" s="442">
        <f>AVERAGE(E45:E54)</f>
        <v>12.53</v>
      </c>
    </row>
    <row r="49" spans="1:10" ht="14" x14ac:dyDescent="0.3">
      <c r="A49" s="121" t="s">
        <v>508</v>
      </c>
      <c r="B49" s="82"/>
      <c r="C49" s="614">
        <v>0.31</v>
      </c>
      <c r="D49" s="225">
        <v>11.26</v>
      </c>
      <c r="E49" s="515">
        <v>12.4</v>
      </c>
      <c r="F49" s="225">
        <v>9.42</v>
      </c>
      <c r="G49" s="89"/>
      <c r="H49" s="168"/>
      <c r="I49" s="169"/>
    </row>
    <row r="50" spans="1:10" ht="14" x14ac:dyDescent="0.3">
      <c r="A50" s="121" t="s">
        <v>177</v>
      </c>
      <c r="B50" s="82"/>
      <c r="C50" s="614">
        <v>0.31</v>
      </c>
      <c r="D50" s="225">
        <v>11.51</v>
      </c>
      <c r="E50" s="540">
        <v>12.4</v>
      </c>
      <c r="F50" s="225">
        <v>9.44</v>
      </c>
      <c r="G50" s="89"/>
      <c r="H50" s="440" t="s">
        <v>600</v>
      </c>
      <c r="I50" s="333">
        <f>AVERAGE(D45:D53)</f>
        <v>10.947777777777778</v>
      </c>
    </row>
    <row r="51" spans="1:10" ht="14" x14ac:dyDescent="0.3">
      <c r="A51" s="121" t="s">
        <v>509</v>
      </c>
      <c r="B51" s="82"/>
      <c r="C51" s="614">
        <v>0.31</v>
      </c>
      <c r="D51" s="225">
        <v>10.66</v>
      </c>
      <c r="E51" s="540">
        <v>12.4</v>
      </c>
      <c r="F51" s="225">
        <v>9.41</v>
      </c>
      <c r="G51" s="89"/>
      <c r="H51" s="440" t="s">
        <v>526</v>
      </c>
      <c r="I51" s="333">
        <f>AVERAGE(D45:D48)</f>
        <v>11.139999999999999</v>
      </c>
    </row>
    <row r="52" spans="1:10" ht="14" x14ac:dyDescent="0.3">
      <c r="A52" s="121" t="s">
        <v>178</v>
      </c>
      <c r="B52" s="82"/>
      <c r="C52" s="614">
        <v>0.31</v>
      </c>
      <c r="D52" s="225">
        <v>10.039999999999999</v>
      </c>
      <c r="E52" s="540">
        <v>12.4</v>
      </c>
      <c r="F52" s="225">
        <v>9.44</v>
      </c>
      <c r="G52" s="89"/>
    </row>
    <row r="53" spans="1:10" ht="14" x14ac:dyDescent="0.3">
      <c r="A53" s="121" t="s">
        <v>179</v>
      </c>
      <c r="B53" s="82"/>
      <c r="C53" s="614">
        <v>0.31</v>
      </c>
      <c r="D53" s="225">
        <v>10.5</v>
      </c>
      <c r="E53" s="515">
        <v>12.3</v>
      </c>
      <c r="F53" s="225">
        <v>9.4499999999999993</v>
      </c>
      <c r="G53" s="89"/>
    </row>
    <row r="54" spans="1:10" ht="14" x14ac:dyDescent="0.3">
      <c r="A54" s="121" t="s">
        <v>180</v>
      </c>
      <c r="B54" s="82"/>
      <c r="C54" s="614">
        <v>0.31</v>
      </c>
      <c r="D54" s="225">
        <v>10.26</v>
      </c>
      <c r="E54" s="515">
        <v>12.3</v>
      </c>
      <c r="F54" s="225">
        <v>9.44</v>
      </c>
      <c r="G54" s="89"/>
    </row>
    <row r="55" spans="1:10" ht="14" x14ac:dyDescent="0.3">
      <c r="A55" s="121" t="s">
        <v>181</v>
      </c>
      <c r="B55" s="82"/>
      <c r="C55" s="614">
        <v>0.31</v>
      </c>
      <c r="D55" s="225">
        <v>10.17</v>
      </c>
      <c r="E55" s="540">
        <v>12.3</v>
      </c>
      <c r="F55" s="225">
        <v>9.4499999999999993</v>
      </c>
      <c r="G55" s="89"/>
    </row>
    <row r="56" spans="1:10" ht="14" x14ac:dyDescent="0.3">
      <c r="A56" s="121" t="s">
        <v>182</v>
      </c>
      <c r="B56" s="82"/>
      <c r="C56" s="614">
        <v>0.311</v>
      </c>
      <c r="D56" s="225">
        <v>10.27</v>
      </c>
      <c r="E56" s="540">
        <v>12.3</v>
      </c>
      <c r="F56" s="225">
        <v>9.5</v>
      </c>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v>0.49652777777777773</v>
      </c>
      <c r="C59" s="515">
        <v>0.311</v>
      </c>
      <c r="D59" s="515">
        <v>11.28</v>
      </c>
      <c r="E59" s="225">
        <v>13</v>
      </c>
      <c r="F59" s="515">
        <v>9.4700000000000006</v>
      </c>
      <c r="G59" s="128">
        <v>1.8</v>
      </c>
      <c r="H59" s="82">
        <v>5</v>
      </c>
    </row>
    <row r="60" spans="1:10" ht="13" x14ac:dyDescent="0.3">
      <c r="A60" s="121" t="s">
        <v>175</v>
      </c>
      <c r="B60" s="82"/>
      <c r="C60" s="540">
        <v>0.311</v>
      </c>
      <c r="D60" s="515">
        <v>11.55</v>
      </c>
      <c r="E60">
        <v>12.8</v>
      </c>
      <c r="F60" s="515">
        <v>9.4600000000000009</v>
      </c>
      <c r="G60" s="89"/>
    </row>
    <row r="61" spans="1:10" ht="14" x14ac:dyDescent="0.3">
      <c r="A61" s="121" t="s">
        <v>507</v>
      </c>
      <c r="B61" s="82"/>
      <c r="C61" s="540">
        <v>0.311</v>
      </c>
      <c r="D61" s="515">
        <v>11.12</v>
      </c>
      <c r="E61" s="225">
        <v>12.6</v>
      </c>
      <c r="F61" s="515">
        <v>9.44</v>
      </c>
      <c r="G61" s="89"/>
      <c r="H61" s="176" t="s">
        <v>521</v>
      </c>
      <c r="I61" s="442">
        <f>AVERAGE(E59:E63)</f>
        <v>12.68</v>
      </c>
    </row>
    <row r="62" spans="1:10" ht="14" x14ac:dyDescent="0.3">
      <c r="A62" s="121" t="s">
        <v>176</v>
      </c>
      <c r="B62" s="82"/>
      <c r="C62" s="515">
        <v>0.312</v>
      </c>
      <c r="D62" s="515">
        <v>10.7</v>
      </c>
      <c r="E62" s="225">
        <v>12.5</v>
      </c>
      <c r="F62" s="515">
        <v>9.4</v>
      </c>
      <c r="G62" s="89"/>
      <c r="H62" s="20" t="s">
        <v>601</v>
      </c>
      <c r="I62" s="442">
        <f>AVERAGE(E59:E70)</f>
        <v>12.52222222222222</v>
      </c>
    </row>
    <row r="63" spans="1:10" ht="14" x14ac:dyDescent="0.3">
      <c r="A63" s="121" t="s">
        <v>508</v>
      </c>
      <c r="B63" s="82"/>
      <c r="C63" s="454">
        <v>0.313</v>
      </c>
      <c r="D63" s="454">
        <v>10.5</v>
      </c>
      <c r="E63" s="225">
        <v>12.5</v>
      </c>
      <c r="F63" s="515">
        <v>9.39</v>
      </c>
      <c r="G63" s="89"/>
      <c r="H63" s="168"/>
      <c r="I63" s="169"/>
    </row>
    <row r="64" spans="1:10" ht="14" x14ac:dyDescent="0.3">
      <c r="A64" s="121" t="s">
        <v>177</v>
      </c>
      <c r="B64" s="82"/>
      <c r="C64" s="515">
        <v>0.314</v>
      </c>
      <c r="D64" s="515">
        <v>10.86</v>
      </c>
      <c r="E64" s="225">
        <v>12.4</v>
      </c>
      <c r="F64" s="515">
        <v>9.33</v>
      </c>
      <c r="G64" s="89"/>
      <c r="H64" s="440" t="s">
        <v>602</v>
      </c>
      <c r="I64" s="333">
        <f>AVERAGE(D59:D70)</f>
        <v>10.552222222222222</v>
      </c>
    </row>
    <row r="65" spans="1:9" ht="14" x14ac:dyDescent="0.3">
      <c r="A65" s="121" t="s">
        <v>509</v>
      </c>
      <c r="B65" s="82"/>
      <c r="C65" s="515">
        <v>0.314</v>
      </c>
      <c r="D65" s="515">
        <v>10.59</v>
      </c>
      <c r="E65" s="225">
        <v>12.3</v>
      </c>
      <c r="F65" s="515">
        <v>9.3000000000000007</v>
      </c>
      <c r="G65" s="89"/>
      <c r="H65" s="440" t="s">
        <v>526</v>
      </c>
      <c r="I65" s="333">
        <f>AVERAGE(D59:D62)</f>
        <v>11.162499999999998</v>
      </c>
    </row>
    <row r="66" spans="1:9" ht="14" x14ac:dyDescent="0.3">
      <c r="A66" s="121" t="s">
        <v>178</v>
      </c>
      <c r="B66" s="82"/>
      <c r="C66" s="515">
        <v>0.315</v>
      </c>
      <c r="D66" s="515">
        <v>9.4</v>
      </c>
      <c r="E66" s="225">
        <v>12.3</v>
      </c>
      <c r="F66" s="515">
        <v>9.31</v>
      </c>
      <c r="G66" s="89"/>
    </row>
    <row r="67" spans="1:9" ht="14" x14ac:dyDescent="0.3">
      <c r="A67" s="121" t="s">
        <v>179</v>
      </c>
      <c r="B67" s="82"/>
      <c r="C67" s="515">
        <v>0.316</v>
      </c>
      <c r="D67" s="515">
        <v>8.9700000000000006</v>
      </c>
      <c r="E67" s="225">
        <v>12.3</v>
      </c>
      <c r="F67" s="515">
        <v>9.25</v>
      </c>
      <c r="G67" s="89"/>
    </row>
    <row r="68" spans="1:9" ht="14" x14ac:dyDescent="0.3">
      <c r="A68" s="306" t="s">
        <v>180</v>
      </c>
      <c r="B68" s="137"/>
      <c r="C68" s="515"/>
      <c r="D68" s="515"/>
      <c r="E68" s="225"/>
      <c r="F68" s="515"/>
      <c r="G68" s="89"/>
    </row>
    <row r="69" spans="1:9" ht="14" x14ac:dyDescent="0.3">
      <c r="A69" s="306" t="s">
        <v>181</v>
      </c>
      <c r="B69" s="137"/>
      <c r="C69" s="515"/>
      <c r="D69" s="515"/>
      <c r="E69" s="225"/>
      <c r="F69" s="515"/>
      <c r="G69" s="89"/>
    </row>
    <row r="70" spans="1:9" ht="14" x14ac:dyDescent="0.3">
      <c r="A70" s="306" t="s">
        <v>182</v>
      </c>
      <c r="B70" s="137"/>
      <c r="C70" s="515"/>
      <c r="D70" s="515"/>
      <c r="E70" s="225"/>
      <c r="F70" s="515"/>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v>0.50347222222222221</v>
      </c>
      <c r="C73" s="515">
        <v>0.312</v>
      </c>
      <c r="D73" s="515">
        <v>10.82</v>
      </c>
      <c r="E73" s="515">
        <v>13.2</v>
      </c>
      <c r="F73" s="515">
        <v>9.3800000000000008</v>
      </c>
      <c r="G73" s="128">
        <v>1.62</v>
      </c>
      <c r="H73" s="82">
        <v>3.72</v>
      </c>
    </row>
    <row r="74" spans="1:9" ht="13" x14ac:dyDescent="0.3">
      <c r="A74" s="121" t="s">
        <v>175</v>
      </c>
      <c r="B74" s="82"/>
      <c r="C74" s="515">
        <v>0.312</v>
      </c>
      <c r="D74" s="515">
        <v>10.7</v>
      </c>
      <c r="E74" s="515">
        <v>13</v>
      </c>
      <c r="F74" s="515">
        <v>9.41</v>
      </c>
      <c r="G74" s="89"/>
    </row>
    <row r="75" spans="1:9" ht="13" x14ac:dyDescent="0.3">
      <c r="A75" s="121" t="s">
        <v>507</v>
      </c>
      <c r="B75" s="82"/>
      <c r="C75" s="515">
        <v>0.318</v>
      </c>
      <c r="D75" s="515">
        <v>10.52</v>
      </c>
      <c r="E75" s="515">
        <v>12.7</v>
      </c>
      <c r="F75" s="515">
        <v>9.44</v>
      </c>
      <c r="G75" s="89"/>
      <c r="H75" s="176" t="s">
        <v>521</v>
      </c>
      <c r="I75" s="442">
        <f>AVERAGE(E72:E75)</f>
        <v>12.966666666666667</v>
      </c>
    </row>
    <row r="76" spans="1:9" ht="13" x14ac:dyDescent="0.3">
      <c r="A76" s="121" t="s">
        <v>176</v>
      </c>
      <c r="B76" s="82"/>
      <c r="C76" s="515">
        <v>0.314</v>
      </c>
      <c r="D76" s="515">
        <v>10.56</v>
      </c>
      <c r="E76" s="515">
        <v>12.5</v>
      </c>
      <c r="F76" s="515">
        <v>9.39</v>
      </c>
      <c r="G76" s="89"/>
      <c r="H76" s="20" t="s">
        <v>604</v>
      </c>
      <c r="I76" s="442">
        <f>AVERAGE(E72:E82)</f>
        <v>12.671428571428573</v>
      </c>
    </row>
    <row r="77" spans="1:9" ht="13" x14ac:dyDescent="0.3">
      <c r="A77" s="121" t="s">
        <v>508</v>
      </c>
      <c r="B77" s="82"/>
      <c r="C77" s="515">
        <v>0.314</v>
      </c>
      <c r="D77" s="515">
        <v>10.42</v>
      </c>
      <c r="E77" s="515">
        <v>12.5</v>
      </c>
      <c r="F77" s="515">
        <v>9.32</v>
      </c>
      <c r="G77" s="89"/>
      <c r="H77" s="168"/>
      <c r="I77" s="169"/>
    </row>
    <row r="78" spans="1:9" ht="13" x14ac:dyDescent="0.3">
      <c r="A78" s="121" t="s">
        <v>177</v>
      </c>
      <c r="B78" s="82"/>
      <c r="C78" s="515">
        <v>0.315</v>
      </c>
      <c r="D78" s="515">
        <v>10.33</v>
      </c>
      <c r="E78" s="515">
        <v>12.4</v>
      </c>
      <c r="F78" s="515">
        <v>9.39</v>
      </c>
      <c r="G78" s="89"/>
      <c r="H78" s="440" t="s">
        <v>603</v>
      </c>
      <c r="I78" s="333">
        <f>AVERAGE(D72:D86)</f>
        <v>10.447999999999999</v>
      </c>
    </row>
    <row r="79" spans="1:9" ht="13" x14ac:dyDescent="0.3">
      <c r="A79" s="121" t="s">
        <v>509</v>
      </c>
      <c r="B79" s="82"/>
      <c r="C79" s="515">
        <v>0.34200000000000003</v>
      </c>
      <c r="D79" s="515">
        <v>8.6999999999999993</v>
      </c>
      <c r="E79" s="515">
        <v>12.4</v>
      </c>
      <c r="F79" s="515">
        <v>9.0399999999999991</v>
      </c>
      <c r="G79" s="89"/>
      <c r="H79" s="440" t="s">
        <v>526</v>
      </c>
      <c r="I79" s="333">
        <f>AVERAGE(D72:D75)</f>
        <v>10.68</v>
      </c>
    </row>
    <row r="80" spans="1:9" ht="13" x14ac:dyDescent="0.3">
      <c r="A80" s="121" t="s">
        <v>178</v>
      </c>
      <c r="B80" s="82"/>
      <c r="C80" s="515"/>
      <c r="D80" s="515"/>
      <c r="E80" s="515"/>
      <c r="F80" s="515"/>
      <c r="G80" s="89"/>
    </row>
    <row r="81" spans="1:9" ht="13" x14ac:dyDescent="0.3">
      <c r="A81" s="121" t="s">
        <v>179</v>
      </c>
      <c r="B81" s="82"/>
      <c r="C81" s="515"/>
      <c r="D81" s="515"/>
      <c r="E81" s="515"/>
      <c r="F81" s="515"/>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v>0.51041666666666663</v>
      </c>
      <c r="C84" s="515">
        <v>0.311</v>
      </c>
      <c r="D84" s="310">
        <v>10.91</v>
      </c>
      <c r="E84" s="85">
        <v>13</v>
      </c>
      <c r="F84" s="310">
        <v>9.42</v>
      </c>
      <c r="G84" s="186">
        <v>2.0499999999999998</v>
      </c>
      <c r="H84" s="82">
        <v>6.25</v>
      </c>
    </row>
    <row r="85" spans="1:9" ht="13" x14ac:dyDescent="0.3">
      <c r="A85" s="121" t="s">
        <v>175</v>
      </c>
      <c r="B85" s="82"/>
      <c r="C85" s="540">
        <v>0.311</v>
      </c>
      <c r="D85" s="310">
        <v>10.92</v>
      </c>
      <c r="E85" s="85">
        <v>12.6</v>
      </c>
      <c r="F85" s="310">
        <v>9.43</v>
      </c>
      <c r="G85" s="89"/>
    </row>
    <row r="86" spans="1:9" ht="13" x14ac:dyDescent="0.3">
      <c r="A86" s="121" t="s">
        <v>507</v>
      </c>
      <c r="B86" s="82"/>
      <c r="C86" s="540">
        <v>0.311</v>
      </c>
      <c r="D86" s="310">
        <v>10.6</v>
      </c>
      <c r="E86" s="85">
        <v>12.5</v>
      </c>
      <c r="F86" s="310">
        <v>9.42</v>
      </c>
      <c r="G86" s="89"/>
      <c r="H86" s="176" t="s">
        <v>521</v>
      </c>
      <c r="I86" s="442">
        <f>AVERAGE(E84:E87)</f>
        <v>12.65</v>
      </c>
    </row>
    <row r="87" spans="1:9" ht="13" x14ac:dyDescent="0.3">
      <c r="A87" s="121" t="s">
        <v>176</v>
      </c>
      <c r="B87" s="82"/>
      <c r="C87" s="515">
        <v>0.31</v>
      </c>
      <c r="D87" s="310">
        <v>10.61</v>
      </c>
      <c r="E87" s="85">
        <v>12.5</v>
      </c>
      <c r="F87" s="310">
        <v>9.42</v>
      </c>
      <c r="G87" s="89"/>
      <c r="H87" s="20" t="s">
        <v>605</v>
      </c>
      <c r="I87" s="442">
        <f>AVERAGE(E84:E94)</f>
        <v>12.440000000000001</v>
      </c>
    </row>
    <row r="88" spans="1:9" ht="13" x14ac:dyDescent="0.3">
      <c r="A88" s="121" t="s">
        <v>508</v>
      </c>
      <c r="B88" s="82"/>
      <c r="C88" s="515">
        <v>0.311</v>
      </c>
      <c r="D88" s="310">
        <v>10.66</v>
      </c>
      <c r="E88" s="85">
        <v>12.4</v>
      </c>
      <c r="F88" s="310">
        <v>9.41</v>
      </c>
      <c r="G88" s="89"/>
      <c r="H88" s="168"/>
      <c r="I88" s="169"/>
    </row>
    <row r="89" spans="1:9" ht="13" x14ac:dyDescent="0.3">
      <c r="A89" s="121" t="s">
        <v>177</v>
      </c>
      <c r="B89" s="82"/>
      <c r="C89" s="515">
        <v>0.311</v>
      </c>
      <c r="D89" s="310">
        <v>10.210000000000001</v>
      </c>
      <c r="E89" s="85">
        <v>12.4</v>
      </c>
      <c r="F89" s="310">
        <v>9.39</v>
      </c>
      <c r="G89" s="89"/>
      <c r="H89" s="440" t="s">
        <v>606</v>
      </c>
      <c r="I89" s="333">
        <f>AVERAGE(D84:D94)</f>
        <v>10.215000000000002</v>
      </c>
    </row>
    <row r="90" spans="1:9" ht="13" x14ac:dyDescent="0.3">
      <c r="A90" s="121" t="s">
        <v>509</v>
      </c>
      <c r="B90" s="82"/>
      <c r="C90" s="515">
        <v>0.312</v>
      </c>
      <c r="D90" s="310">
        <v>10.220000000000001</v>
      </c>
      <c r="E90" s="85">
        <v>12.3</v>
      </c>
      <c r="F90" s="310">
        <v>9.36</v>
      </c>
      <c r="G90" s="89"/>
      <c r="H90" s="440" t="s">
        <v>526</v>
      </c>
      <c r="I90" s="333">
        <f>AVERAGE(D84:D87)</f>
        <v>10.76</v>
      </c>
    </row>
    <row r="91" spans="1:9" ht="13" x14ac:dyDescent="0.3">
      <c r="A91" s="121" t="s">
        <v>178</v>
      </c>
      <c r="B91" s="82"/>
      <c r="C91" s="515">
        <v>0.313</v>
      </c>
      <c r="D91" s="310">
        <v>9.9</v>
      </c>
      <c r="E91" s="85">
        <v>12.3</v>
      </c>
      <c r="F91" s="310">
        <v>9.33</v>
      </c>
      <c r="G91" s="89"/>
    </row>
    <row r="92" spans="1:9" ht="13" x14ac:dyDescent="0.3">
      <c r="A92" s="121" t="s">
        <v>179</v>
      </c>
      <c r="B92" s="82"/>
      <c r="C92" s="515">
        <v>0.314</v>
      </c>
      <c r="D92" s="310">
        <v>9.2200000000000006</v>
      </c>
      <c r="E92" s="85">
        <v>12.2</v>
      </c>
      <c r="F92" s="310">
        <v>9.25</v>
      </c>
      <c r="G92" s="89"/>
    </row>
    <row r="93" spans="1:9" ht="13" x14ac:dyDescent="0.3">
      <c r="A93" s="121" t="s">
        <v>180</v>
      </c>
      <c r="B93" s="82"/>
      <c r="C93" s="515">
        <v>0.318</v>
      </c>
      <c r="D93" s="310">
        <v>8.9</v>
      </c>
      <c r="E93" s="85">
        <v>12.2</v>
      </c>
      <c r="F93" s="310">
        <v>9.11</v>
      </c>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5:H35"/>
    <mergeCell ref="G33:H33"/>
    <mergeCell ref="A28:C28"/>
    <mergeCell ref="D28:F28"/>
    <mergeCell ref="G28:H28"/>
    <mergeCell ref="B31:C31"/>
    <mergeCell ref="E31:F3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46"/>
  <sheetViews>
    <sheetView topLeftCell="A70" workbookViewId="0">
      <selection activeCell="T35" sqref="T35"/>
    </sheetView>
  </sheetViews>
  <sheetFormatPr defaultRowHeight="12.5" x14ac:dyDescent="0.25"/>
  <cols>
    <col min="1" max="1" width="20.36328125" style="20" bestFit="1" customWidth="1"/>
    <col min="2" max="2" width="5.453125" style="23" customWidth="1"/>
    <col min="3" max="3" width="7.54296875" style="23" customWidth="1"/>
    <col min="5" max="5" width="18.6328125" bestFit="1" customWidth="1"/>
  </cols>
  <sheetData>
    <row r="1" spans="1:24" ht="15.5" x14ac:dyDescent="0.35">
      <c r="A1" s="829" t="s">
        <v>60</v>
      </c>
      <c r="B1" s="829"/>
      <c r="C1" s="829"/>
      <c r="D1" s="829"/>
      <c r="E1" s="829"/>
      <c r="F1" s="829"/>
      <c r="G1" s="829"/>
    </row>
    <row r="2" spans="1:24" ht="13" x14ac:dyDescent="0.3">
      <c r="A2" s="1" t="s">
        <v>20</v>
      </c>
      <c r="B2" s="390" t="s">
        <v>59</v>
      </c>
      <c r="C2" s="390" t="s">
        <v>26</v>
      </c>
      <c r="D2" s="1"/>
      <c r="E2" s="1"/>
      <c r="F2" s="390" t="s">
        <v>59</v>
      </c>
      <c r="G2" s="390" t="s">
        <v>26</v>
      </c>
      <c r="T2" t="s">
        <v>103</v>
      </c>
      <c r="U2" t="s">
        <v>92</v>
      </c>
      <c r="V2" t="s">
        <v>121</v>
      </c>
      <c r="W2" t="s">
        <v>137</v>
      </c>
      <c r="X2" t="s">
        <v>138</v>
      </c>
    </row>
    <row r="3" spans="1:24" ht="13" x14ac:dyDescent="0.3">
      <c r="A3" s="18" t="s">
        <v>29</v>
      </c>
      <c r="B3" s="324">
        <v>1990</v>
      </c>
      <c r="C3" s="19">
        <v>773</v>
      </c>
      <c r="E3" s="81" t="s">
        <v>33</v>
      </c>
      <c r="F3" s="324">
        <v>1991</v>
      </c>
      <c r="G3" s="19">
        <v>442</v>
      </c>
      <c r="T3" s="5">
        <v>569.4</v>
      </c>
      <c r="U3" s="5">
        <v>1208</v>
      </c>
      <c r="V3" s="5">
        <v>600.16666666666663</v>
      </c>
      <c r="W3" s="5">
        <v>254.43333333333334</v>
      </c>
      <c r="X3" s="5">
        <v>111.83333333333333</v>
      </c>
    </row>
    <row r="4" spans="1:24" ht="13" x14ac:dyDescent="0.3">
      <c r="B4" s="324">
        <v>1991</v>
      </c>
      <c r="C4" s="19">
        <v>1078</v>
      </c>
      <c r="E4" s="20"/>
      <c r="F4" s="324">
        <v>1992</v>
      </c>
      <c r="G4" s="19">
        <v>288</v>
      </c>
      <c r="T4" s="5">
        <v>1296.4000000000001</v>
      </c>
      <c r="U4" s="5">
        <v>7833</v>
      </c>
      <c r="V4" s="5">
        <v>703.83333333333337</v>
      </c>
      <c r="W4" s="5"/>
      <c r="X4" s="5"/>
    </row>
    <row r="5" spans="1:24" ht="13" x14ac:dyDescent="0.3">
      <c r="B5" s="324">
        <v>1992</v>
      </c>
      <c r="C5" s="19">
        <v>931</v>
      </c>
      <c r="E5" s="20"/>
      <c r="F5" s="325">
        <v>1993</v>
      </c>
      <c r="G5" s="21">
        <v>504</v>
      </c>
      <c r="T5" s="5">
        <v>277.73333333333335</v>
      </c>
      <c r="U5" s="5">
        <v>973</v>
      </c>
      <c r="V5" s="5">
        <v>111.16666666666667</v>
      </c>
      <c r="W5" s="5"/>
      <c r="X5" s="5"/>
    </row>
    <row r="6" spans="1:24" x14ac:dyDescent="0.25">
      <c r="B6" s="325">
        <v>1993</v>
      </c>
      <c r="C6" s="21">
        <v>1253</v>
      </c>
      <c r="E6" s="20"/>
      <c r="F6" s="325">
        <v>1994</v>
      </c>
      <c r="G6" s="21">
        <v>382</v>
      </c>
      <c r="T6" s="5">
        <v>287.06666666666666</v>
      </c>
      <c r="U6" s="5">
        <v>1019</v>
      </c>
      <c r="V6" s="5">
        <v>111.66666666666667</v>
      </c>
      <c r="W6" s="5"/>
      <c r="X6" s="5"/>
    </row>
    <row r="7" spans="1:24" x14ac:dyDescent="0.25">
      <c r="B7" s="325">
        <v>1994</v>
      </c>
      <c r="C7" s="21">
        <v>1472</v>
      </c>
      <c r="E7" s="20"/>
      <c r="F7" s="326">
        <v>1995</v>
      </c>
      <c r="G7" s="21">
        <v>474</v>
      </c>
      <c r="T7" s="5">
        <v>221.8</v>
      </c>
      <c r="U7" s="5">
        <v>547</v>
      </c>
      <c r="V7" s="5">
        <v>112</v>
      </c>
      <c r="W7" s="5"/>
      <c r="X7" s="5"/>
    </row>
    <row r="8" spans="1:24" x14ac:dyDescent="0.25">
      <c r="B8" s="326">
        <v>1995</v>
      </c>
      <c r="C8" s="21">
        <v>1932</v>
      </c>
      <c r="E8" s="20"/>
      <c r="F8" s="326">
        <v>1996</v>
      </c>
      <c r="G8" s="22">
        <v>577.75</v>
      </c>
    </row>
    <row r="9" spans="1:24" x14ac:dyDescent="0.25">
      <c r="B9" s="326">
        <v>1996</v>
      </c>
      <c r="C9" s="22">
        <v>1367.4375</v>
      </c>
      <c r="E9" s="20"/>
      <c r="F9" s="326">
        <v>1997</v>
      </c>
      <c r="G9" s="21">
        <v>392.83071428571424</v>
      </c>
    </row>
    <row r="10" spans="1:24" x14ac:dyDescent="0.25">
      <c r="B10" s="326">
        <v>1997</v>
      </c>
      <c r="C10" s="21">
        <v>798.58375000000012</v>
      </c>
      <c r="E10" s="20"/>
      <c r="F10" s="326">
        <v>1998</v>
      </c>
      <c r="G10" s="21">
        <v>388</v>
      </c>
    </row>
    <row r="11" spans="1:24" x14ac:dyDescent="0.25">
      <c r="B11" s="326">
        <v>1998</v>
      </c>
      <c r="C11" s="21">
        <v>525</v>
      </c>
      <c r="E11" s="20"/>
      <c r="F11" s="326">
        <v>1999</v>
      </c>
      <c r="G11" s="21">
        <v>224</v>
      </c>
    </row>
    <row r="12" spans="1:24" x14ac:dyDescent="0.25">
      <c r="B12" s="326">
        <v>1999</v>
      </c>
      <c r="C12" s="21">
        <v>521</v>
      </c>
      <c r="E12" s="20"/>
      <c r="F12" s="326">
        <v>2000</v>
      </c>
      <c r="G12" s="21">
        <v>431</v>
      </c>
    </row>
    <row r="13" spans="1:24" x14ac:dyDescent="0.25">
      <c r="B13" s="326">
        <v>2000</v>
      </c>
      <c r="C13" s="21">
        <v>1483</v>
      </c>
      <c r="E13" s="20"/>
      <c r="F13" s="326">
        <v>2001</v>
      </c>
      <c r="G13" s="21">
        <v>401</v>
      </c>
    </row>
    <row r="14" spans="1:24" x14ac:dyDescent="0.25">
      <c r="B14" s="326">
        <v>2001</v>
      </c>
      <c r="C14" s="21">
        <v>974</v>
      </c>
      <c r="E14" s="20"/>
      <c r="F14" s="326">
        <v>2002</v>
      </c>
      <c r="G14" s="21">
        <v>289</v>
      </c>
    </row>
    <row r="15" spans="1:24" x14ac:dyDescent="0.25">
      <c r="B15" s="326">
        <v>2002</v>
      </c>
      <c r="C15" s="21">
        <v>4314</v>
      </c>
      <c r="F15" s="326">
        <v>2003</v>
      </c>
      <c r="G15" s="21">
        <v>268</v>
      </c>
    </row>
    <row r="16" spans="1:24" ht="13" x14ac:dyDescent="0.3">
      <c r="B16" s="326">
        <v>2003</v>
      </c>
      <c r="C16" s="23">
        <v>1757</v>
      </c>
      <c r="F16" s="327">
        <v>2004</v>
      </c>
      <c r="G16" s="21">
        <v>268</v>
      </c>
    </row>
    <row r="17" spans="1:7" x14ac:dyDescent="0.25">
      <c r="B17" s="326">
        <v>2004</v>
      </c>
      <c r="C17" s="23">
        <v>444</v>
      </c>
      <c r="F17" s="326">
        <v>2005</v>
      </c>
      <c r="G17" s="21">
        <v>186</v>
      </c>
    </row>
    <row r="18" spans="1:7" x14ac:dyDescent="0.25">
      <c r="B18" s="326">
        <v>2005</v>
      </c>
      <c r="C18" s="23">
        <v>1100</v>
      </c>
      <c r="F18" s="326">
        <v>2006</v>
      </c>
      <c r="G18" s="21">
        <v>158</v>
      </c>
    </row>
    <row r="19" spans="1:7" x14ac:dyDescent="0.25">
      <c r="B19" s="326">
        <v>2006</v>
      </c>
      <c r="C19" s="23">
        <v>1570</v>
      </c>
      <c r="F19" s="326">
        <v>2007</v>
      </c>
      <c r="G19" s="21">
        <v>222</v>
      </c>
    </row>
    <row r="20" spans="1:7" x14ac:dyDescent="0.25">
      <c r="B20" s="326">
        <v>2007</v>
      </c>
      <c r="C20" s="23">
        <v>747</v>
      </c>
      <c r="F20" s="326">
        <v>2008</v>
      </c>
      <c r="G20" s="21">
        <v>233</v>
      </c>
    </row>
    <row r="21" spans="1:7" x14ac:dyDescent="0.25">
      <c r="B21" s="326">
        <v>2008</v>
      </c>
      <c r="C21" s="23">
        <v>1093</v>
      </c>
      <c r="F21" s="326">
        <v>2009</v>
      </c>
      <c r="G21" s="21">
        <v>291</v>
      </c>
    </row>
    <row r="22" spans="1:7" x14ac:dyDescent="0.25">
      <c r="B22" s="326">
        <v>2009</v>
      </c>
      <c r="C22" s="23">
        <v>322</v>
      </c>
      <c r="F22" s="326">
        <v>2010</v>
      </c>
      <c r="G22" s="21">
        <v>287</v>
      </c>
    </row>
    <row r="23" spans="1:7" x14ac:dyDescent="0.25">
      <c r="B23" s="326">
        <v>2010</v>
      </c>
      <c r="C23" s="23">
        <v>1296</v>
      </c>
      <c r="F23" s="326">
        <v>2011</v>
      </c>
      <c r="G23" s="21">
        <v>158</v>
      </c>
    </row>
    <row r="24" spans="1:7" x14ac:dyDescent="0.25">
      <c r="B24" s="326">
        <v>2011</v>
      </c>
      <c r="C24" s="23">
        <v>760</v>
      </c>
      <c r="F24" s="326"/>
    </row>
    <row r="25" spans="1:7" x14ac:dyDescent="0.25">
      <c r="B25" s="326"/>
      <c r="F25" s="326"/>
    </row>
    <row r="26" spans="1:7" ht="13" x14ac:dyDescent="0.3">
      <c r="A26" s="18" t="s">
        <v>31</v>
      </c>
      <c r="B26" s="324">
        <v>1992</v>
      </c>
      <c r="C26" s="19">
        <v>423</v>
      </c>
      <c r="E26" s="81" t="s">
        <v>34</v>
      </c>
      <c r="F26" s="324">
        <v>1991</v>
      </c>
      <c r="G26" s="19">
        <v>381</v>
      </c>
    </row>
    <row r="27" spans="1:7" ht="13" x14ac:dyDescent="0.3">
      <c r="B27" s="326">
        <v>1993</v>
      </c>
      <c r="C27" s="22">
        <v>528</v>
      </c>
      <c r="E27" s="20"/>
      <c r="F27" s="324">
        <v>1992</v>
      </c>
      <c r="G27" s="19">
        <v>282</v>
      </c>
    </row>
    <row r="28" spans="1:7" ht="13" x14ac:dyDescent="0.3">
      <c r="B28" s="324">
        <v>1994</v>
      </c>
      <c r="C28" s="19">
        <v>505</v>
      </c>
      <c r="E28" s="20"/>
      <c r="F28" s="325">
        <v>1993</v>
      </c>
      <c r="G28" s="21">
        <v>451</v>
      </c>
    </row>
    <row r="29" spans="1:7" x14ac:dyDescent="0.25">
      <c r="B29" s="326">
        <v>1995</v>
      </c>
      <c r="C29" s="21">
        <v>584</v>
      </c>
      <c r="E29" s="20"/>
      <c r="F29" s="325">
        <v>1994</v>
      </c>
      <c r="G29" s="21">
        <v>356</v>
      </c>
    </row>
    <row r="30" spans="1:7" x14ac:dyDescent="0.25">
      <c r="B30" s="326">
        <v>1996</v>
      </c>
      <c r="C30" s="21">
        <v>807</v>
      </c>
      <c r="E30" s="20"/>
      <c r="F30" s="326">
        <v>1995</v>
      </c>
      <c r="G30" s="21">
        <v>502</v>
      </c>
    </row>
    <row r="31" spans="1:7" x14ac:dyDescent="0.25">
      <c r="B31" s="326">
        <v>1997</v>
      </c>
      <c r="C31" s="21">
        <v>536</v>
      </c>
      <c r="E31" s="20"/>
      <c r="F31" s="326">
        <v>1996</v>
      </c>
      <c r="G31" s="22">
        <v>589.25</v>
      </c>
    </row>
    <row r="32" spans="1:7" x14ac:dyDescent="0.25">
      <c r="B32" s="326">
        <v>1998</v>
      </c>
      <c r="C32" s="21">
        <v>452</v>
      </c>
      <c r="E32" s="20"/>
      <c r="F32" s="326">
        <v>1997</v>
      </c>
      <c r="G32" s="21">
        <v>365.20642857142866</v>
      </c>
    </row>
    <row r="33" spans="1:7" x14ac:dyDescent="0.25">
      <c r="B33" s="326">
        <v>1999</v>
      </c>
      <c r="C33" s="21">
        <v>256</v>
      </c>
      <c r="E33" s="20"/>
      <c r="F33" s="326">
        <v>1998</v>
      </c>
      <c r="G33" s="21">
        <v>372</v>
      </c>
    </row>
    <row r="34" spans="1:7" x14ac:dyDescent="0.25">
      <c r="B34" s="326">
        <v>2000</v>
      </c>
      <c r="C34" s="21">
        <v>536</v>
      </c>
      <c r="E34" s="20"/>
      <c r="F34" s="326">
        <v>1999</v>
      </c>
      <c r="G34" s="21">
        <v>220</v>
      </c>
    </row>
    <row r="35" spans="1:7" x14ac:dyDescent="0.25">
      <c r="B35" s="326">
        <v>2001</v>
      </c>
      <c r="C35" s="21">
        <v>417</v>
      </c>
      <c r="E35" s="20"/>
      <c r="F35" s="326">
        <v>2000</v>
      </c>
      <c r="G35" s="21">
        <v>443</v>
      </c>
    </row>
    <row r="36" spans="1:7" x14ac:dyDescent="0.25">
      <c r="B36" s="326">
        <v>2002</v>
      </c>
      <c r="C36" s="23">
        <v>371</v>
      </c>
      <c r="E36" s="20"/>
      <c r="F36" s="326">
        <v>2001</v>
      </c>
      <c r="G36" s="21">
        <v>395</v>
      </c>
    </row>
    <row r="37" spans="1:7" x14ac:dyDescent="0.25">
      <c r="B37" s="326">
        <v>2003</v>
      </c>
      <c r="C37" s="23">
        <v>416</v>
      </c>
      <c r="E37" s="20"/>
      <c r="F37" s="326">
        <v>2002</v>
      </c>
      <c r="G37" s="21">
        <v>288</v>
      </c>
    </row>
    <row r="38" spans="1:7" x14ac:dyDescent="0.25">
      <c r="B38" s="326">
        <v>2004</v>
      </c>
      <c r="C38" s="23">
        <v>259</v>
      </c>
      <c r="F38" s="326">
        <v>2003</v>
      </c>
      <c r="G38" s="21">
        <v>271</v>
      </c>
    </row>
    <row r="39" spans="1:7" ht="13" x14ac:dyDescent="0.3">
      <c r="A39" s="18" t="s">
        <v>149</v>
      </c>
      <c r="B39" s="326">
        <v>2005</v>
      </c>
      <c r="C39" s="23">
        <v>375</v>
      </c>
      <c r="F39" s="327">
        <v>2004</v>
      </c>
      <c r="G39" s="21">
        <v>249</v>
      </c>
    </row>
    <row r="40" spans="1:7" ht="13" x14ac:dyDescent="0.3">
      <c r="B40" s="326">
        <v>2006</v>
      </c>
      <c r="C40" s="23">
        <v>435</v>
      </c>
      <c r="F40" s="327">
        <v>2005</v>
      </c>
      <c r="G40" s="21">
        <v>198</v>
      </c>
    </row>
    <row r="41" spans="1:7" ht="13" x14ac:dyDescent="0.3">
      <c r="B41" s="326">
        <v>2007</v>
      </c>
      <c r="C41" s="23">
        <v>314</v>
      </c>
      <c r="F41" s="327">
        <v>2006</v>
      </c>
      <c r="G41" s="21">
        <v>150</v>
      </c>
    </row>
    <row r="42" spans="1:7" ht="13" x14ac:dyDescent="0.3">
      <c r="B42" s="326">
        <v>2008</v>
      </c>
      <c r="F42" s="327">
        <v>2007</v>
      </c>
      <c r="G42" s="21">
        <v>233</v>
      </c>
    </row>
    <row r="43" spans="1:7" x14ac:dyDescent="0.25">
      <c r="B43" s="326">
        <v>2009</v>
      </c>
      <c r="F43" s="123"/>
    </row>
    <row r="44" spans="1:7" x14ac:dyDescent="0.25">
      <c r="B44" s="326">
        <v>2010</v>
      </c>
      <c r="F44" s="123"/>
    </row>
    <row r="45" spans="1:7" x14ac:dyDescent="0.25">
      <c r="B45" s="326"/>
      <c r="F45" s="123"/>
    </row>
    <row r="46" spans="1:7" x14ac:dyDescent="0.25">
      <c r="B46" s="326"/>
      <c r="F46" s="123"/>
    </row>
    <row r="47" spans="1:7" ht="13" x14ac:dyDescent="0.3">
      <c r="A47" s="25" t="s">
        <v>28</v>
      </c>
      <c r="B47" s="324">
        <v>1990</v>
      </c>
      <c r="C47" s="19">
        <v>1121</v>
      </c>
      <c r="E47" s="81" t="s">
        <v>35</v>
      </c>
      <c r="F47" s="324">
        <v>1991</v>
      </c>
      <c r="G47" s="19">
        <v>341</v>
      </c>
    </row>
    <row r="48" spans="1:7" ht="13" x14ac:dyDescent="0.3">
      <c r="A48" s="24"/>
      <c r="B48" s="324">
        <v>1991</v>
      </c>
      <c r="C48" s="19">
        <v>1590</v>
      </c>
      <c r="E48" s="20"/>
      <c r="F48" s="324">
        <v>1992</v>
      </c>
      <c r="G48" s="19">
        <v>228</v>
      </c>
    </row>
    <row r="49" spans="1:7" ht="13" x14ac:dyDescent="0.3">
      <c r="A49" s="24"/>
      <c r="B49" s="324">
        <v>1992</v>
      </c>
      <c r="C49" s="19">
        <v>2941</v>
      </c>
      <c r="E49" s="20"/>
      <c r="F49" s="325">
        <v>1993</v>
      </c>
      <c r="G49" s="21">
        <v>332</v>
      </c>
    </row>
    <row r="50" spans="1:7" ht="13" x14ac:dyDescent="0.3">
      <c r="A50" s="24"/>
      <c r="B50" s="325">
        <v>1993</v>
      </c>
      <c r="C50" s="21">
        <v>1224</v>
      </c>
      <c r="E50" s="20"/>
      <c r="F50" s="325">
        <v>1994</v>
      </c>
      <c r="G50" s="21">
        <v>308</v>
      </c>
    </row>
    <row r="51" spans="1:7" ht="13" x14ac:dyDescent="0.3">
      <c r="A51" s="24"/>
      <c r="B51" s="325">
        <v>1994</v>
      </c>
      <c r="C51" s="21">
        <v>963</v>
      </c>
      <c r="E51" s="20"/>
      <c r="F51" s="326">
        <v>1995</v>
      </c>
      <c r="G51" s="21">
        <v>503</v>
      </c>
    </row>
    <row r="52" spans="1:7" ht="13" x14ac:dyDescent="0.3">
      <c r="A52" s="24"/>
      <c r="B52" s="326">
        <v>1995</v>
      </c>
      <c r="C52" s="21">
        <v>476</v>
      </c>
      <c r="E52" s="20"/>
      <c r="F52" s="326">
        <v>1996</v>
      </c>
      <c r="G52" s="22">
        <v>560.9375</v>
      </c>
    </row>
    <row r="53" spans="1:7" ht="13" x14ac:dyDescent="0.3">
      <c r="A53" s="24"/>
      <c r="B53" s="326">
        <v>1996</v>
      </c>
      <c r="C53" s="22">
        <v>618.3125</v>
      </c>
      <c r="E53" s="20"/>
      <c r="F53" s="326">
        <v>1997</v>
      </c>
      <c r="G53" s="21">
        <v>340.9935714285715</v>
      </c>
    </row>
    <row r="54" spans="1:7" ht="13" x14ac:dyDescent="0.3">
      <c r="A54" s="24"/>
      <c r="B54" s="326">
        <v>1997</v>
      </c>
      <c r="C54" s="21">
        <v>419.54062500000003</v>
      </c>
      <c r="E54" s="20"/>
      <c r="F54" s="326">
        <v>1998</v>
      </c>
      <c r="G54" s="21">
        <v>342</v>
      </c>
    </row>
    <row r="55" spans="1:7" ht="13" x14ac:dyDescent="0.3">
      <c r="A55" s="24"/>
      <c r="B55" s="326">
        <v>1998</v>
      </c>
      <c r="C55" s="21">
        <v>536</v>
      </c>
      <c r="E55" s="20"/>
      <c r="F55" s="326">
        <v>1999</v>
      </c>
      <c r="G55" s="21">
        <v>231</v>
      </c>
    </row>
    <row r="56" spans="1:7" ht="13" x14ac:dyDescent="0.3">
      <c r="A56" s="24"/>
      <c r="B56" s="326">
        <v>1999</v>
      </c>
      <c r="C56" s="21">
        <v>192</v>
      </c>
      <c r="E56" s="20"/>
      <c r="F56" s="326">
        <v>2000</v>
      </c>
      <c r="G56" s="21">
        <v>483</v>
      </c>
    </row>
    <row r="57" spans="1:7" ht="13" x14ac:dyDescent="0.3">
      <c r="A57" s="24"/>
      <c r="B57" s="326">
        <v>2000</v>
      </c>
      <c r="C57" s="21">
        <v>803</v>
      </c>
      <c r="E57" s="20"/>
      <c r="F57" s="326">
        <v>2001</v>
      </c>
      <c r="G57" s="21">
        <v>390</v>
      </c>
    </row>
    <row r="58" spans="1:7" ht="13" x14ac:dyDescent="0.3">
      <c r="A58" s="24"/>
      <c r="B58" s="326">
        <v>2001</v>
      </c>
      <c r="C58" s="21">
        <v>486</v>
      </c>
      <c r="E58" s="20"/>
      <c r="F58" s="326">
        <v>2002</v>
      </c>
      <c r="G58" s="21">
        <v>268</v>
      </c>
    </row>
    <row r="59" spans="1:7" ht="13" x14ac:dyDescent="0.3">
      <c r="A59" s="24"/>
      <c r="B59" s="326">
        <v>2002</v>
      </c>
      <c r="C59" s="21">
        <v>686</v>
      </c>
      <c r="F59" s="326">
        <v>2003</v>
      </c>
      <c r="G59" s="21">
        <v>259</v>
      </c>
    </row>
    <row r="60" spans="1:7" x14ac:dyDescent="0.25">
      <c r="B60" s="326">
        <v>2003</v>
      </c>
      <c r="C60" s="23">
        <v>764</v>
      </c>
      <c r="F60" s="326">
        <v>2004</v>
      </c>
      <c r="G60" s="21">
        <v>224</v>
      </c>
    </row>
    <row r="61" spans="1:7" x14ac:dyDescent="0.25">
      <c r="B61" s="326">
        <v>2004</v>
      </c>
      <c r="C61" s="23">
        <v>385</v>
      </c>
      <c r="F61" s="326">
        <v>2005</v>
      </c>
      <c r="G61" s="21">
        <v>210</v>
      </c>
    </row>
    <row r="62" spans="1:7" x14ac:dyDescent="0.25">
      <c r="B62" s="326">
        <v>2005</v>
      </c>
      <c r="C62" s="23">
        <v>481</v>
      </c>
      <c r="F62" s="326">
        <v>2006</v>
      </c>
      <c r="G62" s="21">
        <v>151</v>
      </c>
    </row>
    <row r="63" spans="1:7" x14ac:dyDescent="0.25">
      <c r="B63" s="326">
        <v>2006</v>
      </c>
      <c r="C63" s="23">
        <v>419</v>
      </c>
      <c r="F63" s="326">
        <v>2007</v>
      </c>
      <c r="G63" s="21">
        <v>232</v>
      </c>
    </row>
    <row r="64" spans="1:7" x14ac:dyDescent="0.25">
      <c r="B64" s="326">
        <v>2007</v>
      </c>
      <c r="C64" s="23">
        <v>410</v>
      </c>
      <c r="F64" s="326">
        <v>2008</v>
      </c>
      <c r="G64" s="21">
        <v>230</v>
      </c>
    </row>
    <row r="65" spans="1:7" x14ac:dyDescent="0.25">
      <c r="B65" s="326">
        <v>2008</v>
      </c>
      <c r="C65" s="23">
        <v>671</v>
      </c>
      <c r="F65" s="326">
        <v>2009</v>
      </c>
      <c r="G65" s="21">
        <v>244</v>
      </c>
    </row>
    <row r="66" spans="1:7" x14ac:dyDescent="0.25">
      <c r="B66" s="326">
        <v>2009</v>
      </c>
      <c r="C66" s="23">
        <v>1018</v>
      </c>
      <c r="F66" s="326">
        <v>2010</v>
      </c>
      <c r="G66" s="21">
        <v>222</v>
      </c>
    </row>
    <row r="67" spans="1:7" x14ac:dyDescent="0.25">
      <c r="B67" s="326">
        <v>2010</v>
      </c>
      <c r="C67" s="23">
        <v>569</v>
      </c>
      <c r="F67" s="326">
        <v>2011</v>
      </c>
      <c r="G67" s="21">
        <v>186</v>
      </c>
    </row>
    <row r="68" spans="1:7" x14ac:dyDescent="0.25">
      <c r="B68" s="326">
        <v>2011</v>
      </c>
      <c r="C68" s="23">
        <v>433</v>
      </c>
    </row>
    <row r="69" spans="1:7" x14ac:dyDescent="0.25">
      <c r="B69" s="326"/>
    </row>
    <row r="70" spans="1:7" ht="15.5" x14ac:dyDescent="0.35">
      <c r="A70" s="829" t="s">
        <v>60</v>
      </c>
      <c r="B70" s="829"/>
      <c r="C70" s="829"/>
      <c r="D70" s="829"/>
      <c r="E70" s="829"/>
      <c r="F70" s="829"/>
      <c r="G70" s="829"/>
    </row>
    <row r="71" spans="1:7" ht="13" x14ac:dyDescent="0.3">
      <c r="B71" s="390" t="s">
        <v>59</v>
      </c>
      <c r="C71" s="390" t="s">
        <v>26</v>
      </c>
      <c r="F71" s="390" t="s">
        <v>59</v>
      </c>
      <c r="G71" s="390" t="s">
        <v>26</v>
      </c>
    </row>
    <row r="72" spans="1:7" ht="13" x14ac:dyDescent="0.3">
      <c r="A72" s="18" t="s">
        <v>27</v>
      </c>
      <c r="B72" s="326">
        <v>1990</v>
      </c>
      <c r="C72" s="21"/>
      <c r="E72" s="18" t="s">
        <v>37</v>
      </c>
      <c r="F72" s="324">
        <v>1991</v>
      </c>
      <c r="G72" s="19">
        <v>589</v>
      </c>
    </row>
    <row r="73" spans="1:7" ht="13" x14ac:dyDescent="0.3">
      <c r="B73" s="326">
        <v>1991</v>
      </c>
      <c r="C73" s="21">
        <f t="shared" ref="C73:C84" si="0">(G3+G26+G47)/3</f>
        <v>388</v>
      </c>
      <c r="E73" s="20"/>
      <c r="F73" s="324">
        <v>1992</v>
      </c>
      <c r="G73" s="19">
        <v>325</v>
      </c>
    </row>
    <row r="74" spans="1:7" x14ac:dyDescent="0.25">
      <c r="B74" s="326">
        <v>1992</v>
      </c>
      <c r="C74" s="21">
        <f t="shared" si="0"/>
        <v>266</v>
      </c>
      <c r="E74" s="20"/>
      <c r="F74" s="325">
        <v>1993</v>
      </c>
      <c r="G74" s="21">
        <v>431</v>
      </c>
    </row>
    <row r="75" spans="1:7" x14ac:dyDescent="0.25">
      <c r="B75" s="326">
        <v>1993</v>
      </c>
      <c r="C75" s="21">
        <f t="shared" si="0"/>
        <v>429</v>
      </c>
      <c r="E75" s="20"/>
      <c r="F75" s="325">
        <v>1994</v>
      </c>
      <c r="G75" s="21">
        <v>351</v>
      </c>
    </row>
    <row r="76" spans="1:7" x14ac:dyDescent="0.25">
      <c r="B76" s="326">
        <v>1994</v>
      </c>
      <c r="C76" s="21">
        <f t="shared" si="0"/>
        <v>348.66666666666669</v>
      </c>
      <c r="E76" s="20"/>
      <c r="F76" s="326">
        <v>1995</v>
      </c>
      <c r="G76" s="21">
        <v>491</v>
      </c>
    </row>
    <row r="77" spans="1:7" x14ac:dyDescent="0.25">
      <c r="B77" s="326">
        <v>1995</v>
      </c>
      <c r="C77" s="21">
        <f t="shared" si="0"/>
        <v>493</v>
      </c>
      <c r="E77" s="20"/>
      <c r="F77" s="326">
        <v>1996</v>
      </c>
      <c r="G77" s="22">
        <v>579.375</v>
      </c>
    </row>
    <row r="78" spans="1:7" x14ac:dyDescent="0.25">
      <c r="B78" s="326">
        <v>1996</v>
      </c>
      <c r="C78" s="21">
        <f t="shared" si="0"/>
        <v>575.97916666666663</v>
      </c>
      <c r="E78" s="20"/>
      <c r="F78" s="326">
        <v>1997</v>
      </c>
      <c r="G78" s="21">
        <v>520.40125</v>
      </c>
    </row>
    <row r="79" spans="1:7" x14ac:dyDescent="0.25">
      <c r="B79" s="326">
        <v>1997</v>
      </c>
      <c r="C79" s="21">
        <f t="shared" si="0"/>
        <v>366.34357142857152</v>
      </c>
      <c r="E79" s="20"/>
      <c r="F79" s="326">
        <v>1998</v>
      </c>
      <c r="G79" s="21">
        <v>405</v>
      </c>
    </row>
    <row r="80" spans="1:7" x14ac:dyDescent="0.25">
      <c r="B80" s="326">
        <v>1998</v>
      </c>
      <c r="C80" s="21">
        <f t="shared" si="0"/>
        <v>367.33333333333331</v>
      </c>
      <c r="E80" s="20"/>
      <c r="F80" s="326">
        <v>1999</v>
      </c>
      <c r="G80" s="21">
        <v>226</v>
      </c>
    </row>
    <row r="81" spans="1:10" x14ac:dyDescent="0.25">
      <c r="B81" s="326">
        <v>1999</v>
      </c>
      <c r="C81" s="21">
        <f t="shared" si="0"/>
        <v>225</v>
      </c>
      <c r="E81" s="20"/>
      <c r="F81" s="326">
        <v>2000</v>
      </c>
      <c r="G81" s="21">
        <v>437</v>
      </c>
    </row>
    <row r="82" spans="1:10" x14ac:dyDescent="0.25">
      <c r="B82" s="326">
        <v>2000</v>
      </c>
      <c r="C82" s="21">
        <f t="shared" si="0"/>
        <v>452.33333333333331</v>
      </c>
      <c r="D82" s="26"/>
      <c r="E82" s="20"/>
      <c r="F82" s="326">
        <v>2001</v>
      </c>
      <c r="G82" s="21">
        <v>388</v>
      </c>
      <c r="H82" s="26"/>
      <c r="I82" s="26"/>
      <c r="J82" s="26"/>
    </row>
    <row r="83" spans="1:10" x14ac:dyDescent="0.25">
      <c r="B83" s="326">
        <v>2001</v>
      </c>
      <c r="C83" s="21">
        <f t="shared" si="0"/>
        <v>395.33333333333331</v>
      </c>
      <c r="D83" s="26"/>
      <c r="E83" s="20"/>
      <c r="F83" s="326">
        <v>2002</v>
      </c>
      <c r="G83" s="21">
        <v>280</v>
      </c>
      <c r="H83" s="26"/>
      <c r="I83" s="26"/>
      <c r="J83" s="26"/>
    </row>
    <row r="84" spans="1:10" x14ac:dyDescent="0.25">
      <c r="B84" s="326">
        <v>2002</v>
      </c>
      <c r="C84" s="21">
        <f t="shared" si="0"/>
        <v>281.66666666666669</v>
      </c>
      <c r="D84" s="26"/>
      <c r="E84" s="26"/>
      <c r="F84" s="326">
        <v>2003</v>
      </c>
      <c r="G84" s="21">
        <v>268</v>
      </c>
      <c r="H84" s="26"/>
      <c r="I84" s="26"/>
      <c r="J84" s="26"/>
    </row>
    <row r="85" spans="1:10" x14ac:dyDescent="0.25">
      <c r="B85" s="326">
        <v>2003</v>
      </c>
      <c r="C85" s="23">
        <v>268</v>
      </c>
      <c r="D85" s="26"/>
      <c r="E85" s="26"/>
      <c r="F85" s="328">
        <v>2004</v>
      </c>
      <c r="G85" s="22">
        <v>247</v>
      </c>
      <c r="H85" s="26"/>
      <c r="I85" s="26"/>
      <c r="J85" s="26"/>
    </row>
    <row r="86" spans="1:10" x14ac:dyDescent="0.25">
      <c r="B86" s="326">
        <v>2004</v>
      </c>
      <c r="C86" s="23">
        <v>247</v>
      </c>
      <c r="D86" s="26"/>
      <c r="E86" s="26"/>
      <c r="F86" s="328">
        <v>2005</v>
      </c>
      <c r="G86" s="22">
        <v>233</v>
      </c>
      <c r="H86" s="26"/>
      <c r="I86" s="26"/>
      <c r="J86" s="26"/>
    </row>
    <row r="87" spans="1:10" x14ac:dyDescent="0.25">
      <c r="B87" s="326">
        <v>2005</v>
      </c>
      <c r="C87" s="23">
        <v>207</v>
      </c>
      <c r="D87" s="26"/>
      <c r="E87" s="26"/>
      <c r="F87" s="328">
        <v>2006</v>
      </c>
      <c r="G87" s="22">
        <v>196</v>
      </c>
      <c r="H87" s="26"/>
      <c r="I87" s="26"/>
      <c r="J87" s="26"/>
    </row>
    <row r="88" spans="1:10" x14ac:dyDescent="0.25">
      <c r="B88" s="326">
        <v>2006</v>
      </c>
      <c r="C88" s="23">
        <v>153</v>
      </c>
      <c r="D88" s="26"/>
      <c r="E88" s="26"/>
      <c r="F88" s="328">
        <v>2007</v>
      </c>
      <c r="G88" s="22">
        <v>261</v>
      </c>
      <c r="H88" s="26"/>
      <c r="I88" s="26"/>
      <c r="J88" s="26"/>
    </row>
    <row r="89" spans="1:10" x14ac:dyDescent="0.25">
      <c r="B89" s="326">
        <v>2007</v>
      </c>
      <c r="C89" s="23">
        <v>229</v>
      </c>
      <c r="D89" s="26"/>
      <c r="E89" s="26"/>
      <c r="F89" s="328">
        <v>2008</v>
      </c>
      <c r="G89" s="22">
        <v>220</v>
      </c>
      <c r="H89" s="26"/>
      <c r="I89" s="26"/>
      <c r="J89" s="26"/>
    </row>
    <row r="90" spans="1:10" x14ac:dyDescent="0.25">
      <c r="B90" s="326">
        <v>2008</v>
      </c>
      <c r="C90" s="23">
        <v>232</v>
      </c>
      <c r="D90" s="26"/>
      <c r="E90" s="26"/>
      <c r="F90" s="328">
        <v>2009</v>
      </c>
      <c r="G90" s="22">
        <v>280</v>
      </c>
      <c r="H90" s="26"/>
      <c r="I90" s="26"/>
      <c r="J90" s="26"/>
    </row>
    <row r="91" spans="1:10" x14ac:dyDescent="0.25">
      <c r="B91" s="326">
        <v>2009</v>
      </c>
      <c r="C91" s="23">
        <v>267</v>
      </c>
      <c r="D91" s="26"/>
      <c r="E91" s="26"/>
      <c r="F91" s="432">
        <v>2010</v>
      </c>
      <c r="G91" s="22">
        <v>278</v>
      </c>
      <c r="H91" s="26"/>
      <c r="I91" s="26"/>
      <c r="J91" s="26"/>
    </row>
    <row r="92" spans="1:10" x14ac:dyDescent="0.25">
      <c r="B92" s="326">
        <v>2010</v>
      </c>
      <c r="C92" s="23">
        <v>254</v>
      </c>
      <c r="D92" s="26"/>
      <c r="E92" s="26"/>
      <c r="F92" s="329">
        <v>2011</v>
      </c>
      <c r="G92" s="22">
        <v>173</v>
      </c>
      <c r="H92" s="26"/>
      <c r="I92" s="26"/>
      <c r="J92" s="26"/>
    </row>
    <row r="93" spans="1:10" x14ac:dyDescent="0.25">
      <c r="B93" s="326">
        <v>2011</v>
      </c>
      <c r="C93" s="23">
        <v>172</v>
      </c>
      <c r="D93" s="26"/>
      <c r="E93" s="26"/>
      <c r="F93" s="329"/>
      <c r="G93" s="26"/>
      <c r="H93" s="26"/>
      <c r="I93" s="26"/>
      <c r="J93" s="26"/>
    </row>
    <row r="94" spans="1:10" x14ac:dyDescent="0.25">
      <c r="B94" s="326"/>
      <c r="D94" s="26"/>
      <c r="E94" s="26"/>
      <c r="F94" s="329"/>
      <c r="G94" s="26"/>
      <c r="H94" s="26"/>
      <c r="I94" s="26"/>
      <c r="J94" s="26"/>
    </row>
    <row r="95" spans="1:10" ht="13" x14ac:dyDescent="0.3">
      <c r="A95" s="18" t="s">
        <v>62</v>
      </c>
      <c r="B95" s="326">
        <v>1990</v>
      </c>
      <c r="C95" s="21"/>
      <c r="D95" s="26"/>
      <c r="E95" s="18" t="s">
        <v>61</v>
      </c>
      <c r="F95" s="324">
        <v>1991</v>
      </c>
      <c r="G95" s="21">
        <f t="shared" ref="G95:G115" si="1">C96-G72</f>
        <v>745</v>
      </c>
      <c r="H95" s="26"/>
      <c r="I95" s="26"/>
      <c r="J95" s="26"/>
    </row>
    <row r="96" spans="1:10" ht="13" x14ac:dyDescent="0.3">
      <c r="B96" s="326">
        <v>1991</v>
      </c>
      <c r="C96" s="21">
        <f t="shared" ref="C96:C116" si="2">(C4+C48)/2</f>
        <v>1334</v>
      </c>
      <c r="D96" s="26"/>
      <c r="E96" s="20"/>
      <c r="F96" s="324">
        <v>1992</v>
      </c>
      <c r="G96" s="21">
        <f t="shared" si="1"/>
        <v>1611</v>
      </c>
      <c r="H96" s="26"/>
      <c r="I96" s="26"/>
      <c r="J96" s="26"/>
    </row>
    <row r="97" spans="2:10" x14ac:dyDescent="0.25">
      <c r="B97" s="326">
        <v>1992</v>
      </c>
      <c r="C97" s="21">
        <f t="shared" si="2"/>
        <v>1936</v>
      </c>
      <c r="D97" s="26"/>
      <c r="E97" s="20"/>
      <c r="F97" s="325">
        <v>1993</v>
      </c>
      <c r="G97" s="21">
        <f t="shared" si="1"/>
        <v>807.5</v>
      </c>
      <c r="H97" s="26"/>
      <c r="I97" s="26"/>
      <c r="J97" s="26"/>
    </row>
    <row r="98" spans="2:10" x14ac:dyDescent="0.25">
      <c r="B98" s="326">
        <v>1993</v>
      </c>
      <c r="C98" s="21">
        <f t="shared" si="2"/>
        <v>1238.5</v>
      </c>
      <c r="D98" s="26"/>
      <c r="E98" s="20"/>
      <c r="F98" s="325">
        <v>1994</v>
      </c>
      <c r="G98" s="21">
        <f t="shared" si="1"/>
        <v>866.5</v>
      </c>
      <c r="H98" s="26"/>
      <c r="I98" s="26"/>
      <c r="J98" s="26"/>
    </row>
    <row r="99" spans="2:10" x14ac:dyDescent="0.25">
      <c r="B99" s="326">
        <v>1994</v>
      </c>
      <c r="C99" s="21">
        <f t="shared" si="2"/>
        <v>1217.5</v>
      </c>
      <c r="D99" s="26"/>
      <c r="E99" s="20"/>
      <c r="F99" s="326">
        <v>1995</v>
      </c>
      <c r="G99" s="21">
        <f t="shared" si="1"/>
        <v>713</v>
      </c>
      <c r="H99" s="26"/>
      <c r="I99" s="26"/>
      <c r="J99" s="26"/>
    </row>
    <row r="100" spans="2:10" x14ac:dyDescent="0.25">
      <c r="B100" s="326">
        <v>1995</v>
      </c>
      <c r="C100" s="21">
        <f t="shared" si="2"/>
        <v>1204</v>
      </c>
      <c r="D100" s="26"/>
      <c r="E100" s="20"/>
      <c r="F100" s="326">
        <v>1996</v>
      </c>
      <c r="G100" s="21">
        <f t="shared" si="1"/>
        <v>413.5</v>
      </c>
      <c r="H100" s="26"/>
      <c r="I100" s="26"/>
      <c r="J100" s="26"/>
    </row>
    <row r="101" spans="2:10" x14ac:dyDescent="0.25">
      <c r="B101" s="326">
        <v>1996</v>
      </c>
      <c r="C101" s="21">
        <f t="shared" si="2"/>
        <v>992.875</v>
      </c>
      <c r="D101" s="26"/>
      <c r="E101" s="20"/>
      <c r="F101" s="326">
        <v>1997</v>
      </c>
      <c r="G101" s="21">
        <f t="shared" si="1"/>
        <v>88.660937500000045</v>
      </c>
      <c r="H101" s="26"/>
      <c r="I101" s="26"/>
      <c r="J101" s="26"/>
    </row>
    <row r="102" spans="2:10" x14ac:dyDescent="0.25">
      <c r="B102" s="326">
        <v>1997</v>
      </c>
      <c r="C102" s="21">
        <f t="shared" si="2"/>
        <v>609.06218750000005</v>
      </c>
      <c r="E102" s="20"/>
      <c r="F102" s="326">
        <v>1998</v>
      </c>
      <c r="G102" s="21">
        <f t="shared" si="1"/>
        <v>125.5</v>
      </c>
    </row>
    <row r="103" spans="2:10" x14ac:dyDescent="0.25">
      <c r="B103" s="326">
        <v>1998</v>
      </c>
      <c r="C103" s="21">
        <f t="shared" si="2"/>
        <v>530.5</v>
      </c>
      <c r="E103" s="20"/>
      <c r="F103" s="326">
        <v>1999</v>
      </c>
      <c r="G103" s="21">
        <f t="shared" si="1"/>
        <v>130.5</v>
      </c>
    </row>
    <row r="104" spans="2:10" x14ac:dyDescent="0.25">
      <c r="B104" s="326">
        <v>1999</v>
      </c>
      <c r="C104" s="21">
        <f t="shared" si="2"/>
        <v>356.5</v>
      </c>
      <c r="E104" s="20"/>
      <c r="F104" s="326">
        <v>2000</v>
      </c>
      <c r="G104" s="21">
        <f t="shared" si="1"/>
        <v>706</v>
      </c>
    </row>
    <row r="105" spans="2:10" x14ac:dyDescent="0.25">
      <c r="B105" s="326">
        <v>2000</v>
      </c>
      <c r="C105" s="21">
        <f t="shared" si="2"/>
        <v>1143</v>
      </c>
      <c r="E105" s="20"/>
      <c r="F105" s="326">
        <v>2001</v>
      </c>
      <c r="G105" s="21">
        <f t="shared" si="1"/>
        <v>342</v>
      </c>
    </row>
    <row r="106" spans="2:10" x14ac:dyDescent="0.25">
      <c r="B106" s="326">
        <v>2001</v>
      </c>
      <c r="C106" s="21">
        <f t="shared" si="2"/>
        <v>730</v>
      </c>
      <c r="E106" s="20"/>
      <c r="F106" s="326">
        <v>2002</v>
      </c>
      <c r="G106" s="21">
        <f t="shared" si="1"/>
        <v>2220</v>
      </c>
    </row>
    <row r="107" spans="2:10" x14ac:dyDescent="0.25">
      <c r="B107" s="326">
        <v>2002</v>
      </c>
      <c r="C107" s="21">
        <f t="shared" si="2"/>
        <v>2500</v>
      </c>
      <c r="F107" s="326">
        <v>2003</v>
      </c>
      <c r="G107" s="21">
        <f t="shared" si="1"/>
        <v>992.5</v>
      </c>
    </row>
    <row r="108" spans="2:10" x14ac:dyDescent="0.25">
      <c r="B108" s="326">
        <v>2003</v>
      </c>
      <c r="C108" s="21">
        <f t="shared" si="2"/>
        <v>1260.5</v>
      </c>
      <c r="F108" s="326">
        <v>2004</v>
      </c>
      <c r="G108" s="21">
        <f t="shared" si="1"/>
        <v>167.5</v>
      </c>
    </row>
    <row r="109" spans="2:10" x14ac:dyDescent="0.25">
      <c r="B109" s="326">
        <v>2004</v>
      </c>
      <c r="C109" s="21">
        <f t="shared" si="2"/>
        <v>414.5</v>
      </c>
      <c r="F109" s="326">
        <v>2005</v>
      </c>
      <c r="G109" s="21">
        <f t="shared" si="1"/>
        <v>557.5</v>
      </c>
    </row>
    <row r="110" spans="2:10" x14ac:dyDescent="0.25">
      <c r="B110" s="326">
        <v>2005</v>
      </c>
      <c r="C110" s="21">
        <f t="shared" si="2"/>
        <v>790.5</v>
      </c>
      <c r="F110" s="326">
        <v>2006</v>
      </c>
      <c r="G110" s="21">
        <f t="shared" si="1"/>
        <v>798.5</v>
      </c>
    </row>
    <row r="111" spans="2:10" x14ac:dyDescent="0.25">
      <c r="B111" s="326">
        <v>2006</v>
      </c>
      <c r="C111" s="21">
        <f t="shared" si="2"/>
        <v>994.5</v>
      </c>
      <c r="F111" s="326">
        <v>2007</v>
      </c>
      <c r="G111" s="21">
        <f t="shared" si="1"/>
        <v>317.5</v>
      </c>
    </row>
    <row r="112" spans="2:10" x14ac:dyDescent="0.25">
      <c r="B112" s="326">
        <v>2007</v>
      </c>
      <c r="C112" s="21">
        <f t="shared" si="2"/>
        <v>578.5</v>
      </c>
      <c r="F112" s="326">
        <v>2008</v>
      </c>
      <c r="G112" s="21">
        <f t="shared" si="1"/>
        <v>662</v>
      </c>
    </row>
    <row r="113" spans="2:7" x14ac:dyDescent="0.25">
      <c r="B113" s="326">
        <v>2008</v>
      </c>
      <c r="C113" s="21">
        <f t="shared" si="2"/>
        <v>882</v>
      </c>
      <c r="F113" s="326">
        <v>2009</v>
      </c>
      <c r="G113" s="21">
        <f t="shared" si="1"/>
        <v>390</v>
      </c>
    </row>
    <row r="114" spans="2:7" x14ac:dyDescent="0.25">
      <c r="B114" s="326">
        <v>2009</v>
      </c>
      <c r="C114" s="21">
        <f t="shared" si="2"/>
        <v>670</v>
      </c>
      <c r="F114" s="326">
        <v>2010</v>
      </c>
      <c r="G114" s="21">
        <f t="shared" si="1"/>
        <v>654.5</v>
      </c>
    </row>
    <row r="115" spans="2:7" x14ac:dyDescent="0.25">
      <c r="B115" s="326">
        <v>2010</v>
      </c>
      <c r="C115" s="21">
        <f t="shared" si="2"/>
        <v>932.5</v>
      </c>
      <c r="F115" s="326">
        <v>2011</v>
      </c>
      <c r="G115" s="21">
        <f t="shared" si="1"/>
        <v>423.5</v>
      </c>
    </row>
    <row r="116" spans="2:7" x14ac:dyDescent="0.25">
      <c r="B116" s="23">
        <v>2011</v>
      </c>
      <c r="C116" s="21">
        <f t="shared" si="2"/>
        <v>596.5</v>
      </c>
    </row>
    <row r="140" spans="4:4" x14ac:dyDescent="0.25">
      <c r="D140" s="5"/>
    </row>
    <row r="141" spans="4:4" x14ac:dyDescent="0.25">
      <c r="D141" s="5"/>
    </row>
    <row r="142" spans="4:4" x14ac:dyDescent="0.25">
      <c r="D142" s="5"/>
    </row>
    <row r="143" spans="4:4" x14ac:dyDescent="0.25">
      <c r="D143" s="5"/>
    </row>
    <row r="144" spans="4:4" x14ac:dyDescent="0.25">
      <c r="D144" s="5"/>
    </row>
    <row r="145" spans="4:4" x14ac:dyDescent="0.25">
      <c r="D145" s="5"/>
    </row>
    <row r="146" spans="4:4" x14ac:dyDescent="0.25">
      <c r="D146" s="5"/>
    </row>
  </sheetData>
  <mergeCells count="2">
    <mergeCell ref="A1:G1"/>
    <mergeCell ref="A70:G70"/>
  </mergeCells>
  <phoneticPr fontId="8" type="noConversion"/>
  <pageMargins left="0.75" right="0.75" top="1" bottom="1" header="0.5" footer="0.5"/>
  <headerFooter alignWithMargins="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95"/>
  <sheetViews>
    <sheetView workbookViewId="0">
      <selection activeCell="G8" sqref="G8"/>
    </sheetView>
  </sheetViews>
  <sheetFormatPr defaultRowHeight="12.5" x14ac:dyDescent="0.25"/>
  <cols>
    <col min="1" max="1" width="16.6328125" customWidth="1"/>
    <col min="2" max="2" width="10.08984375" bestFit="1" customWidth="1"/>
    <col min="4" max="4" width="11.54296875" customWidth="1"/>
    <col min="8" max="8" width="12" customWidth="1"/>
    <col min="9" max="9" width="16" customWidth="1"/>
    <col min="10" max="10" width="23.6328125" customWidth="1"/>
    <col min="11" max="11" width="14.90625" customWidth="1"/>
    <col min="20" max="20" width="16" bestFit="1" customWidth="1"/>
    <col min="21" max="21" width="10.08984375" bestFit="1" customWidth="1"/>
  </cols>
  <sheetData>
    <row r="1" spans="1:22" ht="14" x14ac:dyDescent="0.3">
      <c r="A1" s="129" t="s">
        <v>505</v>
      </c>
    </row>
    <row r="2" spans="1:22" ht="13" x14ac:dyDescent="0.3">
      <c r="A2" s="1" t="s">
        <v>168</v>
      </c>
      <c r="B2" s="148">
        <v>40875</v>
      </c>
      <c r="I2" s="1"/>
      <c r="J2" s="29"/>
      <c r="K2" s="160"/>
      <c r="L2" s="1"/>
      <c r="M2" s="1"/>
      <c r="N2" s="8"/>
      <c r="O2" s="159"/>
      <c r="T2" s="509" t="s">
        <v>246</v>
      </c>
      <c r="U2" s="510">
        <v>40875</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514">
        <v>0</v>
      </c>
    </row>
    <row r="4" spans="1:22" ht="13" x14ac:dyDescent="0.3">
      <c r="A4" s="91" t="s">
        <v>213</v>
      </c>
      <c r="B4" s="137">
        <v>0.40138888888888885</v>
      </c>
      <c r="C4" s="82">
        <v>1.91</v>
      </c>
      <c r="D4" s="82">
        <v>11.02</v>
      </c>
      <c r="E4" s="82">
        <v>5.5</v>
      </c>
      <c r="F4" s="82">
        <v>8.0399999999999991</v>
      </c>
      <c r="G4" s="89"/>
      <c r="I4" s="168"/>
      <c r="J4" s="169"/>
      <c r="K4" s="163"/>
      <c r="L4" s="11"/>
      <c r="M4" s="165"/>
      <c r="N4" s="166"/>
      <c r="O4" s="170"/>
      <c r="T4" s="179" t="s">
        <v>253</v>
      </c>
      <c r="U4" s="515">
        <v>0</v>
      </c>
    </row>
    <row r="5" spans="1:22" ht="13" x14ac:dyDescent="0.3">
      <c r="A5" s="91" t="s">
        <v>214</v>
      </c>
      <c r="B5" s="137">
        <v>0.4152777777777778</v>
      </c>
      <c r="C5" s="82">
        <v>0.26600000000000001</v>
      </c>
      <c r="D5" s="82">
        <v>12.96</v>
      </c>
      <c r="E5" s="82">
        <v>1.7</v>
      </c>
      <c r="F5" s="82">
        <v>8.26</v>
      </c>
      <c r="G5" s="89"/>
      <c r="I5" s="168"/>
      <c r="J5" s="169"/>
      <c r="K5" s="172"/>
      <c r="L5" s="173"/>
      <c r="M5" s="174"/>
      <c r="N5" s="175"/>
      <c r="O5" s="170"/>
      <c r="T5" s="309" t="s">
        <v>257</v>
      </c>
      <c r="U5" s="515">
        <v>0</v>
      </c>
    </row>
    <row r="6" spans="1:22" ht="13" x14ac:dyDescent="0.3">
      <c r="A6" s="91" t="s">
        <v>215</v>
      </c>
      <c r="B6" s="137">
        <v>0.43055555555555558</v>
      </c>
      <c r="C6" s="82">
        <v>0.40699999999999997</v>
      </c>
      <c r="D6" s="82">
        <v>11.41</v>
      </c>
      <c r="E6" s="82">
        <v>4.4000000000000004</v>
      </c>
      <c r="F6" s="82">
        <v>8.2799999999999994</v>
      </c>
      <c r="G6" s="89"/>
      <c r="I6" s="20"/>
      <c r="J6" s="162"/>
      <c r="K6" s="163"/>
      <c r="L6" s="28"/>
      <c r="M6" s="165"/>
      <c r="N6" s="166"/>
      <c r="O6" s="167"/>
      <c r="T6" s="179" t="s">
        <v>247</v>
      </c>
      <c r="U6" s="515">
        <v>19</v>
      </c>
    </row>
    <row r="7" spans="1:22" ht="14" x14ac:dyDescent="0.3">
      <c r="A7" s="91" t="s">
        <v>208</v>
      </c>
      <c r="B7" s="222" t="s">
        <v>539</v>
      </c>
      <c r="C7" s="223"/>
      <c r="D7" s="223"/>
      <c r="E7" s="223"/>
      <c r="F7" s="224"/>
      <c r="G7" s="188" t="s">
        <v>184</v>
      </c>
      <c r="H7" s="189" t="s">
        <v>195</v>
      </c>
      <c r="I7" s="168"/>
      <c r="J7" s="169"/>
      <c r="K7" s="163"/>
      <c r="L7" s="11"/>
      <c r="M7" s="165"/>
      <c r="N7" s="166"/>
      <c r="O7" s="170"/>
      <c r="T7" s="446" t="s">
        <v>537</v>
      </c>
      <c r="U7" s="515">
        <v>0</v>
      </c>
    </row>
    <row r="8" spans="1:22" ht="13" x14ac:dyDescent="0.3">
      <c r="A8" s="121" t="s">
        <v>506</v>
      </c>
      <c r="B8" s="201">
        <v>0.4777777777777778</v>
      </c>
      <c r="C8" s="82">
        <v>0.39100000000000001</v>
      </c>
      <c r="D8" s="82">
        <v>9.64</v>
      </c>
      <c r="E8" s="82">
        <v>5.4</v>
      </c>
      <c r="F8" s="82">
        <v>8.5299999999999994</v>
      </c>
      <c r="G8" s="128">
        <v>1.22</v>
      </c>
      <c r="H8" s="178">
        <v>10.88</v>
      </c>
      <c r="I8" s="168"/>
      <c r="J8" s="169"/>
      <c r="K8" s="172"/>
      <c r="L8" s="173"/>
      <c r="M8" s="174"/>
      <c r="N8" s="175"/>
      <c r="O8" s="170"/>
      <c r="T8" s="446" t="s">
        <v>538</v>
      </c>
      <c r="U8" s="515">
        <v>1</v>
      </c>
    </row>
    <row r="9" spans="1:22" ht="13" x14ac:dyDescent="0.3">
      <c r="A9" s="121" t="s">
        <v>175</v>
      </c>
      <c r="B9" s="82"/>
      <c r="C9" s="82">
        <v>0.39600000000000002</v>
      </c>
      <c r="D9" s="82">
        <v>9.49</v>
      </c>
      <c r="E9" s="82">
        <v>5.4</v>
      </c>
      <c r="F9" s="82">
        <v>8.2200000000000006</v>
      </c>
      <c r="G9" s="89"/>
      <c r="K9" s="177"/>
      <c r="M9" s="174"/>
      <c r="N9" s="175"/>
      <c r="O9" s="167"/>
      <c r="T9" s="179" t="s">
        <v>249</v>
      </c>
      <c r="U9" s="515">
        <v>8</v>
      </c>
    </row>
    <row r="10" spans="1:22" ht="13" x14ac:dyDescent="0.3">
      <c r="A10" s="121" t="s">
        <v>507</v>
      </c>
      <c r="B10" s="82"/>
      <c r="C10" s="82">
        <v>0.39</v>
      </c>
      <c r="D10" s="82">
        <v>9.26</v>
      </c>
      <c r="E10" s="82">
        <v>5.2</v>
      </c>
      <c r="F10" s="82">
        <v>8.15</v>
      </c>
      <c r="G10" s="89"/>
      <c r="H10" s="176" t="s">
        <v>521</v>
      </c>
      <c r="I10" s="442">
        <f>AVERAGE(E8:E11)</f>
        <v>5.35</v>
      </c>
      <c r="K10" s="163"/>
      <c r="L10" s="28"/>
      <c r="M10" s="165"/>
      <c r="N10" s="166"/>
      <c r="O10" s="167"/>
      <c r="T10" s="179" t="s">
        <v>250</v>
      </c>
      <c r="U10" s="515">
        <v>0</v>
      </c>
      <c r="V10" s="20"/>
    </row>
    <row r="11" spans="1:22" ht="13" x14ac:dyDescent="0.3">
      <c r="A11" s="121" t="s">
        <v>176</v>
      </c>
      <c r="B11" s="82"/>
      <c r="C11" s="86">
        <v>0.39300000000000002</v>
      </c>
      <c r="D11" s="82">
        <v>9.18</v>
      </c>
      <c r="E11" s="82">
        <v>5.4</v>
      </c>
      <c r="F11" s="82">
        <v>8.0399999999999991</v>
      </c>
      <c r="G11" s="89"/>
      <c r="H11" s="20" t="s">
        <v>549</v>
      </c>
      <c r="I11" s="442">
        <f>AVERAGE(E8:E19)</f>
        <v>5.3749999999999991</v>
      </c>
      <c r="K11" s="163"/>
      <c r="L11" s="11"/>
      <c r="M11" s="165"/>
      <c r="N11" s="166"/>
      <c r="O11" s="170"/>
      <c r="T11" s="511" t="s">
        <v>628</v>
      </c>
      <c r="U11" s="515">
        <v>0</v>
      </c>
    </row>
    <row r="12" spans="1:22" ht="13" x14ac:dyDescent="0.3">
      <c r="A12" s="121" t="s">
        <v>508</v>
      </c>
      <c r="B12" s="82"/>
      <c r="C12" s="82">
        <v>0.39500000000000002</v>
      </c>
      <c r="D12" s="82">
        <v>9.3000000000000007</v>
      </c>
      <c r="E12" s="82">
        <v>5.4</v>
      </c>
      <c r="F12" s="82">
        <v>7.98</v>
      </c>
      <c r="G12" s="89"/>
      <c r="H12" s="168"/>
      <c r="I12" s="169"/>
      <c r="K12" s="172"/>
      <c r="L12" s="173"/>
      <c r="M12" s="174"/>
      <c r="N12" s="175"/>
      <c r="O12" s="170"/>
      <c r="T12" s="179" t="s">
        <v>251</v>
      </c>
      <c r="U12" s="208">
        <v>24</v>
      </c>
    </row>
    <row r="13" spans="1:22" ht="13" x14ac:dyDescent="0.3">
      <c r="A13" s="121" t="s">
        <v>177</v>
      </c>
      <c r="B13" s="82"/>
      <c r="C13" s="82">
        <v>0.39500000000000002</v>
      </c>
      <c r="D13" s="82">
        <v>9.24</v>
      </c>
      <c r="E13" s="82">
        <v>5.3</v>
      </c>
      <c r="F13" s="186">
        <v>7.99</v>
      </c>
      <c r="G13" s="89"/>
      <c r="H13" s="440" t="s">
        <v>548</v>
      </c>
      <c r="I13" s="333">
        <f>AVERAGE(D8:D22)</f>
        <v>9.1893333333333356</v>
      </c>
      <c r="K13" s="163"/>
      <c r="L13" s="28"/>
      <c r="M13" s="165"/>
      <c r="N13" s="166"/>
      <c r="O13" s="167"/>
      <c r="T13" s="179" t="s">
        <v>576</v>
      </c>
      <c r="U13" s="515">
        <v>0</v>
      </c>
    </row>
    <row r="14" spans="1:22" ht="13" x14ac:dyDescent="0.3">
      <c r="A14" s="121" t="s">
        <v>509</v>
      </c>
      <c r="B14" s="82"/>
      <c r="C14" s="82">
        <v>0.39400000000000002</v>
      </c>
      <c r="D14" s="82">
        <v>9.25</v>
      </c>
      <c r="E14" s="82">
        <v>5.3</v>
      </c>
      <c r="F14" s="82">
        <v>7.98</v>
      </c>
      <c r="G14" s="89"/>
      <c r="H14" s="440" t="s">
        <v>526</v>
      </c>
      <c r="I14" s="333">
        <f>AVERAGE(D8:D11)</f>
        <v>9.3925000000000001</v>
      </c>
      <c r="K14" s="163"/>
      <c r="L14" s="11"/>
      <c r="M14" s="165"/>
      <c r="N14" s="166"/>
      <c r="O14" s="170"/>
    </row>
    <row r="15" spans="1:22" ht="13" x14ac:dyDescent="0.3">
      <c r="A15" s="121" t="s">
        <v>178</v>
      </c>
      <c r="B15" s="82"/>
      <c r="C15" s="82">
        <v>0.39300000000000002</v>
      </c>
      <c r="D15" s="82">
        <v>9.41</v>
      </c>
      <c r="E15" s="82">
        <v>5.3</v>
      </c>
      <c r="F15" s="82">
        <v>7.99</v>
      </c>
      <c r="G15" s="89"/>
      <c r="K15" s="172"/>
      <c r="L15" s="173"/>
      <c r="M15" s="174"/>
      <c r="N15" s="175"/>
      <c r="O15" s="170"/>
    </row>
    <row r="16" spans="1:22" ht="13" x14ac:dyDescent="0.3">
      <c r="A16" s="121" t="s">
        <v>179</v>
      </c>
      <c r="B16" s="137"/>
      <c r="C16" s="82">
        <v>0.39700000000000002</v>
      </c>
      <c r="D16" s="82">
        <v>9.1</v>
      </c>
      <c r="E16" s="82">
        <v>5.3</v>
      </c>
      <c r="F16" s="82">
        <v>7.97</v>
      </c>
      <c r="G16" s="89"/>
      <c r="H16" s="440" t="s">
        <v>547</v>
      </c>
      <c r="I16" s="333">
        <f>AVERAGE(F8:F20)</f>
        <v>8.0638461538461534</v>
      </c>
      <c r="K16" s="163"/>
      <c r="L16" s="28"/>
      <c r="M16" s="165"/>
      <c r="N16" s="166"/>
      <c r="O16" s="167"/>
    </row>
    <row r="17" spans="1:20" ht="13" x14ac:dyDescent="0.3">
      <c r="A17" s="121" t="s">
        <v>180</v>
      </c>
      <c r="B17" s="137"/>
      <c r="C17" s="82">
        <v>0.39600000000000002</v>
      </c>
      <c r="D17" s="312">
        <v>9.26</v>
      </c>
      <c r="E17" s="82">
        <v>5.3</v>
      </c>
      <c r="F17" s="82">
        <v>8.02</v>
      </c>
      <c r="G17" s="89"/>
      <c r="H17" s="440" t="s">
        <v>546</v>
      </c>
      <c r="I17" s="441">
        <f>AVERAGE(C8:C22)</f>
        <v>0.39566666666666672</v>
      </c>
      <c r="J17" s="169"/>
      <c r="K17" s="163"/>
      <c r="L17" s="11"/>
      <c r="M17" s="165"/>
      <c r="N17" s="166"/>
      <c r="O17" s="170"/>
    </row>
    <row r="18" spans="1:20" ht="13" x14ac:dyDescent="0.3">
      <c r="A18" s="121" t="s">
        <v>181</v>
      </c>
      <c r="B18" s="82"/>
      <c r="C18" s="82">
        <v>0.39700000000000002</v>
      </c>
      <c r="D18" s="312">
        <v>9.1199999999999992</v>
      </c>
      <c r="E18" s="82">
        <v>5.6</v>
      </c>
      <c r="F18" s="82">
        <v>7.99</v>
      </c>
      <c r="G18" s="89"/>
      <c r="I18" s="168"/>
      <c r="J18" s="169"/>
      <c r="K18" s="172"/>
      <c r="L18" s="173"/>
      <c r="M18" s="174"/>
      <c r="N18" s="175"/>
      <c r="O18" s="170"/>
    </row>
    <row r="19" spans="1:20" ht="13" x14ac:dyDescent="0.3">
      <c r="A19" s="121" t="s">
        <v>182</v>
      </c>
      <c r="B19" s="82"/>
      <c r="C19" s="82">
        <v>0.39300000000000002</v>
      </c>
      <c r="D19" s="312">
        <v>9</v>
      </c>
      <c r="E19" s="82">
        <v>5.6</v>
      </c>
      <c r="F19" s="82">
        <v>7.99</v>
      </c>
      <c r="G19" s="89"/>
      <c r="I19" s="168"/>
      <c r="J19" s="169"/>
      <c r="K19" s="172"/>
      <c r="L19" s="173"/>
      <c r="M19" s="174"/>
      <c r="N19" s="175"/>
      <c r="S19" s="149"/>
    </row>
    <row r="20" spans="1:20" ht="13" x14ac:dyDescent="0.3">
      <c r="A20" s="121" t="s">
        <v>183</v>
      </c>
      <c r="B20" s="82"/>
      <c r="C20" s="82">
        <v>0.40100000000000002</v>
      </c>
      <c r="D20" s="312">
        <v>8.98</v>
      </c>
      <c r="E20" s="82">
        <v>5.2</v>
      </c>
      <c r="F20" s="82">
        <v>7.98</v>
      </c>
      <c r="G20" s="89"/>
      <c r="I20" s="168"/>
      <c r="J20" s="169"/>
      <c r="K20" s="172"/>
      <c r="L20" s="173"/>
      <c r="M20" s="174"/>
      <c r="N20" s="175"/>
      <c r="S20" s="447"/>
      <c r="T20" s="447"/>
    </row>
    <row r="21" spans="1:20" ht="13" x14ac:dyDescent="0.3">
      <c r="A21" s="121" t="s">
        <v>206</v>
      </c>
      <c r="B21" s="82"/>
      <c r="C21" s="82">
        <v>0.40100000000000002</v>
      </c>
      <c r="D21" s="312">
        <v>8.8000000000000007</v>
      </c>
      <c r="E21" s="82">
        <v>5.4</v>
      </c>
      <c r="F21" s="82">
        <v>7.96</v>
      </c>
      <c r="G21" s="89"/>
      <c r="I21" s="168"/>
      <c r="J21" s="169"/>
      <c r="K21" s="172"/>
      <c r="L21" s="173"/>
      <c r="M21" s="174"/>
      <c r="N21" s="175"/>
      <c r="S21" s="86"/>
      <c r="T21" s="86"/>
    </row>
    <row r="22" spans="1:20" ht="13" x14ac:dyDescent="0.3">
      <c r="A22" s="121" t="s">
        <v>207</v>
      </c>
      <c r="B22" s="82"/>
      <c r="C22" s="82">
        <v>0.40300000000000002</v>
      </c>
      <c r="D22" s="82">
        <v>8.81</v>
      </c>
      <c r="E22" s="82">
        <v>5.6</v>
      </c>
      <c r="F22" s="82">
        <v>7.93</v>
      </c>
      <c r="G22" s="89"/>
      <c r="S22" s="86"/>
      <c r="T22" s="86"/>
    </row>
    <row r="23" spans="1:20" ht="13" x14ac:dyDescent="0.3">
      <c r="A23" s="121" t="s">
        <v>209</v>
      </c>
      <c r="B23" s="137">
        <v>0.44513888888888892</v>
      </c>
      <c r="C23" s="82"/>
      <c r="D23" s="82"/>
      <c r="E23" s="82"/>
      <c r="F23" s="186"/>
      <c r="G23" s="179"/>
      <c r="H23" s="20"/>
      <c r="S23" s="86"/>
      <c r="T23" s="86"/>
    </row>
    <row r="24" spans="1:20" ht="13" x14ac:dyDescent="0.3">
      <c r="A24" s="306" t="s">
        <v>210</v>
      </c>
      <c r="B24" s="137">
        <v>0.44861111111111113</v>
      </c>
      <c r="C24" s="82"/>
      <c r="D24" s="82"/>
      <c r="E24" s="82"/>
      <c r="F24" s="186"/>
      <c r="G24" s="179"/>
      <c r="H24" s="20"/>
      <c r="S24" s="86"/>
      <c r="T24" s="86"/>
    </row>
    <row r="25" spans="1:20" x14ac:dyDescent="0.25">
      <c r="A25" s="125" t="s">
        <v>11</v>
      </c>
      <c r="B25" s="193" t="s">
        <v>851</v>
      </c>
      <c r="C25" s="126"/>
      <c r="D25" s="126"/>
      <c r="E25" s="126"/>
      <c r="F25" s="126"/>
      <c r="G25" s="126"/>
      <c r="S25" s="86"/>
      <c r="T25" s="86"/>
    </row>
    <row r="26" spans="1:20" x14ac:dyDescent="0.25">
      <c r="A26" s="138"/>
      <c r="B26" s="20" t="s">
        <v>852</v>
      </c>
      <c r="D26" s="322"/>
      <c r="E26" s="322"/>
      <c r="F26" s="322"/>
      <c r="G26" s="322"/>
      <c r="S26" s="86"/>
      <c r="T26" s="86"/>
    </row>
    <row r="27" spans="1:20" x14ac:dyDescent="0.25">
      <c r="A27" s="138"/>
      <c r="B27" s="322"/>
      <c r="C27" s="322"/>
      <c r="D27" s="322"/>
      <c r="E27" s="322"/>
      <c r="F27" s="322"/>
      <c r="G27" s="322"/>
      <c r="S27" s="86"/>
      <c r="T27" s="86"/>
    </row>
    <row r="28" spans="1:20" ht="23" x14ac:dyDescent="0.25">
      <c r="A28" s="953" t="s">
        <v>127</v>
      </c>
      <c r="B28" s="954"/>
      <c r="C28" s="955"/>
      <c r="D28" s="953" t="s">
        <v>130</v>
      </c>
      <c r="E28" s="954"/>
      <c r="F28" s="955"/>
      <c r="G28" s="956" t="s">
        <v>31</v>
      </c>
      <c r="H28" s="956"/>
      <c r="J28" s="135" t="s">
        <v>187</v>
      </c>
      <c r="K28" s="135" t="s">
        <v>188</v>
      </c>
      <c r="L28" s="136" t="s">
        <v>189</v>
      </c>
      <c r="M28" s="135" t="s">
        <v>190</v>
      </c>
      <c r="N28" s="136" t="s">
        <v>191</v>
      </c>
      <c r="S28" s="86"/>
      <c r="T28" s="86"/>
    </row>
    <row r="29" spans="1:20" ht="15.5" x14ac:dyDescent="0.35">
      <c r="A29" s="518" t="s">
        <v>170</v>
      </c>
      <c r="B29" s="519">
        <v>0.40138888888888885</v>
      </c>
      <c r="C29" s="520">
        <v>0.68</v>
      </c>
      <c r="D29" s="518" t="s">
        <v>170</v>
      </c>
      <c r="E29" s="519">
        <v>0.4152777777777778</v>
      </c>
      <c r="F29" s="521">
        <v>3.92</v>
      </c>
      <c r="G29" s="518" t="s">
        <v>170</v>
      </c>
      <c r="H29" s="519">
        <v>0.43055555555555558</v>
      </c>
      <c r="J29" s="132">
        <v>2</v>
      </c>
      <c r="K29" s="132">
        <v>0.48</v>
      </c>
      <c r="L29" s="132">
        <v>0.9</v>
      </c>
      <c r="M29" s="132">
        <f>K29*2</f>
        <v>0.96</v>
      </c>
      <c r="N29" s="133">
        <f>L29*M29</f>
        <v>0.86399999999999999</v>
      </c>
      <c r="S29" s="86"/>
      <c r="T29" s="86"/>
    </row>
    <row r="30" spans="1:20" ht="15.5" x14ac:dyDescent="0.35">
      <c r="A30" s="518" t="s">
        <v>185</v>
      </c>
      <c r="B30" s="517">
        <v>6</v>
      </c>
      <c r="C30" s="522"/>
      <c r="D30" s="518" t="s">
        <v>185</v>
      </c>
      <c r="E30" s="520">
        <v>18</v>
      </c>
      <c r="F30" s="522"/>
      <c r="G30" s="518" t="s">
        <v>185</v>
      </c>
      <c r="H30" s="520">
        <v>50</v>
      </c>
      <c r="I30" s="512"/>
      <c r="J30" s="132">
        <v>4</v>
      </c>
      <c r="K30" s="132">
        <v>0.78</v>
      </c>
      <c r="L30" s="132">
        <v>1.1000000000000001</v>
      </c>
      <c r="M30" s="132">
        <f>K30*2</f>
        <v>1.56</v>
      </c>
      <c r="N30" s="133">
        <f>L30*M30</f>
        <v>1.7160000000000002</v>
      </c>
      <c r="S30" s="86"/>
      <c r="T30" s="86"/>
    </row>
    <row r="31" spans="1:20" ht="15.5" x14ac:dyDescent="0.35">
      <c r="A31" s="523" t="s">
        <v>186</v>
      </c>
      <c r="B31" s="957" t="s">
        <v>644</v>
      </c>
      <c r="C31" s="957"/>
      <c r="D31" s="523" t="s">
        <v>186</v>
      </c>
      <c r="E31" s="957" t="s">
        <v>591</v>
      </c>
      <c r="F31" s="957"/>
      <c r="G31" s="523" t="s">
        <v>186</v>
      </c>
      <c r="H31" s="524" t="s">
        <v>644</v>
      </c>
      <c r="J31" s="132">
        <v>6</v>
      </c>
      <c r="K31" s="132">
        <v>0.72</v>
      </c>
      <c r="L31" s="132">
        <v>1.5</v>
      </c>
      <c r="M31" s="132">
        <f>K31*2</f>
        <v>1.44</v>
      </c>
      <c r="N31" s="133">
        <f t="shared" ref="N31:N38" si="0">L31*M31</f>
        <v>2.16</v>
      </c>
    </row>
    <row r="32" spans="1:20" ht="24" x14ac:dyDescent="0.35">
      <c r="A32" s="313" t="s">
        <v>187</v>
      </c>
      <c r="B32" s="313" t="s">
        <v>188</v>
      </c>
      <c r="C32" s="314" t="s">
        <v>189</v>
      </c>
      <c r="D32" s="313" t="s">
        <v>187</v>
      </c>
      <c r="E32" s="313" t="s">
        <v>188</v>
      </c>
      <c r="F32" s="314" t="s">
        <v>189</v>
      </c>
      <c r="G32" s="313" t="s">
        <v>188</v>
      </c>
      <c r="H32" s="314" t="s">
        <v>189</v>
      </c>
      <c r="J32" s="132">
        <v>8</v>
      </c>
      <c r="K32" s="132">
        <v>0.67</v>
      </c>
      <c r="L32" s="132">
        <v>0.8</v>
      </c>
      <c r="M32" s="132">
        <f>K32*2</f>
        <v>1.34</v>
      </c>
      <c r="N32" s="133">
        <f t="shared" si="0"/>
        <v>1.0720000000000001</v>
      </c>
    </row>
    <row r="33" spans="1:14" ht="15.5" x14ac:dyDescent="0.35">
      <c r="A33" s="152">
        <v>2</v>
      </c>
      <c r="B33" s="132">
        <v>0.25</v>
      </c>
      <c r="C33" s="132">
        <v>0.2</v>
      </c>
      <c r="D33" s="152">
        <v>2</v>
      </c>
      <c r="E33" s="132">
        <v>0.68</v>
      </c>
      <c r="F33" s="132">
        <v>0.4</v>
      </c>
      <c r="G33" s="947" t="s">
        <v>31</v>
      </c>
      <c r="H33" s="947"/>
      <c r="J33" s="132">
        <v>10</v>
      </c>
      <c r="K33" s="132">
        <v>0.7</v>
      </c>
      <c r="L33" s="132">
        <v>0.7</v>
      </c>
      <c r="M33" s="132">
        <f t="shared" ref="M33:M38" si="1">K33*2</f>
        <v>1.4</v>
      </c>
      <c r="N33" s="133">
        <f t="shared" si="0"/>
        <v>0.97999999999999987</v>
      </c>
    </row>
    <row r="34" spans="1:14" ht="15.5" x14ac:dyDescent="0.35">
      <c r="A34" s="152">
        <v>4</v>
      </c>
      <c r="B34" s="132">
        <v>0.38</v>
      </c>
      <c r="C34" s="132">
        <v>0.8</v>
      </c>
      <c r="D34" s="152">
        <v>4</v>
      </c>
      <c r="E34" s="132">
        <v>0.78</v>
      </c>
      <c r="F34" s="132">
        <v>1.1000000000000001</v>
      </c>
      <c r="G34" s="132">
        <v>0.1</v>
      </c>
      <c r="H34" s="133">
        <v>0.9</v>
      </c>
      <c r="I34" s="444">
        <v>4.5</v>
      </c>
      <c r="J34" s="132">
        <v>12</v>
      </c>
      <c r="K34" s="134">
        <v>0.75</v>
      </c>
      <c r="L34" s="132">
        <v>0.6</v>
      </c>
      <c r="M34" s="132">
        <f t="shared" si="1"/>
        <v>1.5</v>
      </c>
      <c r="N34" s="133">
        <f t="shared" si="0"/>
        <v>0.89999999999999991</v>
      </c>
    </row>
    <row r="35" spans="1:14" ht="15.5" x14ac:dyDescent="0.35">
      <c r="A35" s="152">
        <v>6</v>
      </c>
      <c r="B35" s="132">
        <v>0.25</v>
      </c>
      <c r="C35" s="132">
        <v>0.2</v>
      </c>
      <c r="D35" s="331">
        <v>6</v>
      </c>
      <c r="E35" s="132">
        <v>0.72</v>
      </c>
      <c r="F35" s="132">
        <v>1.5</v>
      </c>
      <c r="G35" s="948" t="s">
        <v>196</v>
      </c>
      <c r="H35" s="949"/>
      <c r="I35" s="158"/>
      <c r="J35" s="132">
        <v>14</v>
      </c>
      <c r="K35" s="134">
        <v>0.77</v>
      </c>
      <c r="L35" s="134">
        <v>0.6</v>
      </c>
      <c r="M35" s="132">
        <f t="shared" si="1"/>
        <v>1.54</v>
      </c>
      <c r="N35" s="133">
        <f t="shared" si="0"/>
        <v>0.92399999999999993</v>
      </c>
    </row>
    <row r="36" spans="1:14" ht="15.5" x14ac:dyDescent="0.35">
      <c r="A36" s="152">
        <v>8</v>
      </c>
      <c r="B36" s="132"/>
      <c r="C36" s="132"/>
      <c r="D36" s="152">
        <v>8</v>
      </c>
      <c r="E36" s="132">
        <v>0.67</v>
      </c>
      <c r="F36" s="132">
        <v>0.8</v>
      </c>
      <c r="G36" s="132" t="s">
        <v>595</v>
      </c>
      <c r="H36" s="133">
        <v>0.9</v>
      </c>
      <c r="I36" s="444">
        <v>0.86</v>
      </c>
      <c r="J36" s="132">
        <v>16</v>
      </c>
      <c r="K36" s="134">
        <v>0.44</v>
      </c>
      <c r="L36" s="134">
        <v>0.9</v>
      </c>
      <c r="M36" s="132">
        <f>K36*3</f>
        <v>1.32</v>
      </c>
      <c r="N36" s="133">
        <f t="shared" si="0"/>
        <v>1.1880000000000002</v>
      </c>
    </row>
    <row r="37" spans="1:14" ht="15.5" x14ac:dyDescent="0.35">
      <c r="A37" s="152">
        <v>12</v>
      </c>
      <c r="B37" s="132"/>
      <c r="C37" s="132"/>
      <c r="D37" s="152">
        <v>10</v>
      </c>
      <c r="E37" s="132">
        <v>0.7</v>
      </c>
      <c r="F37" s="132">
        <v>0.7</v>
      </c>
      <c r="G37" s="132" t="s">
        <v>197</v>
      </c>
      <c r="H37" s="133"/>
      <c r="I37" s="158"/>
      <c r="J37" s="132">
        <v>18</v>
      </c>
      <c r="K37" s="82"/>
      <c r="L37" s="194"/>
      <c r="M37" s="132">
        <f t="shared" si="1"/>
        <v>0</v>
      </c>
      <c r="N37" s="133">
        <f t="shared" si="0"/>
        <v>0</v>
      </c>
    </row>
    <row r="38" spans="1:14" ht="15.5" x14ac:dyDescent="0.35">
      <c r="A38" s="123"/>
      <c r="B38" s="132"/>
      <c r="C38" s="132"/>
      <c r="D38" s="152">
        <v>12</v>
      </c>
      <c r="E38" s="134">
        <v>0.75</v>
      </c>
      <c r="F38" s="132">
        <v>0.6</v>
      </c>
      <c r="G38" s="132" t="s">
        <v>853</v>
      </c>
      <c r="H38" s="133">
        <v>0.9</v>
      </c>
      <c r="I38" s="445">
        <v>0.5</v>
      </c>
      <c r="J38" s="132">
        <v>20</v>
      </c>
      <c r="K38" s="132"/>
      <c r="L38" s="132"/>
      <c r="M38" s="132">
        <f t="shared" si="1"/>
        <v>0</v>
      </c>
      <c r="N38" s="133">
        <f t="shared" si="0"/>
        <v>0</v>
      </c>
    </row>
    <row r="39" spans="1:14" ht="15.5" x14ac:dyDescent="0.35">
      <c r="C39" s="443">
        <v>0.81</v>
      </c>
      <c r="D39" s="152">
        <v>14</v>
      </c>
      <c r="E39" s="134">
        <v>0.77</v>
      </c>
      <c r="F39" s="134">
        <v>0.6</v>
      </c>
      <c r="N39" s="6">
        <f>SUM(N29:N38)</f>
        <v>9.8040000000000003</v>
      </c>
    </row>
    <row r="40" spans="1:14" ht="15.5" x14ac:dyDescent="0.35">
      <c r="A40" s="319"/>
      <c r="D40" s="152">
        <v>16</v>
      </c>
      <c r="E40" s="134">
        <v>0.44</v>
      </c>
      <c r="F40" s="134">
        <v>0.9</v>
      </c>
    </row>
    <row r="41" spans="1:14" ht="15.5" x14ac:dyDescent="0.35">
      <c r="A41" s="319"/>
      <c r="D41" s="152">
        <v>18</v>
      </c>
      <c r="E41" s="82"/>
      <c r="F41" s="194"/>
    </row>
    <row r="42" spans="1:14" ht="15.5" x14ac:dyDescent="0.35">
      <c r="F42" s="366">
        <v>9.5</v>
      </c>
    </row>
    <row r="43" spans="1:14" ht="14" x14ac:dyDescent="0.3">
      <c r="A43" s="129" t="s">
        <v>211</v>
      </c>
      <c r="C43" s="11" t="s">
        <v>212</v>
      </c>
      <c r="D43" s="148"/>
    </row>
    <row r="44" spans="1:14" ht="14" x14ac:dyDescent="0.3">
      <c r="A44" s="188" t="s">
        <v>218</v>
      </c>
      <c r="B44" s="188" t="s">
        <v>170</v>
      </c>
      <c r="C44" s="188" t="s">
        <v>171</v>
      </c>
      <c r="D44" s="188" t="s">
        <v>172</v>
      </c>
      <c r="E44" s="188" t="s">
        <v>173</v>
      </c>
      <c r="F44" s="188" t="s">
        <v>174</v>
      </c>
      <c r="G44" s="188" t="s">
        <v>184</v>
      </c>
      <c r="H44" s="189" t="s">
        <v>195</v>
      </c>
    </row>
    <row r="45" spans="1:14" ht="14" x14ac:dyDescent="0.3">
      <c r="A45" s="121" t="s">
        <v>506</v>
      </c>
      <c r="B45" s="137"/>
      <c r="C45" s="225"/>
      <c r="D45" s="225"/>
      <c r="E45" s="515"/>
      <c r="F45" s="225"/>
      <c r="G45" s="128"/>
      <c r="H45" s="82"/>
    </row>
    <row r="46" spans="1:14" ht="14" x14ac:dyDescent="0.3">
      <c r="A46" s="121" t="s">
        <v>175</v>
      </c>
      <c r="B46" s="82"/>
      <c r="C46" s="225"/>
      <c r="D46" s="225"/>
      <c r="E46" s="515"/>
      <c r="F46" s="225"/>
      <c r="G46" s="89"/>
    </row>
    <row r="47" spans="1:14" ht="14" x14ac:dyDescent="0.3">
      <c r="A47" s="121" t="s">
        <v>507</v>
      </c>
      <c r="B47" s="82"/>
      <c r="C47" s="225"/>
      <c r="D47" s="225"/>
      <c r="E47" s="515"/>
      <c r="F47" s="225"/>
      <c r="G47" s="89"/>
      <c r="H47" s="176" t="s">
        <v>521</v>
      </c>
      <c r="I47" s="442" t="e">
        <f>AVERAGE(E45:E48)</f>
        <v>#DIV/0!</v>
      </c>
    </row>
    <row r="48" spans="1:14" ht="14" x14ac:dyDescent="0.3">
      <c r="A48" s="121" t="s">
        <v>176</v>
      </c>
      <c r="B48" s="82"/>
      <c r="C48" s="429"/>
      <c r="D48" s="225"/>
      <c r="E48" s="515"/>
      <c r="F48" s="225"/>
      <c r="G48" s="89"/>
      <c r="H48" s="20" t="s">
        <v>599</v>
      </c>
      <c r="I48" s="442" t="e">
        <f>AVERAGE(E45:E54)</f>
        <v>#DIV/0!</v>
      </c>
    </row>
    <row r="49" spans="1:10" ht="14" x14ac:dyDescent="0.3">
      <c r="A49" s="121" t="s">
        <v>508</v>
      </c>
      <c r="B49" s="82"/>
      <c r="C49" s="225"/>
      <c r="D49" s="225"/>
      <c r="E49" s="515"/>
      <c r="F49" s="225"/>
      <c r="G49" s="89"/>
      <c r="H49" s="168"/>
      <c r="I49" s="169"/>
    </row>
    <row r="50" spans="1:10" ht="14" x14ac:dyDescent="0.3">
      <c r="A50" s="121" t="s">
        <v>177</v>
      </c>
      <c r="B50" s="82"/>
      <c r="C50" s="225"/>
      <c r="D50" s="225"/>
      <c r="E50" s="515"/>
      <c r="F50" s="225"/>
      <c r="G50" s="89"/>
      <c r="H50" s="440" t="s">
        <v>600</v>
      </c>
      <c r="I50" s="333" t="e">
        <f>AVERAGE(D45:D53)</f>
        <v>#DIV/0!</v>
      </c>
    </row>
    <row r="51" spans="1:10" ht="14" x14ac:dyDescent="0.3">
      <c r="A51" s="121" t="s">
        <v>509</v>
      </c>
      <c r="B51" s="82"/>
      <c r="C51" s="225"/>
      <c r="D51" s="225"/>
      <c r="E51" s="515"/>
      <c r="F51" s="225"/>
      <c r="G51" s="89"/>
      <c r="H51" s="440" t="s">
        <v>526</v>
      </c>
      <c r="I51" s="333" t="e">
        <f>AVERAGE(D45:D48)</f>
        <v>#DIV/0!</v>
      </c>
    </row>
    <row r="52" spans="1:10" ht="14" x14ac:dyDescent="0.3">
      <c r="A52" s="121" t="s">
        <v>178</v>
      </c>
      <c r="B52" s="82"/>
      <c r="C52" s="225"/>
      <c r="D52" s="225"/>
      <c r="E52" s="515"/>
      <c r="F52" s="225"/>
      <c r="G52" s="89"/>
    </row>
    <row r="53" spans="1:10" ht="14" x14ac:dyDescent="0.3">
      <c r="A53" s="121" t="s">
        <v>179</v>
      </c>
      <c r="B53" s="82"/>
      <c r="C53" s="225"/>
      <c r="D53" s="225"/>
      <c r="E53" s="515"/>
      <c r="F53" s="225"/>
      <c r="G53" s="89"/>
    </row>
    <row r="54" spans="1:10" ht="14" x14ac:dyDescent="0.3">
      <c r="A54" s="121" t="s">
        <v>180</v>
      </c>
      <c r="B54" s="82"/>
      <c r="C54" s="225"/>
      <c r="D54" s="225"/>
      <c r="E54" s="515"/>
      <c r="F54" s="225"/>
      <c r="G54" s="89"/>
    </row>
    <row r="55" spans="1:10" ht="14" x14ac:dyDescent="0.3">
      <c r="A55" s="121" t="s">
        <v>181</v>
      </c>
      <c r="B55" s="137"/>
      <c r="C55" s="225"/>
      <c r="D55" s="225"/>
      <c r="E55" s="515"/>
      <c r="F55" s="225"/>
      <c r="G55" s="89"/>
    </row>
    <row r="56" spans="1:10" ht="14" x14ac:dyDescent="0.3">
      <c r="A56" s="121" t="s">
        <v>182</v>
      </c>
      <c r="B56" s="137"/>
      <c r="C56" s="225"/>
      <c r="D56" s="225"/>
      <c r="E56" s="515"/>
      <c r="F56" s="225"/>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121" t="s">
        <v>506</v>
      </c>
      <c r="B59" s="137"/>
      <c r="C59" s="515"/>
      <c r="D59" s="515"/>
      <c r="E59" s="225"/>
      <c r="F59" s="515"/>
      <c r="G59" s="128"/>
      <c r="H59" s="82"/>
    </row>
    <row r="60" spans="1:10" ht="14" x14ac:dyDescent="0.3">
      <c r="A60" s="121" t="s">
        <v>175</v>
      </c>
      <c r="B60" s="82"/>
      <c r="C60" s="515"/>
      <c r="D60" s="515"/>
      <c r="E60" s="225"/>
      <c r="F60" s="515"/>
      <c r="G60" s="89"/>
    </row>
    <row r="61" spans="1:10" ht="14" x14ac:dyDescent="0.3">
      <c r="A61" s="121" t="s">
        <v>507</v>
      </c>
      <c r="B61" s="82"/>
      <c r="C61" s="515"/>
      <c r="D61" s="515"/>
      <c r="E61" s="225"/>
      <c r="F61" s="515"/>
      <c r="G61" s="89"/>
      <c r="H61" s="176" t="s">
        <v>521</v>
      </c>
      <c r="I61" s="442" t="e">
        <f>AVERAGE(E59:E62)</f>
        <v>#DIV/0!</v>
      </c>
    </row>
    <row r="62" spans="1:10" ht="14" x14ac:dyDescent="0.3">
      <c r="A62" s="121" t="s">
        <v>176</v>
      </c>
      <c r="B62" s="82"/>
      <c r="C62" s="515"/>
      <c r="D62" s="515"/>
      <c r="E62" s="225"/>
      <c r="F62" s="515"/>
      <c r="G62" s="89"/>
      <c r="H62" s="20" t="s">
        <v>601</v>
      </c>
      <c r="I62" s="442" t="e">
        <f>AVERAGE(E59:E70)</f>
        <v>#DIV/0!</v>
      </c>
    </row>
    <row r="63" spans="1:10" ht="14" x14ac:dyDescent="0.3">
      <c r="A63" s="121" t="s">
        <v>508</v>
      </c>
      <c r="B63" s="82"/>
      <c r="C63" s="454"/>
      <c r="D63" s="454"/>
      <c r="E63" s="225"/>
      <c r="F63" s="515"/>
      <c r="G63" s="89"/>
      <c r="H63" s="168"/>
      <c r="I63" s="169"/>
    </row>
    <row r="64" spans="1:10" ht="14" x14ac:dyDescent="0.3">
      <c r="A64" s="121" t="s">
        <v>177</v>
      </c>
      <c r="B64" s="82"/>
      <c r="C64" s="515"/>
      <c r="D64" s="515"/>
      <c r="E64" s="225"/>
      <c r="F64" s="515"/>
      <c r="G64" s="89"/>
      <c r="H64" s="440" t="s">
        <v>602</v>
      </c>
      <c r="I64" s="333" t="e">
        <f>AVERAGE(D59:D70)</f>
        <v>#DIV/0!</v>
      </c>
    </row>
    <row r="65" spans="1:9" ht="14" x14ac:dyDescent="0.3">
      <c r="A65" s="121" t="s">
        <v>509</v>
      </c>
      <c r="B65" s="82"/>
      <c r="C65" s="515"/>
      <c r="D65" s="515"/>
      <c r="E65" s="225"/>
      <c r="F65" s="515"/>
      <c r="G65" s="89"/>
      <c r="H65" s="440" t="s">
        <v>526</v>
      </c>
      <c r="I65" s="333" t="e">
        <f>AVERAGE(D59:D62)</f>
        <v>#DIV/0!</v>
      </c>
    </row>
    <row r="66" spans="1:9" ht="14" x14ac:dyDescent="0.3">
      <c r="A66" s="121" t="s">
        <v>178</v>
      </c>
      <c r="B66" s="82"/>
      <c r="C66" s="515"/>
      <c r="D66" s="515"/>
      <c r="E66" s="225"/>
      <c r="F66" s="515"/>
      <c r="G66" s="89"/>
    </row>
    <row r="67" spans="1:9" ht="14" x14ac:dyDescent="0.3">
      <c r="A67" s="121" t="s">
        <v>179</v>
      </c>
      <c r="B67" s="82"/>
      <c r="C67" s="515"/>
      <c r="D67" s="515"/>
      <c r="E67" s="225"/>
      <c r="F67" s="515"/>
      <c r="G67" s="89"/>
    </row>
    <row r="68" spans="1:9" ht="14" x14ac:dyDescent="0.3">
      <c r="A68" s="306" t="s">
        <v>180</v>
      </c>
      <c r="B68" s="137"/>
      <c r="C68" s="515"/>
      <c r="D68" s="515"/>
      <c r="E68" s="225"/>
      <c r="F68" s="515"/>
      <c r="G68" s="89"/>
    </row>
    <row r="69" spans="1:9" ht="14" x14ac:dyDescent="0.3">
      <c r="A69" s="306" t="s">
        <v>181</v>
      </c>
      <c r="B69" s="137"/>
      <c r="C69" s="515"/>
      <c r="D69" s="515"/>
      <c r="E69" s="225"/>
      <c r="F69" s="515"/>
      <c r="G69" s="89"/>
    </row>
    <row r="70" spans="1:9" ht="14" x14ac:dyDescent="0.3">
      <c r="A70" s="306" t="s">
        <v>182</v>
      </c>
      <c r="B70" s="137"/>
      <c r="C70" s="515"/>
      <c r="D70" s="515"/>
      <c r="E70" s="225"/>
      <c r="F70" s="515"/>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121" t="s">
        <v>506</v>
      </c>
      <c r="B73" s="137"/>
      <c r="C73" s="515"/>
      <c r="D73" s="515"/>
      <c r="E73" s="515"/>
      <c r="F73" s="515"/>
      <c r="G73" s="128"/>
      <c r="H73" s="82"/>
    </row>
    <row r="74" spans="1:9" ht="13" x14ac:dyDescent="0.3">
      <c r="A74" s="121" t="s">
        <v>175</v>
      </c>
      <c r="B74" s="82"/>
      <c r="C74" s="515"/>
      <c r="D74" s="515"/>
      <c r="E74" s="515"/>
      <c r="F74" s="515"/>
      <c r="G74" s="89"/>
    </row>
    <row r="75" spans="1:9" ht="13" x14ac:dyDescent="0.3">
      <c r="A75" s="121" t="s">
        <v>507</v>
      </c>
      <c r="B75" s="82"/>
      <c r="C75" s="515"/>
      <c r="D75" s="515"/>
      <c r="E75" s="515"/>
      <c r="F75" s="515"/>
      <c r="G75" s="89"/>
      <c r="H75" s="176" t="s">
        <v>521</v>
      </c>
      <c r="I75" s="442" t="e">
        <f>AVERAGE(E72:E75)</f>
        <v>#DIV/0!</v>
      </c>
    </row>
    <row r="76" spans="1:9" ht="13" x14ac:dyDescent="0.3">
      <c r="A76" s="121" t="s">
        <v>176</v>
      </c>
      <c r="B76" s="82"/>
      <c r="C76" s="515"/>
      <c r="D76" s="515"/>
      <c r="E76" s="515"/>
      <c r="F76" s="515"/>
      <c r="G76" s="89"/>
      <c r="H76" s="20" t="s">
        <v>604</v>
      </c>
      <c r="I76" s="442" t="e">
        <f>AVERAGE(E72:E82)</f>
        <v>#DIV/0!</v>
      </c>
    </row>
    <row r="77" spans="1:9" ht="13" x14ac:dyDescent="0.3">
      <c r="A77" s="121" t="s">
        <v>508</v>
      </c>
      <c r="B77" s="82"/>
      <c r="C77" s="515"/>
      <c r="D77" s="515"/>
      <c r="E77" s="515"/>
      <c r="F77" s="515"/>
      <c r="G77" s="89"/>
      <c r="H77" s="168"/>
      <c r="I77" s="169"/>
    </row>
    <row r="78" spans="1:9" ht="13" x14ac:dyDescent="0.3">
      <c r="A78" s="121" t="s">
        <v>177</v>
      </c>
      <c r="B78" s="82"/>
      <c r="C78" s="515"/>
      <c r="D78" s="515"/>
      <c r="E78" s="515"/>
      <c r="F78" s="515"/>
      <c r="G78" s="89"/>
      <c r="H78" s="440" t="s">
        <v>603</v>
      </c>
      <c r="I78" s="333" t="e">
        <f>AVERAGE(D72:D86)</f>
        <v>#DIV/0!</v>
      </c>
    </row>
    <row r="79" spans="1:9" ht="13" x14ac:dyDescent="0.3">
      <c r="A79" s="121" t="s">
        <v>509</v>
      </c>
      <c r="B79" s="82"/>
      <c r="C79" s="515"/>
      <c r="D79" s="515"/>
      <c r="E79" s="515"/>
      <c r="F79" s="515"/>
      <c r="G79" s="89"/>
      <c r="H79" s="440" t="s">
        <v>526</v>
      </c>
      <c r="I79" s="333" t="e">
        <f>AVERAGE(D72:D75)</f>
        <v>#DIV/0!</v>
      </c>
    </row>
    <row r="80" spans="1:9" ht="13" x14ac:dyDescent="0.3">
      <c r="A80" s="121" t="s">
        <v>178</v>
      </c>
      <c r="B80" s="82"/>
      <c r="C80" s="515"/>
      <c r="D80" s="515"/>
      <c r="E80" s="515"/>
      <c r="F80" s="515"/>
      <c r="G80" s="89"/>
    </row>
    <row r="81" spans="1:9" ht="13" x14ac:dyDescent="0.3">
      <c r="A81" s="121" t="s">
        <v>179</v>
      </c>
      <c r="B81" s="82"/>
      <c r="C81" s="515"/>
      <c r="D81" s="515"/>
      <c r="E81" s="515"/>
      <c r="F81" s="515"/>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121" t="s">
        <v>506</v>
      </c>
      <c r="B84" s="137"/>
      <c r="C84" s="515"/>
      <c r="D84" s="310"/>
      <c r="E84" s="85"/>
      <c r="F84" s="310"/>
      <c r="G84" s="186"/>
      <c r="H84" s="82"/>
    </row>
    <row r="85" spans="1:9" ht="13" x14ac:dyDescent="0.3">
      <c r="A85" s="121" t="s">
        <v>175</v>
      </c>
      <c r="B85" s="82"/>
      <c r="C85" s="515"/>
      <c r="D85" s="310"/>
      <c r="E85" s="85"/>
      <c r="F85" s="310"/>
      <c r="G85" s="89"/>
    </row>
    <row r="86" spans="1:9" ht="13" x14ac:dyDescent="0.3">
      <c r="A86" s="121" t="s">
        <v>507</v>
      </c>
      <c r="B86" s="82"/>
      <c r="C86" s="515"/>
      <c r="D86" s="310"/>
      <c r="E86" s="85"/>
      <c r="F86" s="310"/>
      <c r="G86" s="89"/>
      <c r="H86" s="176" t="s">
        <v>521</v>
      </c>
      <c r="I86" s="442" t="e">
        <f>AVERAGE(E84:E87)</f>
        <v>#DIV/0!</v>
      </c>
    </row>
    <row r="87" spans="1:9" ht="13" x14ac:dyDescent="0.3">
      <c r="A87" s="121" t="s">
        <v>176</v>
      </c>
      <c r="B87" s="82"/>
      <c r="C87" s="515"/>
      <c r="D87" s="310"/>
      <c r="E87" s="85"/>
      <c r="F87" s="310"/>
      <c r="G87" s="89"/>
      <c r="H87" s="20" t="s">
        <v>605</v>
      </c>
      <c r="I87" s="442" t="e">
        <f>AVERAGE(E84:E94)</f>
        <v>#DIV/0!</v>
      </c>
    </row>
    <row r="88" spans="1:9" ht="13" x14ac:dyDescent="0.3">
      <c r="A88" s="121" t="s">
        <v>508</v>
      </c>
      <c r="B88" s="82"/>
      <c r="C88" s="515"/>
      <c r="D88" s="310"/>
      <c r="E88" s="85"/>
      <c r="F88" s="310"/>
      <c r="G88" s="89"/>
      <c r="H88" s="168"/>
      <c r="I88" s="169"/>
    </row>
    <row r="89" spans="1:9" ht="13" x14ac:dyDescent="0.3">
      <c r="A89" s="121" t="s">
        <v>177</v>
      </c>
      <c r="B89" s="82"/>
      <c r="C89" s="515"/>
      <c r="D89" s="310"/>
      <c r="E89" s="85"/>
      <c r="F89" s="310"/>
      <c r="G89" s="89"/>
      <c r="H89" s="440" t="s">
        <v>606</v>
      </c>
      <c r="I89" s="333" t="e">
        <f>AVERAGE(D84:D94)</f>
        <v>#DIV/0!</v>
      </c>
    </row>
    <row r="90" spans="1:9" ht="13" x14ac:dyDescent="0.3">
      <c r="A90" s="121" t="s">
        <v>509</v>
      </c>
      <c r="B90" s="82"/>
      <c r="C90" s="515"/>
      <c r="D90" s="310"/>
      <c r="E90" s="85"/>
      <c r="F90" s="310"/>
      <c r="G90" s="89"/>
      <c r="H90" s="440" t="s">
        <v>526</v>
      </c>
      <c r="I90" s="333" t="e">
        <f>AVERAGE(D84:D87)</f>
        <v>#DIV/0!</v>
      </c>
    </row>
    <row r="91" spans="1:9" ht="13" x14ac:dyDescent="0.3">
      <c r="A91" s="121" t="s">
        <v>178</v>
      </c>
      <c r="B91" s="82"/>
      <c r="C91" s="515"/>
      <c r="D91" s="310"/>
      <c r="E91" s="85"/>
      <c r="F91" s="310"/>
      <c r="G91" s="89"/>
    </row>
    <row r="92" spans="1:9" ht="13" x14ac:dyDescent="0.3">
      <c r="A92" s="121" t="s">
        <v>179</v>
      </c>
      <c r="B92" s="82"/>
      <c r="C92" s="515"/>
      <c r="D92" s="310"/>
      <c r="E92" s="85"/>
      <c r="F92" s="310"/>
      <c r="G92" s="89"/>
    </row>
    <row r="93" spans="1:9" ht="13" x14ac:dyDescent="0.3">
      <c r="A93" s="121" t="s">
        <v>180</v>
      </c>
      <c r="B93" s="82"/>
      <c r="C93" s="515"/>
      <c r="D93" s="310"/>
      <c r="E93" s="85"/>
      <c r="F93" s="310"/>
    </row>
    <row r="94" spans="1:9" ht="14" x14ac:dyDescent="0.3">
      <c r="A94" s="121" t="s">
        <v>181</v>
      </c>
      <c r="B94" s="412"/>
      <c r="C94" s="412"/>
      <c r="D94" s="412"/>
      <c r="E94" s="412"/>
      <c r="F94" s="412"/>
      <c r="G94" s="411"/>
      <c r="H94" s="124"/>
    </row>
    <row r="95" spans="1:9" ht="13" x14ac:dyDescent="0.3">
      <c r="A95" s="121" t="s">
        <v>182</v>
      </c>
      <c r="B95" s="186"/>
      <c r="C95" s="186"/>
      <c r="D95" s="186"/>
      <c r="E95" s="186"/>
      <c r="F95" s="186"/>
      <c r="G95" s="86"/>
      <c r="H95" s="86"/>
    </row>
  </sheetData>
  <mergeCells count="7">
    <mergeCell ref="G35:H35"/>
    <mergeCell ref="G33:H33"/>
    <mergeCell ref="A28:C28"/>
    <mergeCell ref="D28:F28"/>
    <mergeCell ref="G28:H28"/>
    <mergeCell ref="B31:C31"/>
    <mergeCell ref="E31:F31"/>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V95"/>
  <sheetViews>
    <sheetView workbookViewId="0">
      <selection activeCell="G8" sqref="G8"/>
    </sheetView>
  </sheetViews>
  <sheetFormatPr defaultRowHeight="12.5" x14ac:dyDescent="0.25"/>
  <cols>
    <col min="1" max="1" width="16.6328125" customWidth="1"/>
    <col min="2" max="2" width="10.08984375" bestFit="1" customWidth="1"/>
    <col min="4" max="4" width="11.54296875" customWidth="1"/>
    <col min="7" max="7" width="21.6328125" bestFit="1" customWidth="1"/>
    <col min="8" max="8" width="12" customWidth="1"/>
    <col min="9" max="9" width="16" customWidth="1"/>
    <col min="10" max="10" width="8.08984375" bestFit="1" customWidth="1"/>
    <col min="11" max="11" width="6.453125" bestFit="1" customWidth="1"/>
    <col min="12" max="12" width="7" bestFit="1" customWidth="1"/>
    <col min="13" max="13" width="6.453125" bestFit="1" customWidth="1"/>
    <col min="20" max="20" width="16" bestFit="1" customWidth="1"/>
    <col min="21" max="21" width="10.08984375" bestFit="1" customWidth="1"/>
  </cols>
  <sheetData>
    <row r="1" spans="1:22" ht="14" x14ac:dyDescent="0.3">
      <c r="A1" s="129" t="s">
        <v>505</v>
      </c>
    </row>
    <row r="2" spans="1:22" ht="13" x14ac:dyDescent="0.3">
      <c r="A2" s="1" t="s">
        <v>168</v>
      </c>
      <c r="B2" s="148">
        <v>40875</v>
      </c>
      <c r="I2" s="1"/>
      <c r="J2" s="29"/>
      <c r="K2" s="160"/>
      <c r="L2" s="1"/>
      <c r="M2" s="1"/>
      <c r="N2" s="8"/>
      <c r="O2" s="159"/>
      <c r="T2" s="509" t="s">
        <v>246</v>
      </c>
      <c r="U2" s="510">
        <v>40892</v>
      </c>
    </row>
    <row r="3" spans="1:22" ht="14" x14ac:dyDescent="0.3">
      <c r="A3" s="188" t="s">
        <v>20</v>
      </c>
      <c r="B3" s="188" t="s">
        <v>170</v>
      </c>
      <c r="C3" s="188" t="s">
        <v>171</v>
      </c>
      <c r="D3" s="188" t="s">
        <v>172</v>
      </c>
      <c r="E3" s="188" t="s">
        <v>173</v>
      </c>
      <c r="F3" s="188" t="s">
        <v>174</v>
      </c>
      <c r="I3" s="20"/>
      <c r="J3" s="162"/>
      <c r="K3" s="163"/>
      <c r="L3" s="164"/>
      <c r="M3" s="165"/>
      <c r="N3" s="166"/>
      <c r="O3" s="167"/>
      <c r="T3" s="413" t="s">
        <v>256</v>
      </c>
      <c r="U3" s="514">
        <v>1</v>
      </c>
    </row>
    <row r="4" spans="1:22" ht="13" x14ac:dyDescent="0.3">
      <c r="A4" s="91" t="s">
        <v>213</v>
      </c>
      <c r="B4" s="137">
        <v>0.40277777777777773</v>
      </c>
      <c r="C4" s="82">
        <v>1.7</v>
      </c>
      <c r="D4" s="82">
        <v>11.78</v>
      </c>
      <c r="E4" s="82">
        <v>1.5</v>
      </c>
      <c r="F4" s="82">
        <v>8.57</v>
      </c>
      <c r="G4" s="89"/>
      <c r="I4" s="168"/>
      <c r="J4" s="169"/>
      <c r="K4" s="163"/>
      <c r="L4" s="11"/>
      <c r="M4" s="165"/>
      <c r="N4" s="166"/>
      <c r="O4" s="170"/>
      <c r="T4" s="179" t="s">
        <v>253</v>
      </c>
      <c r="U4" s="540">
        <v>0</v>
      </c>
    </row>
    <row r="5" spans="1:22" ht="13" x14ac:dyDescent="0.3">
      <c r="A5" s="91" t="s">
        <v>214</v>
      </c>
      <c r="B5" s="137">
        <v>0.45763888888888887</v>
      </c>
      <c r="C5" s="82">
        <v>0.29799999999999999</v>
      </c>
      <c r="D5" s="82">
        <v>11.95</v>
      </c>
      <c r="E5" s="82">
        <v>0.4</v>
      </c>
      <c r="F5" s="82">
        <v>7.85</v>
      </c>
      <c r="G5" s="89"/>
      <c r="I5" s="168"/>
      <c r="J5" s="169"/>
      <c r="K5" s="172"/>
      <c r="L5" s="173"/>
      <c r="M5" s="174"/>
      <c r="N5" s="175"/>
      <c r="O5" s="170"/>
      <c r="T5" s="309" t="s">
        <v>257</v>
      </c>
      <c r="U5" s="540">
        <v>0</v>
      </c>
    </row>
    <row r="6" spans="1:22" ht="13" x14ac:dyDescent="0.3">
      <c r="A6" s="91" t="s">
        <v>215</v>
      </c>
      <c r="B6" s="137">
        <v>0.53125</v>
      </c>
      <c r="C6" s="82">
        <v>0.40600000000000003</v>
      </c>
      <c r="D6" s="82">
        <v>11.29</v>
      </c>
      <c r="E6" s="82">
        <v>4.4000000000000004</v>
      </c>
      <c r="F6" s="82">
        <v>8.43</v>
      </c>
      <c r="G6" s="89"/>
      <c r="I6" s="20"/>
      <c r="J6" s="162"/>
      <c r="K6" s="163"/>
      <c r="L6" s="28"/>
      <c r="M6" s="165"/>
      <c r="N6" s="166"/>
      <c r="O6" s="167"/>
      <c r="T6" s="179" t="s">
        <v>247</v>
      </c>
      <c r="U6" s="540">
        <v>34</v>
      </c>
    </row>
    <row r="7" spans="1:22" ht="14" x14ac:dyDescent="0.3">
      <c r="A7" s="91" t="s">
        <v>208</v>
      </c>
      <c r="B7" s="222" t="s">
        <v>539</v>
      </c>
      <c r="C7" s="223"/>
      <c r="D7" s="223"/>
      <c r="E7" s="223"/>
      <c r="F7" s="224"/>
      <c r="G7" s="188" t="s">
        <v>184</v>
      </c>
      <c r="H7" s="189" t="s">
        <v>195</v>
      </c>
      <c r="I7" s="168"/>
      <c r="J7" s="169"/>
      <c r="K7" s="163"/>
      <c r="L7" s="11"/>
      <c r="M7" s="165"/>
      <c r="N7" s="166"/>
      <c r="O7" s="170"/>
      <c r="T7" s="446" t="s">
        <v>537</v>
      </c>
      <c r="U7" s="540">
        <v>1</v>
      </c>
    </row>
    <row r="8" spans="1:22" ht="13" x14ac:dyDescent="0.3">
      <c r="A8" s="706" t="s">
        <v>506</v>
      </c>
      <c r="B8" s="201">
        <v>0.47638888888888892</v>
      </c>
      <c r="C8" s="82">
        <v>0.39500000000000002</v>
      </c>
      <c r="D8" s="82">
        <v>11.39</v>
      </c>
      <c r="E8" s="82">
        <v>3.5</v>
      </c>
      <c r="F8" s="82">
        <v>8.35</v>
      </c>
      <c r="G8" s="128">
        <v>4.7</v>
      </c>
      <c r="H8" s="178">
        <v>10.62</v>
      </c>
      <c r="I8" s="168"/>
      <c r="J8" s="169"/>
      <c r="K8" s="172"/>
      <c r="L8" s="173"/>
      <c r="M8" s="174"/>
      <c r="N8" s="175"/>
      <c r="O8" s="170"/>
      <c r="T8" s="446" t="s">
        <v>538</v>
      </c>
      <c r="U8" s="540">
        <v>6</v>
      </c>
    </row>
    <row r="9" spans="1:22" ht="13" x14ac:dyDescent="0.3">
      <c r="A9" s="706" t="s">
        <v>175</v>
      </c>
      <c r="B9" s="82"/>
      <c r="C9" s="82">
        <v>0.40500000000000003</v>
      </c>
      <c r="D9" s="82">
        <v>11.48</v>
      </c>
      <c r="E9" s="82">
        <v>3.7</v>
      </c>
      <c r="F9" s="82">
        <v>8.3800000000000008</v>
      </c>
      <c r="G9" s="89"/>
      <c r="K9" s="177"/>
      <c r="M9" s="174"/>
      <c r="N9" s="175"/>
      <c r="O9" s="167"/>
      <c r="T9" s="179" t="s">
        <v>249</v>
      </c>
      <c r="U9" s="540">
        <v>22</v>
      </c>
    </row>
    <row r="10" spans="1:22" ht="13" x14ac:dyDescent="0.3">
      <c r="A10" s="706" t="s">
        <v>507</v>
      </c>
      <c r="B10" s="82"/>
      <c r="C10" s="82">
        <v>0.40400000000000003</v>
      </c>
      <c r="D10" s="82">
        <v>11.07</v>
      </c>
      <c r="E10" s="82">
        <v>3.7</v>
      </c>
      <c r="F10" s="82">
        <v>8.2899999999999991</v>
      </c>
      <c r="G10" s="89"/>
      <c r="H10" s="176" t="s">
        <v>521</v>
      </c>
      <c r="I10" s="442">
        <f>AVERAGE(E8:E11)</f>
        <v>3.7</v>
      </c>
      <c r="K10" s="163"/>
      <c r="L10" s="28"/>
      <c r="M10" s="165"/>
      <c r="N10" s="166"/>
      <c r="O10" s="167"/>
      <c r="T10" s="179" t="s">
        <v>250</v>
      </c>
      <c r="U10" s="540">
        <v>0</v>
      </c>
      <c r="V10" s="20"/>
    </row>
    <row r="11" spans="1:22" ht="13" x14ac:dyDescent="0.3">
      <c r="A11" s="706" t="s">
        <v>176</v>
      </c>
      <c r="B11" s="82"/>
      <c r="C11" s="86">
        <v>0.41199999999999998</v>
      </c>
      <c r="D11" s="82">
        <v>11.58</v>
      </c>
      <c r="E11" s="82">
        <v>3.9</v>
      </c>
      <c r="F11" s="82">
        <v>8.34</v>
      </c>
      <c r="G11" s="89"/>
      <c r="H11" s="20" t="s">
        <v>549</v>
      </c>
      <c r="I11" s="442">
        <f>AVERAGE(E8:E19)</f>
        <v>3.6916666666666669</v>
      </c>
      <c r="K11" s="163"/>
      <c r="L11" s="11"/>
      <c r="M11" s="165"/>
      <c r="N11" s="166"/>
      <c r="O11" s="170"/>
      <c r="T11" s="511" t="s">
        <v>628</v>
      </c>
      <c r="U11" s="540">
        <v>0</v>
      </c>
    </row>
    <row r="12" spans="1:22" ht="13" x14ac:dyDescent="0.3">
      <c r="A12" s="706" t="s">
        <v>508</v>
      </c>
      <c r="B12" s="82"/>
      <c r="C12" s="82">
        <v>0.41499999999999998</v>
      </c>
      <c r="D12" s="82">
        <v>11.99</v>
      </c>
      <c r="E12" s="82">
        <v>3.9</v>
      </c>
      <c r="F12" s="82">
        <v>8.48</v>
      </c>
      <c r="G12" s="89"/>
      <c r="H12" s="168"/>
      <c r="I12" s="169"/>
      <c r="K12" s="172"/>
      <c r="L12" s="173"/>
      <c r="M12" s="174"/>
      <c r="N12" s="175"/>
      <c r="O12" s="170"/>
      <c r="T12" s="179" t="s">
        <v>251</v>
      </c>
      <c r="U12" s="208">
        <v>15</v>
      </c>
    </row>
    <row r="13" spans="1:22" ht="13" x14ac:dyDescent="0.3">
      <c r="A13" s="706" t="s">
        <v>177</v>
      </c>
      <c r="B13" s="82"/>
      <c r="C13" s="82">
        <v>0.41699999999999998</v>
      </c>
      <c r="D13" s="82">
        <v>11.78</v>
      </c>
      <c r="E13" s="82">
        <v>3.8</v>
      </c>
      <c r="F13" s="186">
        <v>8.58</v>
      </c>
      <c r="G13" s="89"/>
      <c r="H13" s="440" t="s">
        <v>548</v>
      </c>
      <c r="I13" s="333">
        <f>AVERAGE(D8:D22)</f>
        <v>9.1599999999999984</v>
      </c>
      <c r="K13" s="163"/>
      <c r="L13" s="28"/>
      <c r="M13" s="165"/>
      <c r="N13" s="166"/>
      <c r="O13" s="167"/>
      <c r="T13" s="179" t="s">
        <v>576</v>
      </c>
      <c r="U13" s="540">
        <v>0</v>
      </c>
    </row>
    <row r="14" spans="1:22" ht="13" x14ac:dyDescent="0.3">
      <c r="A14" s="706" t="s">
        <v>509</v>
      </c>
      <c r="B14" s="82"/>
      <c r="C14" s="82">
        <v>0.41899999999999998</v>
      </c>
      <c r="D14" s="82">
        <v>11.53</v>
      </c>
      <c r="E14" s="82">
        <v>3.7</v>
      </c>
      <c r="F14" s="82">
        <v>8.5299999999999994</v>
      </c>
      <c r="G14" s="89"/>
      <c r="H14" s="440" t="s">
        <v>526</v>
      </c>
      <c r="I14" s="333">
        <f>AVERAGE(D8:D11)</f>
        <v>11.379999999999999</v>
      </c>
      <c r="K14" s="163"/>
      <c r="L14" s="11"/>
      <c r="M14" s="165"/>
      <c r="N14" s="166"/>
      <c r="O14" s="170"/>
    </row>
    <row r="15" spans="1:22" ht="13" x14ac:dyDescent="0.3">
      <c r="A15" s="706" t="s">
        <v>178</v>
      </c>
      <c r="B15" s="82"/>
      <c r="C15" s="82">
        <v>0.42799999999999999</v>
      </c>
      <c r="D15" s="82">
        <v>9.83</v>
      </c>
      <c r="E15" s="82">
        <v>3.5</v>
      </c>
      <c r="F15" s="82">
        <v>8.4</v>
      </c>
      <c r="G15" s="89"/>
      <c r="K15" s="172"/>
      <c r="L15" s="173"/>
      <c r="M15" s="174"/>
      <c r="N15" s="175"/>
      <c r="O15" s="170"/>
    </row>
    <row r="16" spans="1:22" ht="13" x14ac:dyDescent="0.3">
      <c r="A16" s="706" t="s">
        <v>179</v>
      </c>
      <c r="B16" s="137"/>
      <c r="C16" s="82">
        <v>0.435</v>
      </c>
      <c r="D16" s="82">
        <v>9</v>
      </c>
      <c r="E16" s="82">
        <v>3.5</v>
      </c>
      <c r="F16" s="82">
        <v>8.23</v>
      </c>
      <c r="G16" s="89"/>
      <c r="H16" s="440" t="s">
        <v>547</v>
      </c>
      <c r="I16" s="333">
        <f>AVERAGE(F8:F20)</f>
        <v>8.2361538461538473</v>
      </c>
      <c r="K16" s="163"/>
      <c r="L16" s="28"/>
      <c r="M16" s="165"/>
      <c r="N16" s="166"/>
      <c r="O16" s="167"/>
    </row>
    <row r="17" spans="1:20" ht="13" x14ac:dyDescent="0.3">
      <c r="A17" s="706" t="s">
        <v>180</v>
      </c>
      <c r="B17" s="137"/>
      <c r="C17" s="82">
        <v>0.44</v>
      </c>
      <c r="D17" s="312">
        <v>7.9</v>
      </c>
      <c r="E17" s="82">
        <v>3.6</v>
      </c>
      <c r="F17" s="82">
        <v>8.0399999999999991</v>
      </c>
      <c r="G17" s="89"/>
      <c r="H17" s="440" t="s">
        <v>546</v>
      </c>
      <c r="I17" s="441">
        <f>AVERAGE(C8:C22)</f>
        <v>0.48253333333333331</v>
      </c>
      <c r="J17" s="169"/>
      <c r="K17" s="163"/>
      <c r="L17" s="11"/>
      <c r="M17" s="165"/>
      <c r="N17" s="166"/>
      <c r="O17" s="170"/>
    </row>
    <row r="18" spans="1:20" ht="13" x14ac:dyDescent="0.3">
      <c r="A18" s="706" t="s">
        <v>181</v>
      </c>
      <c r="B18" s="82"/>
      <c r="C18" s="82">
        <v>0.46700000000000003</v>
      </c>
      <c r="D18" s="312">
        <v>8.2100000000000009</v>
      </c>
      <c r="E18" s="82">
        <v>3.7</v>
      </c>
      <c r="F18" s="82">
        <v>7.92</v>
      </c>
      <c r="G18" s="89"/>
      <c r="I18" s="168"/>
      <c r="J18" s="169"/>
      <c r="K18" s="172"/>
      <c r="L18" s="173"/>
      <c r="M18" s="174"/>
      <c r="N18" s="175"/>
      <c r="O18" s="170"/>
    </row>
    <row r="19" spans="1:20" ht="13" x14ac:dyDescent="0.3">
      <c r="A19" s="706" t="s">
        <v>182</v>
      </c>
      <c r="B19" s="82"/>
      <c r="C19" s="82">
        <v>0.497</v>
      </c>
      <c r="D19" s="312">
        <v>7.8</v>
      </c>
      <c r="E19" s="82">
        <v>3.8</v>
      </c>
      <c r="F19" s="82">
        <v>7.83</v>
      </c>
      <c r="G19" s="89"/>
      <c r="I19" s="168"/>
      <c r="J19" s="169"/>
      <c r="K19" s="172"/>
      <c r="L19" s="173"/>
      <c r="M19" s="174"/>
      <c r="N19" s="175"/>
      <c r="S19" s="149"/>
    </row>
    <row r="20" spans="1:20" ht="13" x14ac:dyDescent="0.3">
      <c r="A20" s="706" t="s">
        <v>183</v>
      </c>
      <c r="B20" s="82"/>
      <c r="C20" s="82">
        <v>0.55700000000000005</v>
      </c>
      <c r="D20" s="312">
        <v>5.8</v>
      </c>
      <c r="E20" s="82">
        <v>4</v>
      </c>
      <c r="F20" s="82">
        <v>7.7</v>
      </c>
      <c r="G20" s="89"/>
      <c r="I20" s="168"/>
      <c r="J20" s="169"/>
      <c r="K20" s="172"/>
      <c r="L20" s="173"/>
      <c r="M20" s="174"/>
      <c r="N20" s="175"/>
      <c r="S20" s="447"/>
      <c r="T20" s="447"/>
    </row>
    <row r="21" spans="1:20" ht="13" x14ac:dyDescent="0.3">
      <c r="A21" s="706" t="s">
        <v>206</v>
      </c>
      <c r="B21" s="82"/>
      <c r="C21" s="82">
        <v>0.71699999999999997</v>
      </c>
      <c r="D21" s="312">
        <v>4.3499999999999996</v>
      </c>
      <c r="E21" s="82">
        <v>4.2</v>
      </c>
      <c r="F21" s="82">
        <v>7.54</v>
      </c>
      <c r="G21" s="89"/>
      <c r="I21" s="168"/>
      <c r="J21" s="169"/>
      <c r="K21" s="172"/>
      <c r="L21" s="173"/>
      <c r="M21" s="174"/>
      <c r="N21" s="175"/>
      <c r="S21" s="86"/>
      <c r="T21" s="86"/>
    </row>
    <row r="22" spans="1:20" ht="13" x14ac:dyDescent="0.3">
      <c r="A22" s="706" t="s">
        <v>207</v>
      </c>
      <c r="B22" s="82"/>
      <c r="C22" s="82">
        <v>0.83</v>
      </c>
      <c r="D22" s="82">
        <v>3.69</v>
      </c>
      <c r="E22" s="82">
        <v>4.4000000000000004</v>
      </c>
      <c r="F22" s="82">
        <v>7.44</v>
      </c>
      <c r="G22" s="89"/>
      <c r="S22" s="86"/>
      <c r="T22" s="86"/>
    </row>
    <row r="23" spans="1:20" ht="13" x14ac:dyDescent="0.3">
      <c r="A23" s="706" t="s">
        <v>209</v>
      </c>
      <c r="B23" s="137">
        <v>4.1666666666666664E-2</v>
      </c>
      <c r="C23" s="82">
        <v>1.49</v>
      </c>
      <c r="D23" s="82">
        <v>9.25</v>
      </c>
      <c r="E23" s="82">
        <v>0.1</v>
      </c>
      <c r="F23" s="186">
        <v>7.96</v>
      </c>
      <c r="G23" s="179"/>
      <c r="H23" s="20"/>
      <c r="S23" s="86"/>
      <c r="T23" s="86"/>
    </row>
    <row r="24" spans="1:20" ht="13" x14ac:dyDescent="0.3">
      <c r="A24" s="306" t="s">
        <v>210</v>
      </c>
      <c r="B24" s="137">
        <v>4.5138888888888888E-2</v>
      </c>
      <c r="C24" s="82">
        <v>1.44</v>
      </c>
      <c r="D24" s="82">
        <v>12.8</v>
      </c>
      <c r="E24" s="82">
        <v>0.1</v>
      </c>
      <c r="F24" s="186">
        <v>8.41</v>
      </c>
      <c r="G24" s="179"/>
      <c r="H24" s="20"/>
      <c r="S24" s="86"/>
      <c r="T24" s="86"/>
    </row>
    <row r="25" spans="1:20" x14ac:dyDescent="0.25">
      <c r="A25" s="125" t="s">
        <v>11</v>
      </c>
      <c r="B25" s="193" t="s">
        <v>891</v>
      </c>
      <c r="C25" s="126"/>
      <c r="D25" s="126"/>
      <c r="E25" s="126"/>
      <c r="F25" s="126"/>
      <c r="G25" s="126"/>
      <c r="S25" s="86"/>
      <c r="T25" s="86"/>
    </row>
    <row r="26" spans="1:20" x14ac:dyDescent="0.25">
      <c r="A26" s="138"/>
      <c r="B26" s="20" t="s">
        <v>892</v>
      </c>
      <c r="D26" s="322"/>
      <c r="E26" s="322"/>
      <c r="F26" s="322"/>
      <c r="G26" s="322"/>
      <c r="S26" s="86"/>
      <c r="T26" s="86"/>
    </row>
    <row r="27" spans="1:20" x14ac:dyDescent="0.25">
      <c r="A27" s="138"/>
      <c r="B27" s="322"/>
      <c r="C27" s="322"/>
      <c r="D27" s="322"/>
      <c r="E27" s="322"/>
      <c r="F27" s="322"/>
      <c r="G27" s="322"/>
      <c r="S27" s="86"/>
      <c r="T27" s="86"/>
    </row>
    <row r="28" spans="1:20" ht="34.5" x14ac:dyDescent="0.25">
      <c r="A28" s="953" t="s">
        <v>127</v>
      </c>
      <c r="B28" s="954"/>
      <c r="C28" s="955"/>
      <c r="D28" s="953" t="s">
        <v>130</v>
      </c>
      <c r="E28" s="954"/>
      <c r="F28" s="955"/>
      <c r="G28" s="956" t="s">
        <v>31</v>
      </c>
      <c r="H28" s="956"/>
      <c r="J28" s="135" t="s">
        <v>187</v>
      </c>
      <c r="K28" s="135" t="s">
        <v>188</v>
      </c>
      <c r="L28" s="136" t="s">
        <v>189</v>
      </c>
      <c r="M28" s="135" t="s">
        <v>190</v>
      </c>
      <c r="N28" s="136" t="s">
        <v>191</v>
      </c>
      <c r="S28" s="86"/>
      <c r="T28" s="86"/>
    </row>
    <row r="29" spans="1:20" ht="15.5" x14ac:dyDescent="0.35">
      <c r="A29" s="518" t="s">
        <v>170</v>
      </c>
      <c r="B29" s="519">
        <v>0.40277777777777773</v>
      </c>
      <c r="C29" s="520">
        <v>0.7</v>
      </c>
      <c r="D29" s="518" t="s">
        <v>170</v>
      </c>
      <c r="E29" s="519">
        <v>0.45763888888888887</v>
      </c>
      <c r="F29" s="521">
        <v>3.96</v>
      </c>
      <c r="G29" s="518" t="s">
        <v>170</v>
      </c>
      <c r="H29" s="519">
        <v>0.52847222222222223</v>
      </c>
      <c r="J29" s="132">
        <v>2</v>
      </c>
      <c r="K29" s="132">
        <v>0.28000000000000003</v>
      </c>
      <c r="L29" s="132">
        <v>1.1000000000000001</v>
      </c>
      <c r="M29" s="132">
        <f>K29*2</f>
        <v>0.56000000000000005</v>
      </c>
      <c r="N29" s="133">
        <f>L29*M29</f>
        <v>0.6160000000000001</v>
      </c>
      <c r="S29" s="86"/>
      <c r="T29" s="86"/>
    </row>
    <row r="30" spans="1:20" ht="15.5" x14ac:dyDescent="0.35">
      <c r="A30" s="518" t="s">
        <v>185</v>
      </c>
      <c r="B30" s="517">
        <v>7</v>
      </c>
      <c r="C30" s="522"/>
      <c r="D30" s="518" t="s">
        <v>185</v>
      </c>
      <c r="E30" s="520">
        <v>19</v>
      </c>
      <c r="F30" s="522"/>
      <c r="G30" s="518" t="s">
        <v>185</v>
      </c>
      <c r="H30" s="520">
        <v>50</v>
      </c>
      <c r="I30" s="705"/>
      <c r="J30" s="132">
        <v>4</v>
      </c>
      <c r="K30" s="132">
        <v>0.75</v>
      </c>
      <c r="L30" s="132">
        <v>1.3</v>
      </c>
      <c r="M30" s="132">
        <f>K30*2</f>
        <v>1.5</v>
      </c>
      <c r="N30" s="133">
        <f>L30*M30</f>
        <v>1.9500000000000002</v>
      </c>
      <c r="S30" s="86"/>
      <c r="T30" s="86"/>
    </row>
    <row r="31" spans="1:20" ht="15.5" x14ac:dyDescent="0.35">
      <c r="A31" s="523" t="s">
        <v>186</v>
      </c>
      <c r="B31" s="957" t="s">
        <v>644</v>
      </c>
      <c r="C31" s="957"/>
      <c r="D31" s="523" t="s">
        <v>186</v>
      </c>
      <c r="E31" s="957" t="s">
        <v>329</v>
      </c>
      <c r="F31" s="957"/>
      <c r="G31" s="523" t="s">
        <v>186</v>
      </c>
      <c r="H31" s="524" t="s">
        <v>644</v>
      </c>
      <c r="J31" s="132">
        <v>6</v>
      </c>
      <c r="K31" s="132">
        <v>0.88</v>
      </c>
      <c r="L31" s="132">
        <v>1.5</v>
      </c>
      <c r="M31" s="132">
        <f>K31*2</f>
        <v>1.76</v>
      </c>
      <c r="N31" s="133">
        <f t="shared" ref="N31:N38" si="0">L31*M31</f>
        <v>2.64</v>
      </c>
    </row>
    <row r="32" spans="1:20" ht="24" x14ac:dyDescent="0.35">
      <c r="A32" s="313" t="s">
        <v>187</v>
      </c>
      <c r="B32" s="313" t="s">
        <v>188</v>
      </c>
      <c r="C32" s="314" t="s">
        <v>189</v>
      </c>
      <c r="D32" s="313" t="s">
        <v>187</v>
      </c>
      <c r="E32" s="313" t="s">
        <v>188</v>
      </c>
      <c r="F32" s="314" t="s">
        <v>189</v>
      </c>
      <c r="G32" s="313" t="s">
        <v>188</v>
      </c>
      <c r="H32" s="314" t="s">
        <v>189</v>
      </c>
      <c r="J32" s="132">
        <v>8</v>
      </c>
      <c r="K32" s="132">
        <v>0.74</v>
      </c>
      <c r="L32" s="132">
        <v>1.1000000000000001</v>
      </c>
      <c r="M32" s="132">
        <f>K32*2</f>
        <v>1.48</v>
      </c>
      <c r="N32" s="133">
        <f t="shared" si="0"/>
        <v>1.6280000000000001</v>
      </c>
    </row>
    <row r="33" spans="1:14" ht="15.5" x14ac:dyDescent="0.35">
      <c r="A33" s="152">
        <v>2</v>
      </c>
      <c r="B33" s="132">
        <v>0.2</v>
      </c>
      <c r="C33" s="132">
        <v>0.1</v>
      </c>
      <c r="D33" s="152">
        <v>2</v>
      </c>
      <c r="E33" s="132">
        <v>0.68</v>
      </c>
      <c r="F33" s="132">
        <v>0.8</v>
      </c>
      <c r="G33" s="947" t="s">
        <v>31</v>
      </c>
      <c r="H33" s="947"/>
      <c r="J33" s="132">
        <v>10</v>
      </c>
      <c r="K33" s="132">
        <v>0.88</v>
      </c>
      <c r="L33" s="132">
        <v>0.8</v>
      </c>
      <c r="M33" s="132">
        <f t="shared" ref="M33:M38" si="1">K33*2</f>
        <v>1.76</v>
      </c>
      <c r="N33" s="133">
        <f t="shared" si="0"/>
        <v>1.4080000000000001</v>
      </c>
    </row>
    <row r="34" spans="1:14" ht="15.5" x14ac:dyDescent="0.35">
      <c r="A34" s="152">
        <v>4</v>
      </c>
      <c r="B34" s="132">
        <v>0.42</v>
      </c>
      <c r="C34" s="132">
        <v>0.4</v>
      </c>
      <c r="D34" s="152">
        <v>4</v>
      </c>
      <c r="E34" s="132">
        <v>0.75</v>
      </c>
      <c r="F34" s="132">
        <v>1.3</v>
      </c>
      <c r="G34" s="132">
        <v>0.14000000000000001</v>
      </c>
      <c r="H34" s="133">
        <v>1.9</v>
      </c>
      <c r="I34" s="444">
        <v>13.3</v>
      </c>
      <c r="J34" s="132">
        <v>12</v>
      </c>
      <c r="K34" s="134">
        <v>0.68</v>
      </c>
      <c r="L34" s="132">
        <v>2.2999999999999998</v>
      </c>
      <c r="M34" s="132">
        <f t="shared" si="1"/>
        <v>1.36</v>
      </c>
      <c r="N34" s="133">
        <f t="shared" si="0"/>
        <v>3.1280000000000001</v>
      </c>
    </row>
    <row r="35" spans="1:14" ht="15.5" x14ac:dyDescent="0.35">
      <c r="A35" s="152">
        <v>6</v>
      </c>
      <c r="B35" s="132">
        <v>0.33</v>
      </c>
      <c r="C35" s="132">
        <v>0.6</v>
      </c>
      <c r="D35" s="331">
        <v>6</v>
      </c>
      <c r="E35" s="132">
        <v>0.88</v>
      </c>
      <c r="F35" s="132">
        <v>1.5</v>
      </c>
      <c r="G35" s="948" t="s">
        <v>196</v>
      </c>
      <c r="H35" s="949"/>
      <c r="I35" s="158"/>
      <c r="J35" s="132">
        <v>14</v>
      </c>
      <c r="K35" s="134">
        <v>0.78</v>
      </c>
      <c r="L35" s="134">
        <v>0.9</v>
      </c>
      <c r="M35" s="132">
        <f t="shared" si="1"/>
        <v>1.56</v>
      </c>
      <c r="N35" s="133">
        <f t="shared" si="0"/>
        <v>1.4040000000000001</v>
      </c>
    </row>
    <row r="36" spans="1:14" ht="15.5" x14ac:dyDescent="0.35">
      <c r="A36" s="152">
        <v>8</v>
      </c>
      <c r="B36" s="132"/>
      <c r="C36" s="132"/>
      <c r="D36" s="152">
        <v>8</v>
      </c>
      <c r="E36" s="132">
        <v>0.74</v>
      </c>
      <c r="F36" s="132">
        <v>1.1000000000000001</v>
      </c>
      <c r="G36" s="132" t="s">
        <v>889</v>
      </c>
      <c r="H36" s="133">
        <v>0.9</v>
      </c>
      <c r="I36" s="444">
        <v>1.04</v>
      </c>
      <c r="J36" s="132">
        <v>16</v>
      </c>
      <c r="K36" s="134">
        <v>0.52</v>
      </c>
      <c r="L36" s="134">
        <v>0.4</v>
      </c>
      <c r="M36" s="132">
        <f>K36*3</f>
        <v>1.56</v>
      </c>
      <c r="N36" s="133">
        <f t="shared" si="0"/>
        <v>0.62400000000000011</v>
      </c>
    </row>
    <row r="37" spans="1:14" ht="15.5" x14ac:dyDescent="0.35">
      <c r="A37" s="152">
        <v>12</v>
      </c>
      <c r="B37" s="132"/>
      <c r="C37" s="132"/>
      <c r="D37" s="152">
        <v>10</v>
      </c>
      <c r="E37" s="132">
        <v>0.88</v>
      </c>
      <c r="F37" s="132">
        <v>0.8</v>
      </c>
      <c r="G37" s="132" t="s">
        <v>197</v>
      </c>
      <c r="H37" s="133"/>
      <c r="I37" s="158"/>
      <c r="J37" s="132">
        <v>18</v>
      </c>
      <c r="K37" s="82"/>
      <c r="L37" s="194"/>
      <c r="M37" s="132">
        <f t="shared" si="1"/>
        <v>0</v>
      </c>
      <c r="N37" s="133">
        <f t="shared" si="0"/>
        <v>0</v>
      </c>
    </row>
    <row r="38" spans="1:14" ht="15.5" x14ac:dyDescent="0.35">
      <c r="A38" s="123"/>
      <c r="B38" s="132"/>
      <c r="C38" s="132"/>
      <c r="D38" s="152">
        <v>12</v>
      </c>
      <c r="E38" s="134">
        <v>0.68</v>
      </c>
      <c r="F38" s="132">
        <v>2.2999999999999998</v>
      </c>
      <c r="G38" s="132" t="s">
        <v>853</v>
      </c>
      <c r="H38" s="133">
        <v>1.1000000000000001</v>
      </c>
      <c r="I38" s="445">
        <v>0.62</v>
      </c>
      <c r="J38" s="132">
        <v>20</v>
      </c>
      <c r="K38" s="132"/>
      <c r="L38" s="132"/>
      <c r="M38" s="132">
        <f t="shared" si="1"/>
        <v>0</v>
      </c>
      <c r="N38" s="133">
        <f t="shared" si="0"/>
        <v>0</v>
      </c>
    </row>
    <row r="39" spans="1:14" ht="15.5" x14ac:dyDescent="0.35">
      <c r="C39" s="443">
        <v>0.97</v>
      </c>
      <c r="D39" s="152">
        <v>14</v>
      </c>
      <c r="E39" s="134">
        <v>0.78</v>
      </c>
      <c r="F39" s="134">
        <v>0.9</v>
      </c>
      <c r="N39" s="6">
        <f>SUM(N29:N38)</f>
        <v>13.398000000000001</v>
      </c>
    </row>
    <row r="40" spans="1:14" ht="15.5" x14ac:dyDescent="0.35">
      <c r="A40" s="319"/>
      <c r="D40" s="152">
        <v>16</v>
      </c>
      <c r="E40" s="134">
        <v>0.52</v>
      </c>
      <c r="F40" s="134">
        <v>0.4</v>
      </c>
    </row>
    <row r="41" spans="1:14" ht="15.5" x14ac:dyDescent="0.35">
      <c r="A41" s="319"/>
      <c r="D41" s="152">
        <v>18</v>
      </c>
      <c r="E41" s="82"/>
      <c r="F41" s="194"/>
    </row>
    <row r="42" spans="1:14" ht="15.5" x14ac:dyDescent="0.35">
      <c r="F42" s="366">
        <v>13.87</v>
      </c>
    </row>
    <row r="43" spans="1:14" ht="14" x14ac:dyDescent="0.3">
      <c r="A43" s="129" t="s">
        <v>211</v>
      </c>
      <c r="C43" s="11" t="s">
        <v>212</v>
      </c>
      <c r="D43" s="148">
        <v>40892</v>
      </c>
    </row>
    <row r="44" spans="1:14" ht="14" x14ac:dyDescent="0.3">
      <c r="A44" s="188" t="s">
        <v>218</v>
      </c>
      <c r="B44" s="188" t="s">
        <v>170</v>
      </c>
      <c r="C44" s="188" t="s">
        <v>171</v>
      </c>
      <c r="D44" s="188" t="s">
        <v>172</v>
      </c>
      <c r="E44" s="188" t="s">
        <v>173</v>
      </c>
      <c r="F44" s="188" t="s">
        <v>174</v>
      </c>
      <c r="G44" s="188" t="s">
        <v>184</v>
      </c>
      <c r="H44" s="189" t="s">
        <v>195</v>
      </c>
    </row>
    <row r="45" spans="1:14" ht="14" x14ac:dyDescent="0.3">
      <c r="A45" s="706" t="s">
        <v>506</v>
      </c>
      <c r="B45" s="137">
        <v>0.49791666666666662</v>
      </c>
      <c r="C45" s="225">
        <v>0.38200000000000001</v>
      </c>
      <c r="D45" s="225">
        <v>11.68</v>
      </c>
      <c r="E45" s="540">
        <v>3.7</v>
      </c>
      <c r="F45" s="225">
        <v>8.1999999999999993</v>
      </c>
      <c r="G45" s="128">
        <v>4</v>
      </c>
      <c r="H45" s="82">
        <v>5</v>
      </c>
    </row>
    <row r="46" spans="1:14" ht="14" x14ac:dyDescent="0.3">
      <c r="A46" s="706" t="s">
        <v>175</v>
      </c>
      <c r="B46" s="82"/>
      <c r="C46" s="225">
        <v>0.4</v>
      </c>
      <c r="D46" s="225">
        <v>11.93</v>
      </c>
      <c r="E46" s="540">
        <v>4.2</v>
      </c>
      <c r="F46" s="225">
        <v>8.1999999999999993</v>
      </c>
      <c r="G46" s="89" t="s">
        <v>893</v>
      </c>
    </row>
    <row r="47" spans="1:14" ht="14" x14ac:dyDescent="0.3">
      <c r="A47" s="706" t="s">
        <v>507</v>
      </c>
      <c r="B47" s="82"/>
      <c r="C47" s="225">
        <v>0.41</v>
      </c>
      <c r="D47" s="225">
        <v>12.12</v>
      </c>
      <c r="E47" s="540">
        <v>4.2</v>
      </c>
      <c r="F47" s="225">
        <v>8.27</v>
      </c>
      <c r="G47" s="89"/>
      <c r="H47" s="176" t="s">
        <v>521</v>
      </c>
      <c r="I47" s="442">
        <f>AVERAGE(E45:E48)</f>
        <v>4</v>
      </c>
    </row>
    <row r="48" spans="1:14" ht="14" x14ac:dyDescent="0.3">
      <c r="A48" s="706" t="s">
        <v>176</v>
      </c>
      <c r="B48" s="82"/>
      <c r="C48" s="429">
        <v>0.41699999999999998</v>
      </c>
      <c r="D48" s="225">
        <v>11.81</v>
      </c>
      <c r="E48" s="540">
        <v>3.9</v>
      </c>
      <c r="F48" s="225">
        <v>8.43</v>
      </c>
      <c r="G48" s="89"/>
      <c r="H48" s="20" t="s">
        <v>599</v>
      </c>
      <c r="I48" s="442">
        <f>AVERAGE(E45:E54)</f>
        <v>3.9111111111111114</v>
      </c>
    </row>
    <row r="49" spans="1:10" ht="14" x14ac:dyDescent="0.3">
      <c r="A49" s="706" t="s">
        <v>508</v>
      </c>
      <c r="B49" s="82"/>
      <c r="C49" s="225">
        <v>0.41799999999999998</v>
      </c>
      <c r="D49" s="225">
        <v>11.55</v>
      </c>
      <c r="E49" s="540">
        <v>3.9</v>
      </c>
      <c r="F49" s="225">
        <v>8.4600000000000009</v>
      </c>
      <c r="G49" s="89"/>
      <c r="H49" s="168"/>
      <c r="I49" s="169"/>
    </row>
    <row r="50" spans="1:10" ht="14" x14ac:dyDescent="0.3">
      <c r="A50" s="706" t="s">
        <v>177</v>
      </c>
      <c r="B50" s="82"/>
      <c r="C50" s="225">
        <v>0.42</v>
      </c>
      <c r="D50" s="225">
        <v>11.34</v>
      </c>
      <c r="E50" s="540">
        <v>3.9</v>
      </c>
      <c r="F50" s="225">
        <v>8.5</v>
      </c>
      <c r="G50" s="89"/>
      <c r="H50" s="440" t="s">
        <v>600</v>
      </c>
      <c r="I50" s="333">
        <f>AVERAGE(D45:D53)</f>
        <v>10.915555555555557</v>
      </c>
    </row>
    <row r="51" spans="1:10" ht="14" x14ac:dyDescent="0.3">
      <c r="A51" s="706" t="s">
        <v>509</v>
      </c>
      <c r="B51" s="82"/>
      <c r="C51" s="225">
        <v>0.42399999999999999</v>
      </c>
      <c r="D51" s="225">
        <v>10.72</v>
      </c>
      <c r="E51" s="540">
        <v>3.6</v>
      </c>
      <c r="F51" s="225">
        <v>8.4499999999999993</v>
      </c>
      <c r="G51" s="89"/>
      <c r="H51" s="440" t="s">
        <v>526</v>
      </c>
      <c r="I51" s="333">
        <f>AVERAGE(D45:D48)</f>
        <v>11.885</v>
      </c>
    </row>
    <row r="52" spans="1:10" ht="14" x14ac:dyDescent="0.3">
      <c r="A52" s="706" t="s">
        <v>178</v>
      </c>
      <c r="B52" s="82"/>
      <c r="C52" s="225">
        <v>0.42599999999999999</v>
      </c>
      <c r="D52" s="225">
        <v>10.86</v>
      </c>
      <c r="E52" s="540">
        <v>3.6</v>
      </c>
      <c r="F52" s="225">
        <v>8.4600000000000009</v>
      </c>
      <c r="G52" s="89"/>
    </row>
    <row r="53" spans="1:10" ht="14" x14ac:dyDescent="0.3">
      <c r="A53" s="706" t="s">
        <v>179</v>
      </c>
      <c r="B53" s="82"/>
      <c r="C53" s="225">
        <v>0.42599999999999999</v>
      </c>
      <c r="D53" s="225">
        <v>6.23</v>
      </c>
      <c r="E53" s="540">
        <v>4.2</v>
      </c>
      <c r="F53" s="225">
        <v>8.0500000000000007</v>
      </c>
      <c r="G53" s="89"/>
    </row>
    <row r="54" spans="1:10" ht="14" x14ac:dyDescent="0.3">
      <c r="A54" s="706" t="s">
        <v>180</v>
      </c>
      <c r="B54" s="82"/>
      <c r="C54" s="225"/>
      <c r="D54" s="225"/>
      <c r="E54" s="540"/>
      <c r="F54" s="225"/>
      <c r="G54" s="89"/>
    </row>
    <row r="55" spans="1:10" ht="14" x14ac:dyDescent="0.3">
      <c r="A55" s="706" t="s">
        <v>181</v>
      </c>
      <c r="B55" s="137"/>
      <c r="C55" s="225"/>
      <c r="D55" s="225"/>
      <c r="E55" s="540"/>
      <c r="F55" s="225"/>
      <c r="G55" s="89"/>
    </row>
    <row r="56" spans="1:10" ht="14" x14ac:dyDescent="0.3">
      <c r="A56" s="706" t="s">
        <v>182</v>
      </c>
      <c r="B56" s="137"/>
      <c r="C56" s="225"/>
      <c r="D56" s="225"/>
      <c r="E56" s="540"/>
      <c r="F56" s="225"/>
      <c r="G56" s="89"/>
    </row>
    <row r="57" spans="1:10" x14ac:dyDescent="0.25">
      <c r="A57" s="82"/>
      <c r="B57" s="82"/>
      <c r="C57" s="82"/>
      <c r="D57" s="82"/>
      <c r="E57" s="82"/>
      <c r="F57" s="82"/>
      <c r="J57" s="6"/>
    </row>
    <row r="58" spans="1:10" ht="14" x14ac:dyDescent="0.3">
      <c r="A58" s="188" t="s">
        <v>219</v>
      </c>
      <c r="B58" s="188" t="s">
        <v>170</v>
      </c>
      <c r="C58" s="188" t="s">
        <v>171</v>
      </c>
      <c r="D58" s="188" t="s">
        <v>172</v>
      </c>
      <c r="E58" s="188" t="s">
        <v>173</v>
      </c>
      <c r="F58" s="188" t="s">
        <v>174</v>
      </c>
      <c r="G58" s="188" t="s">
        <v>184</v>
      </c>
      <c r="H58" s="189" t="s">
        <v>195</v>
      </c>
    </row>
    <row r="59" spans="1:10" ht="14" x14ac:dyDescent="0.3">
      <c r="A59" s="706" t="s">
        <v>506</v>
      </c>
      <c r="B59" s="137">
        <v>0.51041666666666663</v>
      </c>
      <c r="C59" s="540">
        <v>0.38700000000000001</v>
      </c>
      <c r="D59" s="540">
        <v>11.9</v>
      </c>
      <c r="E59" s="225">
        <v>4.3</v>
      </c>
      <c r="F59" s="540">
        <v>8.07</v>
      </c>
      <c r="G59" s="128">
        <v>4</v>
      </c>
      <c r="H59" s="82">
        <v>7.63</v>
      </c>
    </row>
    <row r="60" spans="1:10" ht="14" x14ac:dyDescent="0.3">
      <c r="A60" s="706" t="s">
        <v>175</v>
      </c>
      <c r="B60" s="82"/>
      <c r="C60" s="540">
        <v>0.39900000000000002</v>
      </c>
      <c r="D60" s="540">
        <v>11.44</v>
      </c>
      <c r="E60" s="225">
        <v>4.2</v>
      </c>
      <c r="F60" s="540">
        <v>8.1199999999999992</v>
      </c>
      <c r="G60" s="89" t="s">
        <v>893</v>
      </c>
    </row>
    <row r="61" spans="1:10" ht="14" x14ac:dyDescent="0.3">
      <c r="A61" s="706" t="s">
        <v>507</v>
      </c>
      <c r="B61" s="82"/>
      <c r="C61" s="540">
        <v>0.40200000000000002</v>
      </c>
      <c r="D61" s="540">
        <v>11.45</v>
      </c>
      <c r="E61" s="225">
        <v>4.0999999999999996</v>
      </c>
      <c r="F61" s="540">
        <v>8.15</v>
      </c>
      <c r="G61" s="89"/>
      <c r="H61" s="176" t="s">
        <v>521</v>
      </c>
      <c r="I61" s="442">
        <f>AVERAGE(E59:E62)</f>
        <v>4.1500000000000004</v>
      </c>
    </row>
    <row r="62" spans="1:10" ht="14" x14ac:dyDescent="0.3">
      <c r="A62" s="706" t="s">
        <v>176</v>
      </c>
      <c r="B62" s="82"/>
      <c r="C62" s="540">
        <v>0.41299999999999998</v>
      </c>
      <c r="D62" s="540">
        <v>11.41</v>
      </c>
      <c r="E62" s="225">
        <v>4</v>
      </c>
      <c r="F62" s="540">
        <v>8.2100000000000009</v>
      </c>
      <c r="G62" s="89"/>
      <c r="H62" s="20" t="s">
        <v>601</v>
      </c>
      <c r="I62" s="442">
        <f>AVERAGE(E59:E70)</f>
        <v>3.8818181818181823</v>
      </c>
    </row>
    <row r="63" spans="1:10" ht="14" x14ac:dyDescent="0.3">
      <c r="A63" s="706" t="s">
        <v>508</v>
      </c>
      <c r="B63" s="82"/>
      <c r="C63" s="454">
        <v>0.41599999999999998</v>
      </c>
      <c r="D63" s="454">
        <v>11.52</v>
      </c>
      <c r="E63" s="225">
        <v>3.9</v>
      </c>
      <c r="F63" s="540">
        <v>8.31</v>
      </c>
      <c r="G63" s="89"/>
      <c r="H63" s="168"/>
      <c r="I63" s="169"/>
    </row>
    <row r="64" spans="1:10" ht="14" x14ac:dyDescent="0.3">
      <c r="A64" s="706" t="s">
        <v>177</v>
      </c>
      <c r="B64" s="82"/>
      <c r="C64" s="540">
        <v>0.42499999999999999</v>
      </c>
      <c r="D64" s="540">
        <v>10.77</v>
      </c>
      <c r="E64" s="225">
        <v>3.6</v>
      </c>
      <c r="F64" s="540">
        <v>8.33</v>
      </c>
      <c r="G64" s="89"/>
      <c r="H64" s="440" t="s">
        <v>602</v>
      </c>
      <c r="I64" s="333">
        <f>AVERAGE(D59:D70)</f>
        <v>10.15090909090909</v>
      </c>
    </row>
    <row r="65" spans="1:9" ht="14" x14ac:dyDescent="0.3">
      <c r="A65" s="706" t="s">
        <v>509</v>
      </c>
      <c r="B65" s="82"/>
      <c r="C65" s="540">
        <v>0.42799999999999999</v>
      </c>
      <c r="D65" s="540">
        <v>10.210000000000001</v>
      </c>
      <c r="E65" s="225">
        <v>3.6</v>
      </c>
      <c r="F65" s="540">
        <v>8.23</v>
      </c>
      <c r="G65" s="89"/>
      <c r="H65" s="440" t="s">
        <v>526</v>
      </c>
      <c r="I65" s="333">
        <f>AVERAGE(D59:D62)</f>
        <v>11.55</v>
      </c>
    </row>
    <row r="66" spans="1:9" ht="14" x14ac:dyDescent="0.3">
      <c r="A66" s="706" t="s">
        <v>178</v>
      </c>
      <c r="B66" s="82"/>
      <c r="C66" s="540">
        <v>0.42899999999999999</v>
      </c>
      <c r="D66" s="540">
        <v>9.9</v>
      </c>
      <c r="E66" s="225">
        <v>3.6</v>
      </c>
      <c r="F66" s="540">
        <v>8.11</v>
      </c>
      <c r="G66" s="89"/>
    </row>
    <row r="67" spans="1:9" ht="14" x14ac:dyDescent="0.3">
      <c r="A67" s="706" t="s">
        <v>179</v>
      </c>
      <c r="B67" s="82"/>
      <c r="C67" s="540">
        <v>0.42199999999999999</v>
      </c>
      <c r="D67" s="540">
        <v>9.02</v>
      </c>
      <c r="E67" s="225">
        <v>3.6</v>
      </c>
      <c r="F67" s="540">
        <v>8.0399999999999991</v>
      </c>
      <c r="G67" s="89"/>
    </row>
    <row r="68" spans="1:9" ht="14" x14ac:dyDescent="0.3">
      <c r="A68" s="306" t="s">
        <v>180</v>
      </c>
      <c r="B68" s="137"/>
      <c r="C68" s="540">
        <v>0.437</v>
      </c>
      <c r="D68" s="540">
        <v>7.34</v>
      </c>
      <c r="E68" s="225">
        <v>3.8</v>
      </c>
      <c r="F68" s="540">
        <v>7.93</v>
      </c>
      <c r="G68" s="89"/>
    </row>
    <row r="69" spans="1:9" ht="14" x14ac:dyDescent="0.3">
      <c r="A69" s="306" t="s">
        <v>181</v>
      </c>
      <c r="B69" s="137"/>
      <c r="C69" s="540">
        <v>0.44700000000000001</v>
      </c>
      <c r="D69" s="540">
        <v>6.7</v>
      </c>
      <c r="E69" s="225">
        <v>4</v>
      </c>
      <c r="F69" s="540">
        <v>7.67</v>
      </c>
      <c r="G69" s="89"/>
    </row>
    <row r="70" spans="1:9" ht="14" x14ac:dyDescent="0.3">
      <c r="A70" s="306" t="s">
        <v>182</v>
      </c>
      <c r="B70" s="137"/>
      <c r="C70" s="540"/>
      <c r="D70" s="540"/>
      <c r="E70" s="225"/>
      <c r="F70" s="540"/>
      <c r="G70" s="89"/>
    </row>
    <row r="71" spans="1:9" x14ac:dyDescent="0.25">
      <c r="A71" s="82"/>
      <c r="B71" s="82"/>
      <c r="C71" s="82"/>
      <c r="D71" s="82"/>
      <c r="E71" s="82"/>
      <c r="F71" s="82"/>
    </row>
    <row r="72" spans="1:9" ht="14" x14ac:dyDescent="0.3">
      <c r="A72" s="188" t="s">
        <v>220</v>
      </c>
      <c r="B72" s="188" t="s">
        <v>170</v>
      </c>
      <c r="C72" s="188" t="s">
        <v>171</v>
      </c>
      <c r="D72" s="188" t="s">
        <v>172</v>
      </c>
      <c r="E72" s="188" t="s">
        <v>173</v>
      </c>
      <c r="F72" s="188" t="s">
        <v>174</v>
      </c>
      <c r="G72" s="188" t="s">
        <v>184</v>
      </c>
      <c r="H72" s="189" t="s">
        <v>195</v>
      </c>
    </row>
    <row r="73" spans="1:9" ht="13" x14ac:dyDescent="0.3">
      <c r="A73" s="706" t="s">
        <v>506</v>
      </c>
      <c r="B73" s="137">
        <v>0.42222222222222222</v>
      </c>
      <c r="C73" s="540">
        <v>0.39100000000000001</v>
      </c>
      <c r="D73" s="540">
        <v>12</v>
      </c>
      <c r="E73" s="540">
        <v>3.3</v>
      </c>
      <c r="F73" s="540">
        <v>8.66</v>
      </c>
      <c r="G73" s="128">
        <v>2.84</v>
      </c>
      <c r="H73" s="82">
        <v>2.84</v>
      </c>
    </row>
    <row r="74" spans="1:9" ht="13" x14ac:dyDescent="0.3">
      <c r="A74" s="706" t="s">
        <v>175</v>
      </c>
      <c r="B74" s="82"/>
      <c r="C74" s="540">
        <v>0.39200000000000002</v>
      </c>
      <c r="D74" s="540">
        <v>11.45</v>
      </c>
      <c r="E74" s="540">
        <v>3.6</v>
      </c>
      <c r="F74" s="540">
        <v>8.5399999999999991</v>
      </c>
      <c r="G74" s="89" t="s">
        <v>894</v>
      </c>
    </row>
    <row r="75" spans="1:9" ht="13" x14ac:dyDescent="0.3">
      <c r="A75" s="706" t="s">
        <v>507</v>
      </c>
      <c r="B75" s="82"/>
      <c r="C75" s="540">
        <v>0.39700000000000002</v>
      </c>
      <c r="D75" s="540">
        <v>11.44</v>
      </c>
      <c r="E75" s="540">
        <v>3.9</v>
      </c>
      <c r="F75" s="540">
        <v>8.51</v>
      </c>
      <c r="G75" s="89"/>
      <c r="H75" s="176" t="s">
        <v>521</v>
      </c>
      <c r="I75" s="442">
        <f>AVERAGE(E72:E75)</f>
        <v>3.6</v>
      </c>
    </row>
    <row r="76" spans="1:9" ht="13" x14ac:dyDescent="0.3">
      <c r="A76" s="706" t="s">
        <v>176</v>
      </c>
      <c r="B76" s="82"/>
      <c r="C76" s="540">
        <v>0.40500000000000003</v>
      </c>
      <c r="D76" s="540">
        <v>11.64</v>
      </c>
      <c r="E76" s="540">
        <v>4</v>
      </c>
      <c r="F76" s="540">
        <v>8.48</v>
      </c>
      <c r="G76" s="89"/>
      <c r="H76" s="20" t="s">
        <v>604</v>
      </c>
      <c r="I76" s="442">
        <f>AVERAGE(E72:E82)</f>
        <v>3.7600000000000002</v>
      </c>
    </row>
    <row r="77" spans="1:9" ht="13" x14ac:dyDescent="0.3">
      <c r="A77" s="706" t="s">
        <v>508</v>
      </c>
      <c r="B77" s="82"/>
      <c r="C77" s="540">
        <v>0.41199999999999998</v>
      </c>
      <c r="D77" s="540">
        <v>11.75</v>
      </c>
      <c r="E77" s="540">
        <v>4</v>
      </c>
      <c r="F77" s="540">
        <v>8.52</v>
      </c>
      <c r="G77" s="89"/>
      <c r="H77" s="168"/>
      <c r="I77" s="169"/>
    </row>
    <row r="78" spans="1:9" ht="13" x14ac:dyDescent="0.3">
      <c r="A78" s="706" t="s">
        <v>177</v>
      </c>
      <c r="B78" s="82"/>
      <c r="C78" s="540"/>
      <c r="D78" s="540"/>
      <c r="E78" s="540"/>
      <c r="F78" s="540"/>
      <c r="G78" s="89"/>
      <c r="H78" s="440" t="s">
        <v>603</v>
      </c>
      <c r="I78" s="333">
        <f>AVERAGE(D72:D86)</f>
        <v>11.44875</v>
      </c>
    </row>
    <row r="79" spans="1:9" ht="13" x14ac:dyDescent="0.3">
      <c r="A79" s="706" t="s">
        <v>509</v>
      </c>
      <c r="B79" s="82"/>
      <c r="C79" s="540"/>
      <c r="D79" s="540"/>
      <c r="E79" s="540"/>
      <c r="F79" s="540"/>
      <c r="G79" s="89"/>
      <c r="H79" s="440" t="s">
        <v>526</v>
      </c>
      <c r="I79" s="333">
        <f>AVERAGE(D72:D75)</f>
        <v>11.63</v>
      </c>
    </row>
    <row r="80" spans="1:9" ht="13" x14ac:dyDescent="0.3">
      <c r="A80" s="706" t="s">
        <v>178</v>
      </c>
      <c r="B80" s="82"/>
      <c r="C80" s="540"/>
      <c r="D80" s="540"/>
      <c r="E80" s="540"/>
      <c r="F80" s="540"/>
      <c r="G80" s="89"/>
    </row>
    <row r="81" spans="1:9" ht="13" x14ac:dyDescent="0.3">
      <c r="A81" s="706" t="s">
        <v>179</v>
      </c>
      <c r="B81" s="82"/>
      <c r="C81" s="540"/>
      <c r="D81" s="540"/>
      <c r="E81" s="540"/>
      <c r="F81" s="540"/>
      <c r="G81" s="89"/>
    </row>
    <row r="82" spans="1:9" x14ac:dyDescent="0.25">
      <c r="A82" s="82"/>
      <c r="B82" s="82"/>
      <c r="C82" s="82"/>
      <c r="D82" s="82"/>
      <c r="E82" s="82"/>
      <c r="F82" s="82"/>
    </row>
    <row r="83" spans="1:9" ht="14" x14ac:dyDescent="0.3">
      <c r="A83" s="188" t="s">
        <v>221</v>
      </c>
      <c r="B83" s="188" t="s">
        <v>170</v>
      </c>
      <c r="C83" s="188" t="s">
        <v>171</v>
      </c>
      <c r="D83" s="188" t="s">
        <v>172</v>
      </c>
      <c r="E83" s="188" t="s">
        <v>173</v>
      </c>
      <c r="F83" s="188" t="s">
        <v>174</v>
      </c>
      <c r="G83" s="188" t="s">
        <v>184</v>
      </c>
      <c r="H83" s="189" t="s">
        <v>195</v>
      </c>
    </row>
    <row r="84" spans="1:9" ht="13" x14ac:dyDescent="0.3">
      <c r="A84" s="706" t="s">
        <v>506</v>
      </c>
      <c r="B84" s="137">
        <v>0.43055555555555558</v>
      </c>
      <c r="C84" s="540">
        <v>0.38100000000000001</v>
      </c>
      <c r="D84" s="310">
        <v>10.95</v>
      </c>
      <c r="E84" s="85">
        <v>3.1</v>
      </c>
      <c r="F84" s="310">
        <v>8.2200000000000006</v>
      </c>
      <c r="G84" s="186">
        <v>4.8</v>
      </c>
      <c r="H84" s="82">
        <v>6.16</v>
      </c>
    </row>
    <row r="85" spans="1:9" ht="13" x14ac:dyDescent="0.3">
      <c r="A85" s="706" t="s">
        <v>175</v>
      </c>
      <c r="B85" s="82"/>
      <c r="C85" s="540">
        <v>0.39</v>
      </c>
      <c r="D85" s="310">
        <v>11.13</v>
      </c>
      <c r="E85" s="85">
        <v>3.5</v>
      </c>
      <c r="F85" s="310">
        <v>8.18</v>
      </c>
      <c r="G85" s="89" t="s">
        <v>894</v>
      </c>
    </row>
    <row r="86" spans="1:9" ht="13" x14ac:dyDescent="0.3">
      <c r="A86" s="706" t="s">
        <v>507</v>
      </c>
      <c r="B86" s="82"/>
      <c r="C86" s="540">
        <v>0.4</v>
      </c>
      <c r="D86" s="310">
        <v>11.23</v>
      </c>
      <c r="E86" s="85">
        <v>3.7</v>
      </c>
      <c r="F86" s="310">
        <v>8.17</v>
      </c>
      <c r="G86" s="89"/>
      <c r="H86" s="176" t="s">
        <v>521</v>
      </c>
      <c r="I86" s="442">
        <f>AVERAGE(E84:E87)</f>
        <v>3.5250000000000004</v>
      </c>
    </row>
    <row r="87" spans="1:9" ht="13" x14ac:dyDescent="0.3">
      <c r="A87" s="706" t="s">
        <v>176</v>
      </c>
      <c r="B87" s="82"/>
      <c r="C87" s="540">
        <v>0.41599999999999998</v>
      </c>
      <c r="D87" s="310">
        <v>11.14</v>
      </c>
      <c r="E87" s="85">
        <v>3.8</v>
      </c>
      <c r="F87" s="310">
        <v>8.2200000000000006</v>
      </c>
      <c r="G87" s="89"/>
      <c r="H87" s="20" t="s">
        <v>605</v>
      </c>
      <c r="I87" s="442">
        <f>AVERAGE(E84:E94)</f>
        <v>3.6100000000000003</v>
      </c>
    </row>
    <row r="88" spans="1:9" ht="13" x14ac:dyDescent="0.3">
      <c r="A88" s="706" t="s">
        <v>508</v>
      </c>
      <c r="B88" s="82"/>
      <c r="C88" s="540">
        <v>0.42</v>
      </c>
      <c r="D88" s="310">
        <v>10.66</v>
      </c>
      <c r="E88" s="85">
        <v>3.8</v>
      </c>
      <c r="F88" s="310">
        <v>8.2200000000000006</v>
      </c>
      <c r="G88" s="89"/>
      <c r="H88" s="168"/>
      <c r="I88" s="169"/>
    </row>
    <row r="89" spans="1:9" ht="13" x14ac:dyDescent="0.3">
      <c r="A89" s="706" t="s">
        <v>177</v>
      </c>
      <c r="B89" s="82"/>
      <c r="C89" s="540">
        <v>0.42499999999999999</v>
      </c>
      <c r="D89" s="310">
        <v>9.64</v>
      </c>
      <c r="E89" s="85">
        <v>3.8</v>
      </c>
      <c r="F89" s="310">
        <v>8.15</v>
      </c>
      <c r="G89" s="89"/>
      <c r="H89" s="440" t="s">
        <v>606</v>
      </c>
      <c r="I89" s="333">
        <f>AVERAGE(D84:D94)</f>
        <v>10.063000000000001</v>
      </c>
    </row>
    <row r="90" spans="1:9" ht="13" x14ac:dyDescent="0.3">
      <c r="A90" s="706" t="s">
        <v>509</v>
      </c>
      <c r="B90" s="82"/>
      <c r="C90" s="540">
        <v>0.42499999999999999</v>
      </c>
      <c r="D90" s="310">
        <v>9.6999999999999993</v>
      </c>
      <c r="E90" s="85">
        <v>3.8</v>
      </c>
      <c r="F90" s="310">
        <v>8.1</v>
      </c>
      <c r="G90" s="89"/>
      <c r="H90" s="440" t="s">
        <v>526</v>
      </c>
      <c r="I90" s="333">
        <f>AVERAGE(D84:D87)</f>
        <v>11.112500000000001</v>
      </c>
    </row>
    <row r="91" spans="1:9" ht="13" x14ac:dyDescent="0.3">
      <c r="A91" s="706" t="s">
        <v>178</v>
      </c>
      <c r="B91" s="82"/>
      <c r="C91" s="540">
        <v>0.42599999999999999</v>
      </c>
      <c r="D91" s="310">
        <v>9.51</v>
      </c>
      <c r="E91" s="85">
        <v>3.7</v>
      </c>
      <c r="F91" s="310">
        <v>8.0500000000000007</v>
      </c>
      <c r="G91" s="89"/>
    </row>
    <row r="92" spans="1:9" ht="13" x14ac:dyDescent="0.3">
      <c r="A92" s="706" t="s">
        <v>179</v>
      </c>
      <c r="B92" s="82"/>
      <c r="C92" s="540">
        <v>0.435</v>
      </c>
      <c r="D92" s="310">
        <v>8.1999999999999993</v>
      </c>
      <c r="E92" s="85">
        <v>3.5</v>
      </c>
      <c r="F92" s="310">
        <v>7.97</v>
      </c>
      <c r="G92" s="89"/>
    </row>
    <row r="93" spans="1:9" ht="13" x14ac:dyDescent="0.3">
      <c r="A93" s="706" t="s">
        <v>180</v>
      </c>
      <c r="B93" s="82"/>
      <c r="C93" s="540">
        <v>0.44400000000000001</v>
      </c>
      <c r="D93" s="310">
        <v>8.4700000000000006</v>
      </c>
      <c r="E93" s="85">
        <v>3.4</v>
      </c>
      <c r="F93" s="310">
        <v>7.88</v>
      </c>
    </row>
    <row r="94" spans="1:9" ht="14" x14ac:dyDescent="0.3">
      <c r="A94" s="706" t="s">
        <v>181</v>
      </c>
      <c r="B94" s="412"/>
      <c r="C94" s="412"/>
      <c r="D94" s="412"/>
      <c r="E94" s="412"/>
      <c r="F94" s="412"/>
      <c r="G94" s="411"/>
      <c r="H94" s="124"/>
    </row>
    <row r="95" spans="1:9" ht="13" x14ac:dyDescent="0.3">
      <c r="A95" s="706" t="s">
        <v>182</v>
      </c>
      <c r="B95" s="186"/>
      <c r="C95" s="186"/>
      <c r="D95" s="186"/>
      <c r="E95" s="186"/>
      <c r="F95" s="186"/>
      <c r="G95" s="86"/>
      <c r="H95" s="86"/>
    </row>
  </sheetData>
  <mergeCells count="7">
    <mergeCell ref="G35:H35"/>
    <mergeCell ref="A28:C28"/>
    <mergeCell ref="D28:F28"/>
    <mergeCell ref="G28:H28"/>
    <mergeCell ref="B31:C31"/>
    <mergeCell ref="E31:F31"/>
    <mergeCell ref="G33:H33"/>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X67"/>
  <sheetViews>
    <sheetView topLeftCell="L1" workbookViewId="0">
      <selection activeCell="P24" sqref="P24"/>
    </sheetView>
  </sheetViews>
  <sheetFormatPr defaultRowHeight="12.5" x14ac:dyDescent="0.25"/>
  <cols>
    <col min="1" max="1" width="20.90625" bestFit="1" customWidth="1"/>
    <col min="3" max="3" width="13.36328125" customWidth="1"/>
    <col min="4" max="4" width="13.90625" bestFit="1" customWidth="1"/>
    <col min="5" max="5" width="5.54296875" bestFit="1" customWidth="1"/>
    <col min="6" max="6" width="8.54296875" bestFit="1" customWidth="1"/>
    <col min="7" max="7" width="24.6328125" bestFit="1" customWidth="1"/>
    <col min="9" max="9" width="20" bestFit="1" customWidth="1"/>
    <col min="10" max="10" width="8.6328125" bestFit="1" customWidth="1"/>
    <col min="11" max="11" width="12.54296875" bestFit="1" customWidth="1"/>
    <col min="12" max="12" width="11" customWidth="1"/>
    <col min="13" max="13" width="12.08984375" bestFit="1" customWidth="1"/>
    <col min="14" max="14" width="7.08984375" bestFit="1" customWidth="1"/>
    <col min="15" max="15" width="9.36328125" bestFit="1" customWidth="1"/>
    <col min="16" max="17" width="11.08984375" bestFit="1" customWidth="1"/>
    <col min="18" max="18" width="11.08984375" customWidth="1"/>
    <col min="19" max="19" width="20" bestFit="1" customWidth="1"/>
    <col min="21" max="21" width="6.90625" bestFit="1" customWidth="1"/>
    <col min="22" max="22" width="4.90625" bestFit="1" customWidth="1"/>
    <col min="23" max="23" width="6.90625" bestFit="1" customWidth="1"/>
    <col min="24" max="24" width="6" bestFit="1" customWidth="1"/>
    <col min="26" max="26" width="16.36328125" bestFit="1" customWidth="1"/>
  </cols>
  <sheetData>
    <row r="1" spans="1:24" x14ac:dyDescent="0.25">
      <c r="A1" t="s">
        <v>332</v>
      </c>
      <c r="B1" s="148" t="s">
        <v>699</v>
      </c>
      <c r="L1" t="s">
        <v>742</v>
      </c>
      <c r="M1">
        <f>0.25*0.3261</f>
        <v>8.1525E-2</v>
      </c>
      <c r="N1">
        <v>0.05</v>
      </c>
    </row>
    <row r="2" spans="1:24" x14ac:dyDescent="0.25">
      <c r="A2" s="961" t="s">
        <v>354</v>
      </c>
      <c r="B2" s="959" t="s">
        <v>353</v>
      </c>
      <c r="C2" s="959" t="s">
        <v>356</v>
      </c>
      <c r="D2" s="959" t="s">
        <v>357</v>
      </c>
      <c r="E2" s="82"/>
      <c r="F2" s="82" t="s">
        <v>365</v>
      </c>
      <c r="G2" s="959" t="s">
        <v>11</v>
      </c>
      <c r="I2" s="89"/>
      <c r="J2" s="89"/>
      <c r="K2" s="345" t="s">
        <v>395</v>
      </c>
      <c r="L2" s="89"/>
      <c r="M2" s="89">
        <v>0.02</v>
      </c>
      <c r="N2" s="89"/>
      <c r="O2" s="89"/>
      <c r="P2" s="82">
        <v>2011</v>
      </c>
      <c r="Q2" s="82">
        <v>2010</v>
      </c>
    </row>
    <row r="3" spans="1:24" x14ac:dyDescent="0.25">
      <c r="A3" s="962"/>
      <c r="B3" s="960"/>
      <c r="C3" s="960"/>
      <c r="D3" s="960"/>
      <c r="E3" s="82" t="s">
        <v>170</v>
      </c>
      <c r="F3" s="82" t="s">
        <v>745</v>
      </c>
      <c r="G3" s="960"/>
      <c r="I3" s="961" t="s">
        <v>354</v>
      </c>
      <c r="J3" s="968"/>
      <c r="K3" s="973" t="s">
        <v>77</v>
      </c>
      <c r="L3" s="974"/>
      <c r="M3" s="599"/>
      <c r="N3" s="598" t="s">
        <v>743</v>
      </c>
      <c r="O3" s="82" t="s">
        <v>744</v>
      </c>
      <c r="P3" s="612" t="s">
        <v>396</v>
      </c>
      <c r="Q3" s="612" t="s">
        <v>396</v>
      </c>
      <c r="R3" s="613"/>
      <c r="S3" s="963" t="s">
        <v>354</v>
      </c>
      <c r="T3" s="965"/>
      <c r="U3" s="911">
        <v>2010</v>
      </c>
      <c r="V3" s="911"/>
      <c r="W3" s="911">
        <v>2011</v>
      </c>
      <c r="X3" s="911"/>
    </row>
    <row r="4" spans="1:24" x14ac:dyDescent="0.25">
      <c r="A4" s="961" t="s">
        <v>333</v>
      </c>
      <c r="B4" s="82" t="s">
        <v>334</v>
      </c>
      <c r="C4" s="82" t="s">
        <v>355</v>
      </c>
      <c r="D4" s="82" t="s">
        <v>358</v>
      </c>
      <c r="E4" s="137">
        <v>0.4375</v>
      </c>
      <c r="F4" s="526">
        <v>0.5</v>
      </c>
      <c r="G4" s="82" t="s">
        <v>697</v>
      </c>
      <c r="I4" s="962"/>
      <c r="J4" s="969"/>
      <c r="K4" s="82" t="s">
        <v>393</v>
      </c>
      <c r="L4" s="179" t="s">
        <v>394</v>
      </c>
      <c r="M4" s="82" t="s">
        <v>702</v>
      </c>
      <c r="N4" s="82" t="s">
        <v>702</v>
      </c>
      <c r="O4" s="82" t="s">
        <v>702</v>
      </c>
      <c r="P4" s="309" t="s">
        <v>397</v>
      </c>
      <c r="Q4" s="309" t="s">
        <v>397</v>
      </c>
      <c r="S4" s="964"/>
      <c r="T4" s="966"/>
      <c r="U4" s="274" t="s">
        <v>405</v>
      </c>
      <c r="V4" s="267" t="s">
        <v>727</v>
      </c>
      <c r="W4" s="274" t="s">
        <v>405</v>
      </c>
      <c r="X4" s="267" t="s">
        <v>727</v>
      </c>
    </row>
    <row r="5" spans="1:24" x14ac:dyDescent="0.25">
      <c r="A5" s="967"/>
      <c r="B5" s="82" t="s">
        <v>335</v>
      </c>
      <c r="C5" s="82" t="s">
        <v>359</v>
      </c>
      <c r="D5" s="82" t="s">
        <v>360</v>
      </c>
      <c r="E5" s="137">
        <v>0.44444444444444442</v>
      </c>
      <c r="F5" s="526">
        <v>0.5</v>
      </c>
      <c r="G5" s="82" t="s">
        <v>392</v>
      </c>
      <c r="I5" s="961" t="s">
        <v>333</v>
      </c>
      <c r="J5" s="320" t="s">
        <v>334</v>
      </c>
      <c r="K5" s="82">
        <v>4.9386999999999999</v>
      </c>
      <c r="L5" s="82">
        <f>K5/1000</f>
        <v>4.9386999999999999E-3</v>
      </c>
      <c r="M5" s="82">
        <v>1.91</v>
      </c>
      <c r="N5" s="82">
        <f>M5-0.08</f>
        <v>1.8299999999999998</v>
      </c>
      <c r="O5" s="614">
        <f>N5*0.3261</f>
        <v>0.59676299999999993</v>
      </c>
      <c r="P5" s="312">
        <f>O5*($M$2/$L5)</f>
        <v>2.4166805029663672</v>
      </c>
      <c r="Q5" s="312">
        <v>2.6370406543767548</v>
      </c>
      <c r="R5" s="6"/>
      <c r="S5" s="961" t="s">
        <v>333</v>
      </c>
      <c r="T5" s="320" t="s">
        <v>334</v>
      </c>
      <c r="U5" s="82">
        <v>9.1999999999999993</v>
      </c>
      <c r="V5" s="80">
        <v>90.77</v>
      </c>
      <c r="W5" s="353">
        <v>0.47</v>
      </c>
      <c r="X5" s="82">
        <v>99.86</v>
      </c>
    </row>
    <row r="6" spans="1:24" x14ac:dyDescent="0.25">
      <c r="A6" s="967"/>
      <c r="B6" s="82" t="s">
        <v>336</v>
      </c>
      <c r="C6" s="82" t="s">
        <v>361</v>
      </c>
      <c r="D6" s="82" t="s">
        <v>362</v>
      </c>
      <c r="E6" s="137">
        <v>0.45</v>
      </c>
      <c r="F6" s="526">
        <v>0.5</v>
      </c>
      <c r="G6" s="82" t="s">
        <v>698</v>
      </c>
      <c r="I6" s="967"/>
      <c r="J6" s="320" t="s">
        <v>335</v>
      </c>
      <c r="K6" s="82">
        <v>4.3837999999999999</v>
      </c>
      <c r="L6" s="82">
        <f t="shared" ref="L6:L21" si="0">K6/1000</f>
        <v>4.3838000000000002E-3</v>
      </c>
      <c r="M6" s="82">
        <v>3.02</v>
      </c>
      <c r="N6" s="82">
        <f t="shared" ref="N6:N12" si="1">M6-0.08</f>
        <v>2.94</v>
      </c>
      <c r="O6" s="614">
        <f t="shared" ref="O6:O21" si="2">N6*0.3261</f>
        <v>0.95873399999999998</v>
      </c>
      <c r="P6" s="312">
        <f t="shared" ref="P6:P21" si="3">O6*($M$2/$L6)</f>
        <v>4.3739860395091013</v>
      </c>
      <c r="Q6" s="312">
        <v>6.4286420729898124</v>
      </c>
      <c r="R6" s="6"/>
      <c r="S6" s="967"/>
      <c r="T6" s="320" t="s">
        <v>335</v>
      </c>
      <c r="U6" s="82">
        <v>12</v>
      </c>
      <c r="V6" s="80">
        <v>88.02</v>
      </c>
      <c r="W6" s="82">
        <v>12.11</v>
      </c>
      <c r="X6" s="82">
        <v>60.71</v>
      </c>
    </row>
    <row r="7" spans="1:24" x14ac:dyDescent="0.25">
      <c r="A7" s="967"/>
      <c r="B7" s="82" t="s">
        <v>337</v>
      </c>
      <c r="C7" s="82" t="s">
        <v>363</v>
      </c>
      <c r="D7" s="82" t="s">
        <v>364</v>
      </c>
      <c r="E7" s="137">
        <v>0.45277777777777778</v>
      </c>
      <c r="F7" s="526">
        <v>0.5</v>
      </c>
      <c r="G7" s="82" t="s">
        <v>392</v>
      </c>
      <c r="I7" s="967"/>
      <c r="J7" s="320" t="s">
        <v>336</v>
      </c>
      <c r="K7" s="82">
        <v>4.3564999999999996</v>
      </c>
      <c r="L7" s="82">
        <f t="shared" si="0"/>
        <v>4.3564999999999993E-3</v>
      </c>
      <c r="M7" s="82">
        <v>4.16</v>
      </c>
      <c r="N7" s="82">
        <f t="shared" si="1"/>
        <v>4.08</v>
      </c>
      <c r="O7" s="614">
        <f t="shared" si="2"/>
        <v>1.3304880000000001</v>
      </c>
      <c r="P7" s="312">
        <f t="shared" si="3"/>
        <v>6.1080592218524057</v>
      </c>
      <c r="Q7" s="312">
        <v>4.1211823868514657</v>
      </c>
      <c r="R7" s="6"/>
      <c r="S7" s="967"/>
      <c r="T7" s="320" t="s">
        <v>336</v>
      </c>
      <c r="U7" s="82">
        <v>10.7</v>
      </c>
      <c r="V7" s="80">
        <v>89.3</v>
      </c>
      <c r="W7" s="82">
        <v>10.72</v>
      </c>
      <c r="X7" s="82">
        <v>45.92</v>
      </c>
    </row>
    <row r="8" spans="1:24" x14ac:dyDescent="0.25">
      <c r="A8" s="967"/>
      <c r="B8" s="82" t="s">
        <v>338</v>
      </c>
      <c r="C8" s="82" t="s">
        <v>366</v>
      </c>
      <c r="D8" s="82" t="s">
        <v>367</v>
      </c>
      <c r="E8" s="137">
        <v>0.46180555555555558</v>
      </c>
      <c r="F8" s="526">
        <v>0.5</v>
      </c>
      <c r="G8" s="82" t="s">
        <v>698</v>
      </c>
      <c r="I8" s="967"/>
      <c r="J8" s="320" t="s">
        <v>337</v>
      </c>
      <c r="K8" s="186">
        <v>4.7683</v>
      </c>
      <c r="L8" s="82">
        <f t="shared" si="0"/>
        <v>4.7682999999999996E-3</v>
      </c>
      <c r="M8" s="82">
        <v>2.09</v>
      </c>
      <c r="N8" s="82">
        <f t="shared" si="1"/>
        <v>2.0099999999999998</v>
      </c>
      <c r="O8" s="614">
        <f t="shared" si="2"/>
        <v>0.65546099999999996</v>
      </c>
      <c r="P8" s="312">
        <f t="shared" si="3"/>
        <v>2.7492439653545286</v>
      </c>
      <c r="Q8" s="312">
        <v>5.3199349785724852</v>
      </c>
      <c r="R8" s="6"/>
      <c r="S8" s="967"/>
      <c r="T8" s="320" t="s">
        <v>337</v>
      </c>
      <c r="U8" s="82">
        <v>9.5</v>
      </c>
      <c r="V8" s="80">
        <v>90.5</v>
      </c>
      <c r="W8" s="82">
        <v>10.78</v>
      </c>
      <c r="X8" s="82">
        <v>31.17</v>
      </c>
    </row>
    <row r="9" spans="1:24" x14ac:dyDescent="0.25">
      <c r="A9" s="962"/>
      <c r="B9" s="82" t="s">
        <v>339</v>
      </c>
      <c r="C9" s="82" t="s">
        <v>370</v>
      </c>
      <c r="D9" s="82" t="s">
        <v>371</v>
      </c>
      <c r="E9" s="137">
        <v>0.46875</v>
      </c>
      <c r="F9" s="526">
        <v>0.5</v>
      </c>
      <c r="G9" s="82" t="s">
        <v>392</v>
      </c>
      <c r="I9" s="967"/>
      <c r="J9" s="320" t="s">
        <v>338</v>
      </c>
      <c r="K9" s="186">
        <v>4.5343999999999998</v>
      </c>
      <c r="L9" s="82">
        <f t="shared" si="0"/>
        <v>4.5344000000000001E-3</v>
      </c>
      <c r="M9" s="312">
        <v>3.7</v>
      </c>
      <c r="N9" s="82">
        <f t="shared" si="1"/>
        <v>3.62</v>
      </c>
      <c r="O9" s="614">
        <f t="shared" si="2"/>
        <v>1.180482</v>
      </c>
      <c r="P9" s="312">
        <f t="shared" si="3"/>
        <v>5.2067836979534228</v>
      </c>
      <c r="Q9" s="312">
        <v>3.5015041672831289</v>
      </c>
      <c r="R9" s="6"/>
      <c r="S9" s="967"/>
      <c r="T9" s="320" t="s">
        <v>338</v>
      </c>
      <c r="U9" s="82">
        <v>10</v>
      </c>
      <c r="V9" s="80">
        <v>90</v>
      </c>
      <c r="W9" s="82">
        <v>3.55</v>
      </c>
      <c r="X9" s="82">
        <v>88.11</v>
      </c>
    </row>
    <row r="10" spans="1:24" x14ac:dyDescent="0.25">
      <c r="A10" s="961" t="s">
        <v>340</v>
      </c>
      <c r="B10" s="82" t="s">
        <v>341</v>
      </c>
      <c r="C10" s="82" t="s">
        <v>368</v>
      </c>
      <c r="D10" s="82" t="s">
        <v>369</v>
      </c>
      <c r="E10" s="137">
        <v>0.47916666666666669</v>
      </c>
      <c r="F10" s="526">
        <v>0.5</v>
      </c>
      <c r="G10" s="82" t="s">
        <v>392</v>
      </c>
      <c r="I10" s="962"/>
      <c r="J10" s="320" t="s">
        <v>339</v>
      </c>
      <c r="K10" s="186">
        <v>4.0572999999999997</v>
      </c>
      <c r="L10" s="82">
        <f t="shared" si="0"/>
        <v>4.0572999999999998E-3</v>
      </c>
      <c r="M10" s="82">
        <v>0.75</v>
      </c>
      <c r="N10" s="82">
        <f t="shared" si="1"/>
        <v>0.67</v>
      </c>
      <c r="O10" s="614">
        <f t="shared" si="2"/>
        <v>0.21848700000000001</v>
      </c>
      <c r="P10" s="312">
        <f t="shared" si="3"/>
        <v>1.0770068764942204</v>
      </c>
      <c r="Q10" s="312">
        <v>4.0864126778461616</v>
      </c>
      <c r="R10" s="6"/>
      <c r="S10" s="962"/>
      <c r="T10" s="320" t="s">
        <v>339</v>
      </c>
      <c r="U10" s="82">
        <v>10</v>
      </c>
      <c r="V10" s="80">
        <v>90</v>
      </c>
      <c r="W10" s="82">
        <v>9.59</v>
      </c>
      <c r="X10" s="82">
        <v>40.130000000000003</v>
      </c>
    </row>
    <row r="11" spans="1:24" x14ac:dyDescent="0.25">
      <c r="A11" s="967"/>
      <c r="B11" s="82" t="s">
        <v>342</v>
      </c>
      <c r="C11" s="82" t="s">
        <v>372</v>
      </c>
      <c r="D11" s="82" t="s">
        <v>373</v>
      </c>
      <c r="E11" s="137">
        <v>0.48958333333333331</v>
      </c>
      <c r="F11" s="526">
        <v>0.5</v>
      </c>
      <c r="G11" s="82" t="s">
        <v>698</v>
      </c>
      <c r="I11" s="961" t="s">
        <v>340</v>
      </c>
      <c r="J11" s="320" t="s">
        <v>341</v>
      </c>
      <c r="K11" s="82">
        <v>4.2098000000000004</v>
      </c>
      <c r="L11" s="82">
        <f t="shared" si="0"/>
        <v>4.2098000000000005E-3</v>
      </c>
      <c r="M11" s="82">
        <v>2.75</v>
      </c>
      <c r="N11" s="82">
        <f t="shared" si="1"/>
        <v>2.67</v>
      </c>
      <c r="O11" s="614">
        <f t="shared" si="2"/>
        <v>0.87068699999999999</v>
      </c>
      <c r="P11" s="312">
        <f t="shared" si="3"/>
        <v>4.1364767922466621</v>
      </c>
      <c r="Q11" s="312">
        <v>5.3938754995464242</v>
      </c>
      <c r="R11" s="6"/>
      <c r="S11" s="961" t="s">
        <v>340</v>
      </c>
      <c r="T11" s="320" t="s">
        <v>341</v>
      </c>
      <c r="U11" s="82">
        <v>9.4499999999999993</v>
      </c>
      <c r="V11" s="80">
        <v>90.6</v>
      </c>
      <c r="W11" s="82">
        <v>2.89</v>
      </c>
      <c r="X11" s="82">
        <v>80.349999999999994</v>
      </c>
    </row>
    <row r="12" spans="1:24" x14ac:dyDescent="0.25">
      <c r="A12" s="967"/>
      <c r="B12" s="82" t="s">
        <v>343</v>
      </c>
      <c r="C12" s="82" t="s">
        <v>374</v>
      </c>
      <c r="D12" s="82" t="s">
        <v>375</v>
      </c>
      <c r="E12" s="137">
        <v>0.375</v>
      </c>
      <c r="F12" s="526">
        <v>0.5</v>
      </c>
      <c r="G12" s="82" t="s">
        <v>698</v>
      </c>
      <c r="I12" s="967"/>
      <c r="J12" s="320" t="s">
        <v>342</v>
      </c>
      <c r="K12" s="82">
        <v>4.4009999999999998</v>
      </c>
      <c r="L12" s="82">
        <f t="shared" si="0"/>
        <v>4.4009999999999995E-3</v>
      </c>
      <c r="M12" s="82">
        <v>2.37</v>
      </c>
      <c r="N12" s="82">
        <f t="shared" si="1"/>
        <v>2.29</v>
      </c>
      <c r="O12" s="614">
        <f t="shared" si="2"/>
        <v>0.74676900000000002</v>
      </c>
      <c r="P12" s="312">
        <f t="shared" si="3"/>
        <v>3.3936332651670083</v>
      </c>
      <c r="Q12" s="312">
        <v>7.4663283232480975</v>
      </c>
      <c r="R12" s="6"/>
      <c r="S12" s="967"/>
      <c r="T12" s="320" t="s">
        <v>342</v>
      </c>
      <c r="U12" s="82">
        <v>11</v>
      </c>
      <c r="V12" s="80">
        <v>89</v>
      </c>
      <c r="W12" s="82">
        <v>11.87</v>
      </c>
      <c r="X12" s="82">
        <v>31.66</v>
      </c>
    </row>
    <row r="13" spans="1:24" x14ac:dyDescent="0.25">
      <c r="A13" s="967"/>
      <c r="B13" s="82" t="s">
        <v>344</v>
      </c>
      <c r="C13" s="82" t="s">
        <v>376</v>
      </c>
      <c r="D13" s="82" t="s">
        <v>377</v>
      </c>
      <c r="E13" s="137">
        <v>0.38055555555555554</v>
      </c>
      <c r="F13" s="526">
        <v>0.5</v>
      </c>
      <c r="G13" s="82" t="s">
        <v>392</v>
      </c>
      <c r="I13" s="967"/>
      <c r="J13" s="320" t="s">
        <v>343</v>
      </c>
      <c r="K13" s="82">
        <v>4.0877999999999997</v>
      </c>
      <c r="L13" s="82">
        <f t="shared" si="0"/>
        <v>4.0877999999999999E-3</v>
      </c>
      <c r="M13" s="82">
        <v>0.24</v>
      </c>
      <c r="N13" s="82">
        <f>(M13*10)-0.05</f>
        <v>2.35</v>
      </c>
      <c r="O13" s="614">
        <f>N13</f>
        <v>2.35</v>
      </c>
      <c r="P13" s="312">
        <f t="shared" si="3"/>
        <v>11.49762708547385</v>
      </c>
      <c r="Q13" s="312">
        <v>6.2458504438488198</v>
      </c>
      <c r="R13" s="6"/>
      <c r="S13" s="967"/>
      <c r="T13" s="320" t="s">
        <v>343</v>
      </c>
      <c r="U13" s="82">
        <v>11.7</v>
      </c>
      <c r="V13" s="80">
        <v>88.3</v>
      </c>
      <c r="W13" s="82">
        <v>10.7</v>
      </c>
      <c r="X13" s="82">
        <v>38.56</v>
      </c>
    </row>
    <row r="14" spans="1:24" x14ac:dyDescent="0.25">
      <c r="A14" s="962"/>
      <c r="B14" s="82" t="s">
        <v>345</v>
      </c>
      <c r="C14" s="82" t="s">
        <v>378</v>
      </c>
      <c r="D14" s="82" t="s">
        <v>379</v>
      </c>
      <c r="E14" s="137">
        <v>0.39027777777777778</v>
      </c>
      <c r="F14" s="526">
        <v>0.5</v>
      </c>
      <c r="G14" s="82" t="s">
        <v>698</v>
      </c>
      <c r="I14" s="967"/>
      <c r="J14" s="320" t="s">
        <v>344</v>
      </c>
      <c r="K14" s="82">
        <v>3.9971999999999999</v>
      </c>
      <c r="L14" s="82">
        <f t="shared" si="0"/>
        <v>3.9972000000000002E-3</v>
      </c>
      <c r="M14" s="82">
        <v>1.43</v>
      </c>
      <c r="N14" s="82">
        <f>M14-0.08</f>
        <v>1.3499999999999999</v>
      </c>
      <c r="O14" s="614">
        <f t="shared" si="2"/>
        <v>0.44023499999999993</v>
      </c>
      <c r="P14" s="312">
        <f t="shared" si="3"/>
        <v>2.2027169018312818</v>
      </c>
      <c r="Q14" s="312">
        <v>3.1283605435526449</v>
      </c>
      <c r="R14" s="6"/>
      <c r="S14" s="967"/>
      <c r="T14" s="320" t="s">
        <v>344</v>
      </c>
      <c r="U14" s="82">
        <v>12.8</v>
      </c>
      <c r="V14" s="80">
        <v>87.2</v>
      </c>
      <c r="W14" s="82">
        <v>10.44</v>
      </c>
      <c r="X14" s="82">
        <v>56.14</v>
      </c>
    </row>
    <row r="15" spans="1:24" x14ac:dyDescent="0.25">
      <c r="A15" s="961" t="s">
        <v>346</v>
      </c>
      <c r="B15" s="82" t="s">
        <v>347</v>
      </c>
      <c r="C15" s="82" t="s">
        <v>380</v>
      </c>
      <c r="D15" s="82" t="s">
        <v>381</v>
      </c>
      <c r="E15" s="137">
        <v>0.46180555555555558</v>
      </c>
      <c r="F15" s="526">
        <v>0.5</v>
      </c>
      <c r="G15" s="82" t="s">
        <v>698</v>
      </c>
      <c r="I15" s="962"/>
      <c r="J15" s="320" t="s">
        <v>345</v>
      </c>
      <c r="K15" s="82">
        <v>4.0591999999999997</v>
      </c>
      <c r="L15" s="82">
        <f t="shared" si="0"/>
        <v>4.0591999999999998E-3</v>
      </c>
      <c r="M15" s="82">
        <v>4.3499999999999996</v>
      </c>
      <c r="N15" s="82">
        <f t="shared" ref="N15:N21" si="4">M15-0.08</f>
        <v>4.2699999999999996</v>
      </c>
      <c r="O15" s="614">
        <f t="shared" si="2"/>
        <v>1.3924469999999998</v>
      </c>
      <c r="P15" s="312">
        <f t="shared" si="3"/>
        <v>6.8606966890027588</v>
      </c>
      <c r="Q15" s="312">
        <v>7.7125842038465304</v>
      </c>
      <c r="R15" s="6"/>
      <c r="S15" s="962"/>
      <c r="T15" s="320" t="s">
        <v>345</v>
      </c>
      <c r="U15" s="82">
        <v>11.5</v>
      </c>
      <c r="V15" s="80">
        <v>88.5</v>
      </c>
      <c r="W15" s="82">
        <v>9.5399999999999991</v>
      </c>
      <c r="X15" s="82">
        <v>37.53</v>
      </c>
    </row>
    <row r="16" spans="1:24" x14ac:dyDescent="0.25">
      <c r="A16" s="967"/>
      <c r="B16" s="82" t="s">
        <v>348</v>
      </c>
      <c r="C16" s="82" t="s">
        <v>382</v>
      </c>
      <c r="D16" s="82" t="s">
        <v>383</v>
      </c>
      <c r="E16" s="137">
        <v>0.44930555555555557</v>
      </c>
      <c r="F16" s="526">
        <v>0.5</v>
      </c>
      <c r="G16" s="82" t="s">
        <v>698</v>
      </c>
      <c r="I16" s="961" t="s">
        <v>346</v>
      </c>
      <c r="J16" s="320" t="s">
        <v>347</v>
      </c>
      <c r="K16" s="82">
        <v>4.4057000000000004</v>
      </c>
      <c r="L16" s="82">
        <f t="shared" si="0"/>
        <v>4.4057000000000002E-3</v>
      </c>
      <c r="M16" s="82">
        <v>0.43</v>
      </c>
      <c r="N16" s="82">
        <f t="shared" si="4"/>
        <v>0.35</v>
      </c>
      <c r="O16" s="614">
        <f t="shared" si="2"/>
        <v>0.11413499999999999</v>
      </c>
      <c r="P16" s="312">
        <f t="shared" si="3"/>
        <v>0.51812424813310021</v>
      </c>
      <c r="Q16" s="312">
        <v>2.6890920647337797</v>
      </c>
      <c r="R16" s="6"/>
      <c r="S16" s="961" t="s">
        <v>346</v>
      </c>
      <c r="T16" s="320" t="s">
        <v>347</v>
      </c>
      <c r="U16" s="82">
        <v>11.2</v>
      </c>
      <c r="V16" s="80">
        <v>88.8</v>
      </c>
      <c r="W16" s="82">
        <v>8.48</v>
      </c>
      <c r="X16" s="82">
        <v>61.08</v>
      </c>
    </row>
    <row r="17" spans="1:24" x14ac:dyDescent="0.25">
      <c r="A17" s="967"/>
      <c r="B17" s="82" t="s">
        <v>349</v>
      </c>
      <c r="C17" s="82" t="s">
        <v>384</v>
      </c>
      <c r="D17" s="82" t="s">
        <v>385</v>
      </c>
      <c r="E17" s="137">
        <v>0.42708333333333331</v>
      </c>
      <c r="F17" s="526">
        <v>0.5</v>
      </c>
      <c r="G17" s="82" t="s">
        <v>698</v>
      </c>
      <c r="I17" s="967"/>
      <c r="J17" s="320" t="s">
        <v>348</v>
      </c>
      <c r="K17" s="82">
        <v>4.0052000000000003</v>
      </c>
      <c r="L17" s="82">
        <f t="shared" si="0"/>
        <v>4.0052000000000004E-3</v>
      </c>
      <c r="M17" s="82">
        <v>2.06</v>
      </c>
      <c r="N17" s="82">
        <f t="shared" si="4"/>
        <v>1.98</v>
      </c>
      <c r="O17" s="614">
        <f t="shared" si="2"/>
        <v>0.64567799999999997</v>
      </c>
      <c r="P17" s="312">
        <f t="shared" si="3"/>
        <v>3.224198541895535</v>
      </c>
      <c r="Q17" s="312">
        <v>1.7363694994294789</v>
      </c>
      <c r="R17" s="6"/>
      <c r="S17" s="967"/>
      <c r="T17" s="320" t="s">
        <v>348</v>
      </c>
      <c r="U17" s="82">
        <v>11.7</v>
      </c>
      <c r="V17" s="80">
        <v>88.3</v>
      </c>
      <c r="W17" s="82">
        <v>8.3699999999999992</v>
      </c>
      <c r="X17" s="82">
        <v>96.98</v>
      </c>
    </row>
    <row r="18" spans="1:24" x14ac:dyDescent="0.25">
      <c r="A18" s="967"/>
      <c r="B18" s="82" t="s">
        <v>350</v>
      </c>
      <c r="C18" s="82" t="s">
        <v>386</v>
      </c>
      <c r="D18" s="82" t="s">
        <v>387</v>
      </c>
      <c r="E18" s="137">
        <v>0.41666666666666669</v>
      </c>
      <c r="F18" s="526">
        <v>0.5</v>
      </c>
      <c r="G18" s="82" t="s">
        <v>698</v>
      </c>
      <c r="I18" s="967"/>
      <c r="J18" s="320" t="s">
        <v>349</v>
      </c>
      <c r="K18" s="82">
        <v>4.2797999999999998</v>
      </c>
      <c r="L18" s="82">
        <f t="shared" si="0"/>
        <v>4.2797999999999994E-3</v>
      </c>
      <c r="M18" s="82">
        <v>5.4</v>
      </c>
      <c r="N18" s="82">
        <f t="shared" si="4"/>
        <v>5.32</v>
      </c>
      <c r="O18" s="614">
        <f t="shared" si="2"/>
        <v>1.7348520000000001</v>
      </c>
      <c r="P18" s="312">
        <f t="shared" si="3"/>
        <v>8.1071638861629065</v>
      </c>
      <c r="Q18" s="312">
        <v>7.3158675234799802</v>
      </c>
      <c r="R18" s="6"/>
      <c r="S18" s="967"/>
      <c r="T18" s="320" t="s">
        <v>349</v>
      </c>
      <c r="U18" s="82">
        <v>11.9</v>
      </c>
      <c r="V18" s="80">
        <v>88.1</v>
      </c>
      <c r="W18" s="82">
        <v>10.94</v>
      </c>
      <c r="X18" s="82">
        <v>93.25</v>
      </c>
    </row>
    <row r="19" spans="1:24" x14ac:dyDescent="0.25">
      <c r="A19" s="967"/>
      <c r="B19" s="82" t="s">
        <v>351</v>
      </c>
      <c r="C19" s="82" t="s">
        <v>388</v>
      </c>
      <c r="D19" s="82" t="s">
        <v>389</v>
      </c>
      <c r="E19" s="137">
        <v>0.40625</v>
      </c>
      <c r="F19" s="526">
        <v>0.5</v>
      </c>
      <c r="G19" s="82" t="s">
        <v>698</v>
      </c>
      <c r="I19" s="967"/>
      <c r="J19" s="320" t="s">
        <v>350</v>
      </c>
      <c r="K19" s="82">
        <v>4.1219000000000001</v>
      </c>
      <c r="L19" s="82">
        <f t="shared" si="0"/>
        <v>4.1219000000000004E-3</v>
      </c>
      <c r="M19" s="82">
        <v>5.23</v>
      </c>
      <c r="N19" s="82">
        <f t="shared" si="4"/>
        <v>5.15</v>
      </c>
      <c r="O19" s="614">
        <f t="shared" si="2"/>
        <v>1.6794150000000001</v>
      </c>
      <c r="P19" s="312">
        <f t="shared" si="3"/>
        <v>8.1487420849608192</v>
      </c>
      <c r="Q19" s="312">
        <v>6.9890765132816881</v>
      </c>
      <c r="R19" s="6"/>
      <c r="S19" s="967"/>
      <c r="T19" s="320" t="s">
        <v>350</v>
      </c>
      <c r="U19" s="82">
        <v>12.7</v>
      </c>
      <c r="V19" s="80">
        <v>87.3</v>
      </c>
      <c r="W19" s="82">
        <v>10.95</v>
      </c>
      <c r="X19" s="82">
        <v>94.5</v>
      </c>
    </row>
    <row r="20" spans="1:24" x14ac:dyDescent="0.25">
      <c r="A20" s="962"/>
      <c r="B20" s="82" t="s">
        <v>352</v>
      </c>
      <c r="C20" s="82" t="s">
        <v>390</v>
      </c>
      <c r="D20" s="82" t="s">
        <v>391</v>
      </c>
      <c r="E20" s="137">
        <v>0.39861111111111108</v>
      </c>
      <c r="F20" s="526">
        <v>0.5</v>
      </c>
      <c r="G20" s="82" t="s">
        <v>392</v>
      </c>
      <c r="I20" s="967"/>
      <c r="J20" s="320" t="s">
        <v>351</v>
      </c>
      <c r="K20" s="82">
        <v>4.2640000000000002</v>
      </c>
      <c r="L20" s="82">
        <f t="shared" si="0"/>
        <v>4.2640000000000004E-3</v>
      </c>
      <c r="M20" s="82">
        <v>1.33</v>
      </c>
      <c r="N20" s="82">
        <f t="shared" si="4"/>
        <v>1.25</v>
      </c>
      <c r="O20" s="614">
        <f t="shared" si="2"/>
        <v>0.40762500000000002</v>
      </c>
      <c r="P20" s="312">
        <f t="shared" si="3"/>
        <v>1.9119371482176362</v>
      </c>
      <c r="Q20" s="312">
        <v>5.761255556383321</v>
      </c>
      <c r="R20" s="6"/>
      <c r="S20" s="967"/>
      <c r="T20" s="320" t="s">
        <v>351</v>
      </c>
      <c r="U20" s="82">
        <v>10.4</v>
      </c>
      <c r="V20" s="80">
        <v>89.6</v>
      </c>
      <c r="W20" s="82">
        <v>10.66</v>
      </c>
      <c r="X20" s="82">
        <v>60.57</v>
      </c>
    </row>
    <row r="21" spans="1:24" x14ac:dyDescent="0.25">
      <c r="A21" s="958" t="s">
        <v>747</v>
      </c>
      <c r="B21" s="958"/>
      <c r="C21" s="958"/>
      <c r="D21" s="958"/>
      <c r="E21" s="958"/>
      <c r="F21" s="958"/>
      <c r="G21" s="958"/>
      <c r="I21" s="962"/>
      <c r="J21" s="320" t="s">
        <v>352</v>
      </c>
      <c r="K21" s="82">
        <v>4.0164</v>
      </c>
      <c r="L21" s="82">
        <f t="shared" si="0"/>
        <v>4.0163999999999998E-3</v>
      </c>
      <c r="M21" s="82">
        <v>2.04</v>
      </c>
      <c r="N21" s="82">
        <f t="shared" si="4"/>
        <v>1.96</v>
      </c>
      <c r="O21" s="614">
        <f t="shared" si="2"/>
        <v>0.63915599999999995</v>
      </c>
      <c r="P21" s="312">
        <f t="shared" si="3"/>
        <v>3.1827308037048101</v>
      </c>
      <c r="Q21" s="312">
        <v>8.1622495956202545</v>
      </c>
      <c r="R21" s="6"/>
      <c r="S21" s="962"/>
      <c r="T21" s="320" t="s">
        <v>352</v>
      </c>
      <c r="U21" s="82">
        <v>10.7</v>
      </c>
      <c r="V21" s="80">
        <v>89.3</v>
      </c>
      <c r="W21" s="82">
        <v>10.75</v>
      </c>
      <c r="X21" s="82">
        <v>96.31</v>
      </c>
    </row>
    <row r="22" spans="1:24" x14ac:dyDescent="0.25">
      <c r="A22" s="958" t="s">
        <v>746</v>
      </c>
      <c r="B22" s="958"/>
      <c r="C22" s="958"/>
      <c r="D22" s="958"/>
      <c r="E22" s="958"/>
      <c r="F22" s="958"/>
      <c r="G22" s="958"/>
      <c r="K22" s="82"/>
      <c r="L22" s="82"/>
      <c r="M22" s="82"/>
      <c r="N22" s="82"/>
      <c r="O22" s="82" t="s">
        <v>26</v>
      </c>
      <c r="P22" s="312">
        <f>AVERAGE(P5:P21)</f>
        <v>4.4185769265250832</v>
      </c>
      <c r="Q22" s="312">
        <f>AVERAGE(Q5:Q21)</f>
        <v>5.2173898061700488</v>
      </c>
      <c r="T22" s="267" t="s">
        <v>26</v>
      </c>
      <c r="U22" s="617">
        <f>AVERAGE(U5:U21)</f>
        <v>10.967647058823527</v>
      </c>
      <c r="V22" s="617">
        <f t="shared" ref="V22:X22" si="5">AVERAGE(V5:V21)</f>
        <v>89.034705882352924</v>
      </c>
      <c r="W22" s="617">
        <f t="shared" si="5"/>
        <v>8.9888235294117642</v>
      </c>
      <c r="X22" s="617">
        <f t="shared" si="5"/>
        <v>65.460588235294125</v>
      </c>
    </row>
    <row r="23" spans="1:24" x14ac:dyDescent="0.25">
      <c r="A23" s="958" t="s">
        <v>700</v>
      </c>
      <c r="B23" s="958"/>
      <c r="C23" s="958"/>
      <c r="D23" s="958"/>
      <c r="E23" s="958"/>
      <c r="F23" s="958"/>
      <c r="G23" s="958"/>
      <c r="P23" s="615">
        <f>STDEV(P5:P21)</f>
        <v>2.9103846604832917</v>
      </c>
      <c r="Q23" s="615">
        <f>STDEV(Q5:Q21)</f>
        <v>2.0204856715724779</v>
      </c>
    </row>
    <row r="24" spans="1:24" ht="13" x14ac:dyDescent="0.3">
      <c r="A24" s="958" t="s">
        <v>701</v>
      </c>
      <c r="B24" s="958"/>
      <c r="C24" s="958"/>
      <c r="D24" s="958"/>
      <c r="E24" s="958"/>
      <c r="F24" s="958"/>
      <c r="G24" s="958"/>
      <c r="I24" s="970" t="s">
        <v>354</v>
      </c>
      <c r="J24" s="91">
        <v>2010</v>
      </c>
      <c r="K24" s="91">
        <v>2011</v>
      </c>
      <c r="P24" s="6">
        <f>TTEST(P5:P21,Q5:Q21,1,1)</f>
        <v>0.11534058427732877</v>
      </c>
    </row>
    <row r="25" spans="1:24" ht="13" x14ac:dyDescent="0.3">
      <c r="A25" s="82"/>
      <c r="B25" s="322"/>
      <c r="C25" s="322"/>
      <c r="D25" s="322"/>
      <c r="E25" s="322"/>
      <c r="F25" s="322"/>
      <c r="G25" s="322"/>
      <c r="I25" s="971"/>
      <c r="J25" s="972" t="s">
        <v>396</v>
      </c>
      <c r="K25" s="972"/>
    </row>
    <row r="26" spans="1:24" x14ac:dyDescent="0.25">
      <c r="A26" s="82"/>
      <c r="B26" s="322"/>
      <c r="C26" s="322"/>
      <c r="D26" s="322"/>
      <c r="E26" s="322"/>
      <c r="F26" s="322"/>
      <c r="G26" s="322"/>
      <c r="I26" s="82" t="s">
        <v>333</v>
      </c>
      <c r="J26" s="312">
        <f>AVERAGE(Q5:Q10)</f>
        <v>4.3491194896533019</v>
      </c>
      <c r="K26" s="312">
        <f>AVERAGE(P5:P10)</f>
        <v>3.6552933840216748</v>
      </c>
    </row>
    <row r="27" spans="1:24" x14ac:dyDescent="0.25">
      <c r="A27" s="82"/>
      <c r="B27" s="322"/>
      <c r="C27" s="322"/>
      <c r="D27" s="322"/>
      <c r="E27" s="322"/>
      <c r="F27" s="322"/>
      <c r="G27" s="322"/>
      <c r="I27" s="82" t="s">
        <v>340</v>
      </c>
      <c r="J27" s="312">
        <f>AVERAGE(Q11:Q15)</f>
        <v>5.9893998028085038</v>
      </c>
      <c r="K27" s="312">
        <f>AVERAGE(P11:P15)</f>
        <v>5.6182301467443114</v>
      </c>
    </row>
    <row r="28" spans="1:24" x14ac:dyDescent="0.25">
      <c r="A28" s="322"/>
      <c r="B28" s="322"/>
      <c r="C28" s="322"/>
      <c r="D28" s="322"/>
      <c r="E28" s="322"/>
      <c r="F28" s="322"/>
      <c r="G28" s="322"/>
      <c r="I28" s="82" t="s">
        <v>346</v>
      </c>
      <c r="J28" s="312">
        <f>AVERAGE(Q16:Q21)</f>
        <v>5.4423184588214175</v>
      </c>
      <c r="K28" s="312">
        <f>AVERAGE(P16:P21)</f>
        <v>4.1821494521791349</v>
      </c>
    </row>
    <row r="29" spans="1:24" x14ac:dyDescent="0.25">
      <c r="A29" s="89"/>
      <c r="B29" s="89"/>
      <c r="C29" s="89"/>
      <c r="D29" s="89"/>
      <c r="E29" s="89"/>
      <c r="F29" s="89"/>
      <c r="G29" s="89"/>
    </row>
    <row r="46" spans="9:12" x14ac:dyDescent="0.25">
      <c r="I46" s="963" t="s">
        <v>354</v>
      </c>
      <c r="J46" s="965" t="s">
        <v>750</v>
      </c>
      <c r="K46" s="616">
        <v>2011</v>
      </c>
      <c r="L46" s="616">
        <v>2010</v>
      </c>
    </row>
    <row r="47" spans="9:12" x14ac:dyDescent="0.25">
      <c r="I47" s="964"/>
      <c r="J47" s="966"/>
      <c r="K47" s="267" t="s">
        <v>396</v>
      </c>
      <c r="L47" s="267" t="s">
        <v>396</v>
      </c>
    </row>
    <row r="48" spans="9:12" x14ac:dyDescent="0.25">
      <c r="I48" s="961" t="s">
        <v>333</v>
      </c>
      <c r="J48" s="320" t="s">
        <v>334</v>
      </c>
      <c r="K48" s="310">
        <v>2.4166805029663672</v>
      </c>
      <c r="L48" s="310">
        <v>2.6370406543767548</v>
      </c>
    </row>
    <row r="49" spans="9:12" x14ac:dyDescent="0.25">
      <c r="I49" s="967"/>
      <c r="J49" s="320" t="s">
        <v>335</v>
      </c>
      <c r="K49" s="310">
        <v>4.3739860395091013</v>
      </c>
      <c r="L49" s="310">
        <v>6.4286420729898124</v>
      </c>
    </row>
    <row r="50" spans="9:12" x14ac:dyDescent="0.25">
      <c r="I50" s="967"/>
      <c r="J50" s="320" t="s">
        <v>336</v>
      </c>
      <c r="K50" s="310">
        <v>6.1080592218524057</v>
      </c>
      <c r="L50" s="310">
        <v>4.1211823868514657</v>
      </c>
    </row>
    <row r="51" spans="9:12" x14ac:dyDescent="0.25">
      <c r="I51" s="967"/>
      <c r="J51" s="320" t="s">
        <v>337</v>
      </c>
      <c r="K51" s="310">
        <v>2.7492439653545286</v>
      </c>
      <c r="L51" s="310">
        <v>5.3199349785724852</v>
      </c>
    </row>
    <row r="52" spans="9:12" x14ac:dyDescent="0.25">
      <c r="I52" s="967"/>
      <c r="J52" s="320" t="s">
        <v>338</v>
      </c>
      <c r="K52" s="310">
        <v>5.2067836979534228</v>
      </c>
      <c r="L52" s="310">
        <v>3.5015041672831289</v>
      </c>
    </row>
    <row r="53" spans="9:12" x14ac:dyDescent="0.25">
      <c r="I53" s="962"/>
      <c r="J53" s="320" t="s">
        <v>339</v>
      </c>
      <c r="K53" s="310">
        <v>1.0770068764942204</v>
      </c>
      <c r="L53" s="310">
        <v>4.0864126778461616</v>
      </c>
    </row>
    <row r="54" spans="9:12" x14ac:dyDescent="0.25">
      <c r="I54" s="961" t="s">
        <v>340</v>
      </c>
      <c r="J54" s="320" t="s">
        <v>341</v>
      </c>
      <c r="K54" s="310">
        <v>4.1364767922466621</v>
      </c>
      <c r="L54" s="310">
        <v>5.3938754995464242</v>
      </c>
    </row>
    <row r="55" spans="9:12" x14ac:dyDescent="0.25">
      <c r="I55" s="967"/>
      <c r="J55" s="320" t="s">
        <v>342</v>
      </c>
      <c r="K55" s="310">
        <v>3.3936332651670083</v>
      </c>
      <c r="L55" s="310">
        <v>7.4663283232480975</v>
      </c>
    </row>
    <row r="56" spans="9:12" x14ac:dyDescent="0.25">
      <c r="I56" s="967"/>
      <c r="J56" s="320" t="s">
        <v>343</v>
      </c>
      <c r="K56" s="310">
        <v>11.49762708547385</v>
      </c>
      <c r="L56" s="310">
        <v>6.2458504438488198</v>
      </c>
    </row>
    <row r="57" spans="9:12" x14ac:dyDescent="0.25">
      <c r="I57" s="967"/>
      <c r="J57" s="320" t="s">
        <v>344</v>
      </c>
      <c r="K57" s="310">
        <v>2.2027169018312818</v>
      </c>
      <c r="L57" s="310">
        <v>3.1283605435526449</v>
      </c>
    </row>
    <row r="58" spans="9:12" x14ac:dyDescent="0.25">
      <c r="I58" s="962"/>
      <c r="J58" s="320" t="s">
        <v>345</v>
      </c>
      <c r="K58" s="310">
        <v>6.8606966890027588</v>
      </c>
      <c r="L58" s="310">
        <v>7.7125842038465304</v>
      </c>
    </row>
    <row r="59" spans="9:12" x14ac:dyDescent="0.25">
      <c r="I59" s="961" t="s">
        <v>346</v>
      </c>
      <c r="J59" s="320" t="s">
        <v>347</v>
      </c>
      <c r="K59" s="310">
        <v>0.51812424813310021</v>
      </c>
      <c r="L59" s="310">
        <v>2.6890920647337797</v>
      </c>
    </row>
    <row r="60" spans="9:12" x14ac:dyDescent="0.25">
      <c r="I60" s="967"/>
      <c r="J60" s="320" t="s">
        <v>348</v>
      </c>
      <c r="K60" s="310">
        <v>3.224198541895535</v>
      </c>
      <c r="L60" s="310">
        <v>1.7363694994294789</v>
      </c>
    </row>
    <row r="61" spans="9:12" x14ac:dyDescent="0.25">
      <c r="I61" s="967"/>
      <c r="J61" s="320" t="s">
        <v>349</v>
      </c>
      <c r="K61" s="310">
        <v>8.1071638861629065</v>
      </c>
      <c r="L61" s="310">
        <v>7.3158675234799802</v>
      </c>
    </row>
    <row r="62" spans="9:12" x14ac:dyDescent="0.25">
      <c r="I62" s="967"/>
      <c r="J62" s="320" t="s">
        <v>350</v>
      </c>
      <c r="K62" s="310">
        <v>8.1487420849608192</v>
      </c>
      <c r="L62" s="310">
        <v>6.9890765132816881</v>
      </c>
    </row>
    <row r="63" spans="9:12" x14ac:dyDescent="0.25">
      <c r="I63" s="967"/>
      <c r="J63" s="320" t="s">
        <v>351</v>
      </c>
      <c r="K63" s="310">
        <v>1.9119371482176362</v>
      </c>
      <c r="L63" s="310">
        <v>5.761255556383321</v>
      </c>
    </row>
    <row r="64" spans="9:12" x14ac:dyDescent="0.25">
      <c r="I64" s="962"/>
      <c r="J64" s="320" t="s">
        <v>352</v>
      </c>
      <c r="K64" s="310">
        <v>3.1827308037048101</v>
      </c>
      <c r="L64" s="310">
        <v>8.1622495956202545</v>
      </c>
    </row>
    <row r="65" spans="10:12" x14ac:dyDescent="0.25">
      <c r="J65" s="186" t="s">
        <v>26</v>
      </c>
      <c r="K65" s="310">
        <v>4.4185769265250832</v>
      </c>
      <c r="L65" s="310">
        <v>5.2173898061700488</v>
      </c>
    </row>
    <row r="66" spans="10:12" x14ac:dyDescent="0.25">
      <c r="J66" s="186" t="s">
        <v>748</v>
      </c>
      <c r="K66" s="310">
        <v>2.9103846604832917</v>
      </c>
      <c r="L66" s="310">
        <v>2.0204856715724779</v>
      </c>
    </row>
    <row r="67" spans="10:12" x14ac:dyDescent="0.25">
      <c r="J67" s="186" t="s">
        <v>749</v>
      </c>
      <c r="K67" s="310">
        <v>0.17976645713600614</v>
      </c>
      <c r="L67" s="310"/>
    </row>
  </sheetData>
  <mergeCells count="32">
    <mergeCell ref="K3:L3"/>
    <mergeCell ref="I5:I10"/>
    <mergeCell ref="I11:I15"/>
    <mergeCell ref="I16:I21"/>
    <mergeCell ref="I46:I47"/>
    <mergeCell ref="J46:J47"/>
    <mergeCell ref="I48:I53"/>
    <mergeCell ref="I54:I58"/>
    <mergeCell ref="I59:I64"/>
    <mergeCell ref="S11:S15"/>
    <mergeCell ref="A22:G22"/>
    <mergeCell ref="A23:G23"/>
    <mergeCell ref="A24:G24"/>
    <mergeCell ref="S16:S21"/>
    <mergeCell ref="I24:I25"/>
    <mergeCell ref="J25:K25"/>
    <mergeCell ref="U3:V3"/>
    <mergeCell ref="W3:X3"/>
    <mergeCell ref="A21:G21"/>
    <mergeCell ref="C2:C3"/>
    <mergeCell ref="I3:I4"/>
    <mergeCell ref="S3:S4"/>
    <mergeCell ref="T3:T4"/>
    <mergeCell ref="S5:S10"/>
    <mergeCell ref="A4:A9"/>
    <mergeCell ref="A10:A14"/>
    <mergeCell ref="A15:A20"/>
    <mergeCell ref="A2:A3"/>
    <mergeCell ref="B2:B3"/>
    <mergeCell ref="J3:J4"/>
    <mergeCell ref="D2:D3"/>
    <mergeCell ref="G2:G3"/>
  </mergeCells>
  <pageMargins left="0.37" right="0.48" top="0.75" bottom="0.75" header="0.33" footer="0.3"/>
  <pageSetup scale="9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50"/>
  <sheetViews>
    <sheetView workbookViewId="0">
      <selection activeCell="F43" sqref="F43"/>
    </sheetView>
  </sheetViews>
  <sheetFormatPr defaultRowHeight="12.5" x14ac:dyDescent="0.25"/>
  <cols>
    <col min="1" max="1" width="20" bestFit="1" customWidth="1"/>
    <col min="3" max="3" width="12.08984375" customWidth="1"/>
    <col min="4" max="5" width="9.36328125" bestFit="1" customWidth="1"/>
    <col min="6" max="6" width="13.90625" bestFit="1" customWidth="1"/>
    <col min="7" max="7" width="7.6328125" bestFit="1" customWidth="1"/>
  </cols>
  <sheetData>
    <row r="1" spans="1:9" x14ac:dyDescent="0.25">
      <c r="C1" s="307">
        <v>1</v>
      </c>
    </row>
    <row r="2" spans="1:9" x14ac:dyDescent="0.25">
      <c r="A2" s="961" t="s">
        <v>354</v>
      </c>
      <c r="B2" s="968" t="s">
        <v>353</v>
      </c>
      <c r="C2" t="s">
        <v>400</v>
      </c>
      <c r="D2" t="s">
        <v>401</v>
      </c>
      <c r="E2" t="s">
        <v>402</v>
      </c>
      <c r="F2" t="s">
        <v>403</v>
      </c>
      <c r="G2" t="s">
        <v>404</v>
      </c>
    </row>
    <row r="3" spans="1:9" x14ac:dyDescent="0.25">
      <c r="A3" s="962"/>
      <c r="B3" s="969"/>
      <c r="C3" s="82" t="s">
        <v>399</v>
      </c>
      <c r="D3" s="82">
        <v>60</v>
      </c>
      <c r="E3" s="82">
        <v>120</v>
      </c>
      <c r="F3" s="82">
        <v>200</v>
      </c>
      <c r="G3" s="82" t="s">
        <v>398</v>
      </c>
    </row>
    <row r="4" spans="1:9" x14ac:dyDescent="0.25">
      <c r="A4" s="961" t="s">
        <v>333</v>
      </c>
      <c r="B4" s="320" t="s">
        <v>334</v>
      </c>
      <c r="C4" s="82">
        <v>56.5</v>
      </c>
      <c r="D4" s="82">
        <v>35</v>
      </c>
      <c r="E4" s="82">
        <v>6</v>
      </c>
      <c r="F4" s="82">
        <v>1.5</v>
      </c>
      <c r="G4" s="82">
        <v>1</v>
      </c>
      <c r="H4" s="82">
        <f>SUM(C4:G4)</f>
        <v>100</v>
      </c>
      <c r="I4" s="192"/>
    </row>
    <row r="5" spans="1:9" x14ac:dyDescent="0.25">
      <c r="A5" s="967"/>
      <c r="B5" s="320" t="s">
        <v>335</v>
      </c>
      <c r="C5" s="388">
        <f>C34*1.429</f>
        <v>2.8580000000000001</v>
      </c>
      <c r="D5" s="388">
        <f t="shared" ref="D5:G5" si="0">D34*1.429</f>
        <v>25.722000000000001</v>
      </c>
      <c r="E5" s="388">
        <f t="shared" si="0"/>
        <v>32.867000000000004</v>
      </c>
      <c r="F5" s="388">
        <f t="shared" si="0"/>
        <v>17.148</v>
      </c>
      <c r="G5" s="388">
        <f t="shared" si="0"/>
        <v>21.435000000000002</v>
      </c>
      <c r="H5" s="388">
        <f t="shared" ref="H5:H20" si="1">SUM(C5:G5)</f>
        <v>100.03</v>
      </c>
    </row>
    <row r="6" spans="1:9" x14ac:dyDescent="0.25">
      <c r="A6" s="967"/>
      <c r="B6" s="320" t="s">
        <v>336</v>
      </c>
      <c r="C6" s="82">
        <f>C35*2</f>
        <v>4</v>
      </c>
      <c r="D6" s="82">
        <f t="shared" ref="D6:G6" si="2">D35*2</f>
        <v>20</v>
      </c>
      <c r="E6" s="82">
        <f t="shared" si="2"/>
        <v>28</v>
      </c>
      <c r="F6" s="82">
        <f t="shared" si="2"/>
        <v>12</v>
      </c>
      <c r="G6" s="82">
        <f t="shared" si="2"/>
        <v>36</v>
      </c>
      <c r="H6" s="82">
        <f t="shared" si="1"/>
        <v>100</v>
      </c>
    </row>
    <row r="7" spans="1:9" x14ac:dyDescent="0.25">
      <c r="A7" s="967"/>
      <c r="B7" s="320" t="s">
        <v>337</v>
      </c>
      <c r="C7" s="388">
        <f>C36*$J36</f>
        <v>12.307692307692308</v>
      </c>
      <c r="D7" s="388">
        <f t="shared" ref="D7:G7" si="3">D36*$J36</f>
        <v>20</v>
      </c>
      <c r="E7" s="388">
        <f t="shared" si="3"/>
        <v>30.76923076923077</v>
      </c>
      <c r="F7" s="388">
        <f t="shared" si="3"/>
        <v>18.461538461538463</v>
      </c>
      <c r="G7" s="388">
        <f t="shared" si="3"/>
        <v>18.461538461538463</v>
      </c>
      <c r="H7" s="82">
        <f t="shared" si="1"/>
        <v>100.00000000000001</v>
      </c>
    </row>
    <row r="8" spans="1:9" x14ac:dyDescent="0.25">
      <c r="A8" s="967"/>
      <c r="B8" s="320" t="s">
        <v>338</v>
      </c>
      <c r="C8" s="82">
        <f>C37</f>
        <v>12</v>
      </c>
      <c r="D8" s="82">
        <f t="shared" ref="D8:G8" si="4">D37</f>
        <v>38</v>
      </c>
      <c r="E8" s="82">
        <f t="shared" si="4"/>
        <v>18</v>
      </c>
      <c r="F8" s="82">
        <f t="shared" si="4"/>
        <v>11</v>
      </c>
      <c r="G8" s="82">
        <f t="shared" si="4"/>
        <v>21</v>
      </c>
      <c r="H8" s="82">
        <f t="shared" si="1"/>
        <v>100</v>
      </c>
    </row>
    <row r="9" spans="1:9" x14ac:dyDescent="0.25">
      <c r="A9" s="962"/>
      <c r="B9" s="320" t="s">
        <v>339</v>
      </c>
      <c r="C9" s="388">
        <f t="shared" ref="C9:G9" si="5">C38*1.429</f>
        <v>5.7160000000000002</v>
      </c>
      <c r="D9" s="388">
        <f t="shared" si="5"/>
        <v>34.295999999999999</v>
      </c>
      <c r="E9" s="388">
        <f t="shared" si="5"/>
        <v>27.151</v>
      </c>
      <c r="F9" s="388">
        <f t="shared" si="5"/>
        <v>17.148</v>
      </c>
      <c r="G9" s="388">
        <f t="shared" si="5"/>
        <v>15.719000000000001</v>
      </c>
      <c r="H9" s="388">
        <f t="shared" si="1"/>
        <v>100.03</v>
      </c>
    </row>
    <row r="10" spans="1:9" x14ac:dyDescent="0.25">
      <c r="A10" s="961" t="s">
        <v>340</v>
      </c>
      <c r="B10" s="320" t="s">
        <v>341</v>
      </c>
      <c r="C10" s="82">
        <f>C39</f>
        <v>7</v>
      </c>
      <c r="D10" s="82">
        <f t="shared" ref="D10:G10" si="6">D39</f>
        <v>55</v>
      </c>
      <c r="E10" s="82">
        <f t="shared" si="6"/>
        <v>18</v>
      </c>
      <c r="F10" s="82">
        <f t="shared" si="6"/>
        <v>8</v>
      </c>
      <c r="G10" s="82">
        <f t="shared" si="6"/>
        <v>12</v>
      </c>
      <c r="H10" s="82">
        <f t="shared" si="1"/>
        <v>100</v>
      </c>
    </row>
    <row r="11" spans="1:9" x14ac:dyDescent="0.25">
      <c r="A11" s="967"/>
      <c r="B11" s="320" t="s">
        <v>342</v>
      </c>
      <c r="C11" s="82">
        <f>C40*2</f>
        <v>6</v>
      </c>
      <c r="D11" s="82">
        <f t="shared" ref="D11:G11" si="7">D40*2</f>
        <v>42</v>
      </c>
      <c r="E11" s="82">
        <f t="shared" si="7"/>
        <v>28</v>
      </c>
      <c r="F11" s="82">
        <f t="shared" si="7"/>
        <v>14</v>
      </c>
      <c r="G11" s="82">
        <f t="shared" si="7"/>
        <v>10</v>
      </c>
      <c r="H11" s="82">
        <f t="shared" si="1"/>
        <v>100</v>
      </c>
    </row>
    <row r="12" spans="1:9" x14ac:dyDescent="0.25">
      <c r="A12" s="967"/>
      <c r="B12" s="320" t="s">
        <v>343</v>
      </c>
      <c r="C12" s="388">
        <f>C41*1.54</f>
        <v>10.780000000000001</v>
      </c>
      <c r="D12" s="388">
        <f t="shared" ref="D12:G12" si="8">D41*1.54</f>
        <v>18.48</v>
      </c>
      <c r="E12" s="388">
        <f t="shared" si="8"/>
        <v>35.42</v>
      </c>
      <c r="F12" s="388">
        <f t="shared" si="8"/>
        <v>12.32</v>
      </c>
      <c r="G12" s="388">
        <f t="shared" si="8"/>
        <v>23.1</v>
      </c>
      <c r="H12" s="388">
        <f t="shared" si="1"/>
        <v>100.1</v>
      </c>
    </row>
    <row r="13" spans="1:9" x14ac:dyDescent="0.25">
      <c r="A13" s="967"/>
      <c r="B13" s="320" t="s">
        <v>344</v>
      </c>
      <c r="C13" s="388">
        <f>C42*1.67</f>
        <v>13.36</v>
      </c>
      <c r="D13" s="388">
        <f t="shared" ref="D13:G13" si="9">D42*1.67</f>
        <v>30.06</v>
      </c>
      <c r="E13" s="388">
        <f t="shared" si="9"/>
        <v>25.049999999999997</v>
      </c>
      <c r="F13" s="388">
        <f t="shared" si="9"/>
        <v>13.36</v>
      </c>
      <c r="G13" s="388">
        <f t="shared" si="9"/>
        <v>18.369999999999997</v>
      </c>
      <c r="H13" s="388">
        <f>SUM(C13:G13)</f>
        <v>100.19999999999999</v>
      </c>
    </row>
    <row r="14" spans="1:9" x14ac:dyDescent="0.25">
      <c r="A14" s="962"/>
      <c r="B14" s="320" t="s">
        <v>345</v>
      </c>
      <c r="C14" s="82">
        <f>C43*2</f>
        <v>6</v>
      </c>
      <c r="D14" s="82">
        <f t="shared" ref="D14:G14" si="10">D43*2</f>
        <v>44</v>
      </c>
      <c r="E14" s="82">
        <f t="shared" si="10"/>
        <v>16</v>
      </c>
      <c r="F14" s="82">
        <f t="shared" si="10"/>
        <v>16</v>
      </c>
      <c r="G14" s="82">
        <f t="shared" si="10"/>
        <v>18</v>
      </c>
      <c r="H14" s="82">
        <f t="shared" si="1"/>
        <v>100</v>
      </c>
    </row>
    <row r="15" spans="1:9" x14ac:dyDescent="0.25">
      <c r="A15" s="961" t="s">
        <v>346</v>
      </c>
      <c r="B15" s="320" t="s">
        <v>347</v>
      </c>
      <c r="C15" s="82">
        <f>C44</f>
        <v>14</v>
      </c>
      <c r="D15" s="82">
        <f t="shared" ref="D15:G15" si="11">D44</f>
        <v>37</v>
      </c>
      <c r="E15" s="82">
        <f t="shared" si="11"/>
        <v>24</v>
      </c>
      <c r="F15" s="82">
        <f t="shared" si="11"/>
        <v>16</v>
      </c>
      <c r="G15" s="82">
        <f t="shared" si="11"/>
        <v>9</v>
      </c>
      <c r="H15" s="82">
        <f t="shared" si="1"/>
        <v>100</v>
      </c>
    </row>
    <row r="16" spans="1:9" x14ac:dyDescent="0.25">
      <c r="A16" s="967"/>
      <c r="B16" s="320" t="s">
        <v>348</v>
      </c>
      <c r="C16" s="82">
        <f>C45</f>
        <v>2</v>
      </c>
      <c r="D16" s="82">
        <f t="shared" ref="D16:G16" si="12">D45</f>
        <v>50</v>
      </c>
      <c r="E16" s="82">
        <f t="shared" si="12"/>
        <v>18</v>
      </c>
      <c r="F16" s="82">
        <f t="shared" si="12"/>
        <v>11</v>
      </c>
      <c r="G16" s="82">
        <f t="shared" si="12"/>
        <v>19</v>
      </c>
      <c r="H16" s="82">
        <f t="shared" si="1"/>
        <v>100</v>
      </c>
    </row>
    <row r="17" spans="1:8" x14ac:dyDescent="0.25">
      <c r="A17" s="967"/>
      <c r="B17" s="320" t="s">
        <v>349</v>
      </c>
      <c r="C17" s="388">
        <f>C46*1.334</f>
        <v>12.006</v>
      </c>
      <c r="D17" s="388">
        <f t="shared" ref="D17:G17" si="13">D46*1.334</f>
        <v>40.020000000000003</v>
      </c>
      <c r="E17" s="388">
        <f t="shared" si="13"/>
        <v>28.014000000000003</v>
      </c>
      <c r="F17" s="388">
        <f t="shared" si="13"/>
        <v>6.67</v>
      </c>
      <c r="G17" s="388">
        <f t="shared" si="13"/>
        <v>13.34</v>
      </c>
      <c r="H17" s="388">
        <f t="shared" si="1"/>
        <v>100.05000000000001</v>
      </c>
    </row>
    <row r="18" spans="1:8" x14ac:dyDescent="0.25">
      <c r="A18" s="967"/>
      <c r="B18" s="320" t="s">
        <v>350</v>
      </c>
      <c r="C18" s="388">
        <f>C47*1.67</f>
        <v>6.68</v>
      </c>
      <c r="D18" s="388">
        <f t="shared" ref="D18:G18" si="14">D47*1.67</f>
        <v>23.38</v>
      </c>
      <c r="E18" s="388">
        <f t="shared" si="14"/>
        <v>33.4</v>
      </c>
      <c r="F18" s="388">
        <f t="shared" si="14"/>
        <v>18.369999999999997</v>
      </c>
      <c r="G18" s="388">
        <f t="shared" si="14"/>
        <v>18.369999999999997</v>
      </c>
      <c r="H18" s="388">
        <f t="shared" si="1"/>
        <v>100.19999999999999</v>
      </c>
    </row>
    <row r="19" spans="1:8" x14ac:dyDescent="0.25">
      <c r="A19" s="967"/>
      <c r="B19" s="320" t="s">
        <v>351</v>
      </c>
      <c r="C19" s="388">
        <f>C48*1.54</f>
        <v>10.780000000000001</v>
      </c>
      <c r="D19" s="388">
        <f t="shared" ref="D19:G19" si="15">D48*1.54</f>
        <v>24.64</v>
      </c>
      <c r="E19" s="388">
        <f t="shared" si="15"/>
        <v>33.880000000000003</v>
      </c>
      <c r="F19" s="388">
        <f t="shared" si="15"/>
        <v>12.32</v>
      </c>
      <c r="G19" s="388">
        <f t="shared" si="15"/>
        <v>18.48</v>
      </c>
      <c r="H19" s="388">
        <f t="shared" si="1"/>
        <v>100.10000000000001</v>
      </c>
    </row>
    <row r="20" spans="1:8" x14ac:dyDescent="0.25">
      <c r="A20" s="962"/>
      <c r="B20" s="320" t="s">
        <v>352</v>
      </c>
      <c r="C20" s="82">
        <f>C49*2</f>
        <v>4</v>
      </c>
      <c r="D20" s="82">
        <f t="shared" ref="D20:G20" si="16">D49*2</f>
        <v>36</v>
      </c>
      <c r="E20" s="82">
        <f t="shared" si="16"/>
        <v>28</v>
      </c>
      <c r="F20" s="82">
        <f t="shared" si="16"/>
        <v>14</v>
      </c>
      <c r="G20" s="82">
        <f t="shared" si="16"/>
        <v>18</v>
      </c>
      <c r="H20" s="82">
        <f t="shared" si="1"/>
        <v>100</v>
      </c>
    </row>
    <row r="21" spans="1:8" ht="13" x14ac:dyDescent="0.3">
      <c r="B21" s="619" t="s">
        <v>26</v>
      </c>
      <c r="C21" s="620">
        <f>AVERAGE(C4:C20)</f>
        <v>10.940452488687784</v>
      </c>
      <c r="D21" s="620">
        <f>AVERAGE(D4:D20)</f>
        <v>33.741058823529414</v>
      </c>
      <c r="E21" s="620">
        <f>AVERAGE(E4:E20)</f>
        <v>25.326542986425338</v>
      </c>
      <c r="F21" s="620">
        <f>AVERAGE(F4:F20)</f>
        <v>12.899855203619907</v>
      </c>
      <c r="G21" s="620">
        <f>AVERAGE(G4:G20)</f>
        <v>17.133855203619909</v>
      </c>
      <c r="H21" s="621"/>
    </row>
    <row r="24" spans="1:8" x14ac:dyDescent="0.25">
      <c r="A24" s="609" t="s">
        <v>417</v>
      </c>
      <c r="B24" s="179" t="s">
        <v>406</v>
      </c>
      <c r="C24" s="309" t="s">
        <v>407</v>
      </c>
      <c r="D24" s="309" t="s">
        <v>408</v>
      </c>
    </row>
    <row r="25" spans="1:8" x14ac:dyDescent="0.25">
      <c r="A25" s="609" t="s">
        <v>416</v>
      </c>
      <c r="B25" s="352">
        <v>25</v>
      </c>
      <c r="C25" s="352">
        <v>2.5999999999999999E-2</v>
      </c>
      <c r="D25" s="179" t="s">
        <v>409</v>
      </c>
    </row>
    <row r="26" spans="1:8" x14ac:dyDescent="0.25">
      <c r="A26" s="609" t="s">
        <v>413</v>
      </c>
      <c r="B26" s="352">
        <v>60</v>
      </c>
      <c r="C26" s="352">
        <v>8.9999999999999993E-3</v>
      </c>
      <c r="D26" s="179" t="s">
        <v>410</v>
      </c>
    </row>
    <row r="27" spans="1:8" x14ac:dyDescent="0.25">
      <c r="A27" s="609" t="s">
        <v>402</v>
      </c>
      <c r="B27" s="352">
        <v>120</v>
      </c>
      <c r="C27" s="352">
        <v>4.5999999999999999E-3</v>
      </c>
      <c r="D27" s="179" t="s">
        <v>411</v>
      </c>
    </row>
    <row r="28" spans="1:8" x14ac:dyDescent="0.25">
      <c r="A28" s="609" t="s">
        <v>403</v>
      </c>
      <c r="B28" s="352">
        <v>200</v>
      </c>
      <c r="C28" s="352">
        <v>2.8999999999999998E-3</v>
      </c>
      <c r="D28" s="179" t="s">
        <v>412</v>
      </c>
    </row>
    <row r="29" spans="1:8" x14ac:dyDescent="0.25">
      <c r="A29" s="609" t="s">
        <v>414</v>
      </c>
      <c r="B29" s="351" t="s">
        <v>415</v>
      </c>
      <c r="C29" s="352"/>
      <c r="D29" s="82"/>
    </row>
    <row r="31" spans="1:8" x14ac:dyDescent="0.25">
      <c r="A31" s="961" t="s">
        <v>354</v>
      </c>
      <c r="B31" s="968" t="s">
        <v>353</v>
      </c>
      <c r="C31" t="s">
        <v>400</v>
      </c>
      <c r="D31" t="s">
        <v>401</v>
      </c>
      <c r="E31" t="s">
        <v>402</v>
      </c>
      <c r="F31" t="s">
        <v>403</v>
      </c>
      <c r="G31" t="s">
        <v>404</v>
      </c>
    </row>
    <row r="32" spans="1:8" x14ac:dyDescent="0.25">
      <c r="A32" s="962"/>
      <c r="B32" s="969"/>
      <c r="C32" s="82" t="s">
        <v>399</v>
      </c>
      <c r="D32" s="82">
        <v>60</v>
      </c>
      <c r="E32" s="82">
        <v>120</v>
      </c>
      <c r="F32" s="82">
        <v>200</v>
      </c>
      <c r="G32" s="82" t="s">
        <v>398</v>
      </c>
    </row>
    <row r="33" spans="1:10" x14ac:dyDescent="0.25">
      <c r="A33" s="961" t="s">
        <v>333</v>
      </c>
      <c r="B33" s="320" t="s">
        <v>334</v>
      </c>
      <c r="C33" s="82">
        <v>56.5</v>
      </c>
      <c r="D33" s="82">
        <v>35</v>
      </c>
      <c r="E33" s="82">
        <v>6</v>
      </c>
      <c r="F33" s="82">
        <v>1.5</v>
      </c>
      <c r="G33" s="82">
        <v>1</v>
      </c>
      <c r="H33" s="82">
        <f>SUM(C33:G33)</f>
        <v>100</v>
      </c>
      <c r="I33" s="192">
        <v>100</v>
      </c>
      <c r="J33" s="6">
        <f>100/I33</f>
        <v>1</v>
      </c>
    </row>
    <row r="34" spans="1:10" x14ac:dyDescent="0.25">
      <c r="A34" s="967"/>
      <c r="B34" s="320" t="s">
        <v>335</v>
      </c>
      <c r="C34" s="82">
        <v>2</v>
      </c>
      <c r="D34" s="82">
        <v>18</v>
      </c>
      <c r="E34" s="82">
        <v>23</v>
      </c>
      <c r="F34" s="82">
        <v>12</v>
      </c>
      <c r="G34" s="82">
        <v>15</v>
      </c>
      <c r="H34" s="82">
        <f t="shared" ref="H34:H49" si="17">SUM(C34:G34)</f>
        <v>70</v>
      </c>
      <c r="I34">
        <v>70</v>
      </c>
      <c r="J34" s="6">
        <f t="shared" ref="J34:J43" si="18">100/I34</f>
        <v>1.4285714285714286</v>
      </c>
    </row>
    <row r="35" spans="1:10" x14ac:dyDescent="0.25">
      <c r="A35" s="967"/>
      <c r="B35" s="320" t="s">
        <v>336</v>
      </c>
      <c r="C35" s="82">
        <v>2</v>
      </c>
      <c r="D35" s="82">
        <v>10</v>
      </c>
      <c r="E35" s="82">
        <v>14</v>
      </c>
      <c r="F35" s="82">
        <v>6</v>
      </c>
      <c r="G35" s="82">
        <v>18</v>
      </c>
      <c r="H35" s="82">
        <f t="shared" si="17"/>
        <v>50</v>
      </c>
      <c r="I35">
        <v>50</v>
      </c>
      <c r="J35" s="6">
        <f t="shared" si="18"/>
        <v>2</v>
      </c>
    </row>
    <row r="36" spans="1:10" x14ac:dyDescent="0.25">
      <c r="A36" s="967"/>
      <c r="B36" s="320" t="s">
        <v>337</v>
      </c>
      <c r="C36" s="82">
        <v>8</v>
      </c>
      <c r="D36" s="82">
        <v>13</v>
      </c>
      <c r="E36" s="82">
        <v>20</v>
      </c>
      <c r="F36" s="82">
        <v>12</v>
      </c>
      <c r="G36" s="82">
        <v>12</v>
      </c>
      <c r="H36" s="82">
        <f t="shared" si="17"/>
        <v>65</v>
      </c>
      <c r="I36">
        <v>65</v>
      </c>
      <c r="J36" s="6">
        <f t="shared" si="18"/>
        <v>1.5384615384615385</v>
      </c>
    </row>
    <row r="37" spans="1:10" x14ac:dyDescent="0.25">
      <c r="A37" s="967"/>
      <c r="B37" s="320" t="s">
        <v>338</v>
      </c>
      <c r="C37" s="82">
        <v>12</v>
      </c>
      <c r="D37" s="82">
        <v>38</v>
      </c>
      <c r="E37" s="82">
        <v>18</v>
      </c>
      <c r="F37" s="82">
        <v>11</v>
      </c>
      <c r="G37" s="82">
        <v>21</v>
      </c>
      <c r="H37" s="82">
        <f t="shared" si="17"/>
        <v>100</v>
      </c>
      <c r="I37">
        <v>100</v>
      </c>
      <c r="J37" s="618">
        <f t="shared" si="18"/>
        <v>1</v>
      </c>
    </row>
    <row r="38" spans="1:10" x14ac:dyDescent="0.25">
      <c r="A38" s="962"/>
      <c r="B38" s="320" t="s">
        <v>339</v>
      </c>
      <c r="C38" s="82">
        <v>4</v>
      </c>
      <c r="D38" s="82">
        <v>24</v>
      </c>
      <c r="E38" s="82">
        <v>19</v>
      </c>
      <c r="F38" s="82">
        <v>12</v>
      </c>
      <c r="G38" s="82">
        <v>11</v>
      </c>
      <c r="H38" s="82">
        <f t="shared" si="17"/>
        <v>70</v>
      </c>
      <c r="I38">
        <v>70</v>
      </c>
      <c r="J38" s="618">
        <f t="shared" si="18"/>
        <v>1.4285714285714286</v>
      </c>
    </row>
    <row r="39" spans="1:10" x14ac:dyDescent="0.25">
      <c r="A39" s="961" t="s">
        <v>340</v>
      </c>
      <c r="B39" s="320" t="s">
        <v>341</v>
      </c>
      <c r="C39" s="82">
        <v>7</v>
      </c>
      <c r="D39" s="82">
        <v>55</v>
      </c>
      <c r="E39" s="82">
        <v>18</v>
      </c>
      <c r="F39" s="82">
        <v>8</v>
      </c>
      <c r="G39" s="82">
        <v>12</v>
      </c>
      <c r="H39" s="82">
        <f t="shared" si="17"/>
        <v>100</v>
      </c>
      <c r="I39">
        <v>100</v>
      </c>
      <c r="J39" s="618">
        <f t="shared" si="18"/>
        <v>1</v>
      </c>
    </row>
    <row r="40" spans="1:10" x14ac:dyDescent="0.25">
      <c r="A40" s="967"/>
      <c r="B40" s="320" t="s">
        <v>342</v>
      </c>
      <c r="C40" s="82">
        <v>3</v>
      </c>
      <c r="D40" s="82">
        <v>21</v>
      </c>
      <c r="E40" s="82">
        <v>14</v>
      </c>
      <c r="F40" s="82">
        <v>7</v>
      </c>
      <c r="G40" s="82">
        <v>5</v>
      </c>
      <c r="H40" s="82">
        <f t="shared" si="17"/>
        <v>50</v>
      </c>
      <c r="I40">
        <v>50</v>
      </c>
      <c r="J40" s="618">
        <f t="shared" si="18"/>
        <v>2</v>
      </c>
    </row>
    <row r="41" spans="1:10" x14ac:dyDescent="0.25">
      <c r="A41" s="967"/>
      <c r="B41" s="320" t="s">
        <v>343</v>
      </c>
      <c r="C41" s="82">
        <v>7</v>
      </c>
      <c r="D41" s="82">
        <v>12</v>
      </c>
      <c r="E41" s="82">
        <v>23</v>
      </c>
      <c r="F41" s="82">
        <v>8</v>
      </c>
      <c r="G41" s="82">
        <v>15</v>
      </c>
      <c r="H41" s="82">
        <f t="shared" si="17"/>
        <v>65</v>
      </c>
      <c r="I41">
        <v>65</v>
      </c>
      <c r="J41" s="618">
        <f t="shared" si="18"/>
        <v>1.5384615384615385</v>
      </c>
    </row>
    <row r="42" spans="1:10" x14ac:dyDescent="0.25">
      <c r="A42" s="967"/>
      <c r="B42" s="320" t="s">
        <v>344</v>
      </c>
      <c r="C42" s="82">
        <v>8</v>
      </c>
      <c r="D42" s="82">
        <v>18</v>
      </c>
      <c r="E42" s="82">
        <v>15</v>
      </c>
      <c r="F42" s="82">
        <v>8</v>
      </c>
      <c r="G42" s="82">
        <v>11</v>
      </c>
      <c r="H42" s="82">
        <f t="shared" si="17"/>
        <v>60</v>
      </c>
      <c r="I42">
        <v>60</v>
      </c>
      <c r="J42" s="618">
        <f t="shared" si="18"/>
        <v>1.6666666666666667</v>
      </c>
    </row>
    <row r="43" spans="1:10" x14ac:dyDescent="0.25">
      <c r="A43" s="962"/>
      <c r="B43" s="320" t="s">
        <v>345</v>
      </c>
      <c r="C43" s="82">
        <v>3</v>
      </c>
      <c r="D43" s="82">
        <v>22</v>
      </c>
      <c r="E43" s="82">
        <v>8</v>
      </c>
      <c r="F43" s="82">
        <v>8</v>
      </c>
      <c r="G43" s="82">
        <v>9</v>
      </c>
      <c r="H43" s="82">
        <f t="shared" si="17"/>
        <v>50</v>
      </c>
      <c r="I43">
        <v>50</v>
      </c>
      <c r="J43" s="618">
        <f t="shared" si="18"/>
        <v>2</v>
      </c>
    </row>
    <row r="44" spans="1:10" x14ac:dyDescent="0.25">
      <c r="A44" s="961" t="s">
        <v>346</v>
      </c>
      <c r="B44" s="320" t="s">
        <v>347</v>
      </c>
      <c r="C44" s="82">
        <v>14</v>
      </c>
      <c r="D44" s="82">
        <v>37</v>
      </c>
      <c r="E44" s="82">
        <v>24</v>
      </c>
      <c r="F44" s="82">
        <v>16</v>
      </c>
      <c r="G44" s="82">
        <v>9</v>
      </c>
      <c r="H44" s="82">
        <f>SUM(C44:G44)</f>
        <v>100</v>
      </c>
      <c r="I44">
        <v>100</v>
      </c>
      <c r="J44" s="618">
        <f t="shared" ref="J44:J49" si="19">100/I44</f>
        <v>1</v>
      </c>
    </row>
    <row r="45" spans="1:10" x14ac:dyDescent="0.25">
      <c r="A45" s="967"/>
      <c r="B45" s="320" t="s">
        <v>348</v>
      </c>
      <c r="C45" s="82">
        <v>2</v>
      </c>
      <c r="D45" s="82">
        <v>50</v>
      </c>
      <c r="E45" s="82">
        <v>18</v>
      </c>
      <c r="F45" s="82">
        <v>11</v>
      </c>
      <c r="G45" s="82">
        <v>19</v>
      </c>
      <c r="H45" s="82">
        <f>SUM(C45:G45)</f>
        <v>100</v>
      </c>
      <c r="I45">
        <v>100</v>
      </c>
      <c r="J45" s="618">
        <f t="shared" si="19"/>
        <v>1</v>
      </c>
    </row>
    <row r="46" spans="1:10" x14ac:dyDescent="0.25">
      <c r="A46" s="967"/>
      <c r="B46" s="320" t="s">
        <v>349</v>
      </c>
      <c r="C46" s="82">
        <v>9</v>
      </c>
      <c r="D46" s="82">
        <v>30</v>
      </c>
      <c r="E46" s="82">
        <v>21</v>
      </c>
      <c r="F46" s="82">
        <v>5</v>
      </c>
      <c r="G46" s="82">
        <v>10</v>
      </c>
      <c r="H46" s="82">
        <f>SUM(C46:G46)</f>
        <v>75</v>
      </c>
      <c r="I46">
        <v>75</v>
      </c>
      <c r="J46" s="618">
        <f t="shared" si="19"/>
        <v>1.3333333333333333</v>
      </c>
    </row>
    <row r="47" spans="1:10" x14ac:dyDescent="0.25">
      <c r="A47" s="967"/>
      <c r="B47" s="320" t="s">
        <v>350</v>
      </c>
      <c r="C47" s="82">
        <v>4</v>
      </c>
      <c r="D47" s="82">
        <v>14</v>
      </c>
      <c r="E47" s="82">
        <v>20</v>
      </c>
      <c r="F47" s="82">
        <v>11</v>
      </c>
      <c r="G47" s="82">
        <v>11</v>
      </c>
      <c r="H47" s="82">
        <f>SUM(C47:G47)</f>
        <v>60</v>
      </c>
      <c r="I47">
        <v>60</v>
      </c>
      <c r="J47" s="618">
        <f t="shared" si="19"/>
        <v>1.6666666666666667</v>
      </c>
    </row>
    <row r="48" spans="1:10" x14ac:dyDescent="0.25">
      <c r="A48" s="967"/>
      <c r="B48" s="320" t="s">
        <v>351</v>
      </c>
      <c r="C48" s="82">
        <v>7</v>
      </c>
      <c r="D48" s="82">
        <v>16</v>
      </c>
      <c r="E48" s="82">
        <v>22</v>
      </c>
      <c r="F48" s="82">
        <v>8</v>
      </c>
      <c r="G48" s="82">
        <v>12</v>
      </c>
      <c r="H48" s="82">
        <f>SUM(C48:G48)</f>
        <v>65</v>
      </c>
      <c r="I48">
        <v>65</v>
      </c>
      <c r="J48" s="618">
        <f t="shared" si="19"/>
        <v>1.5384615384615385</v>
      </c>
    </row>
    <row r="49" spans="1:10" x14ac:dyDescent="0.25">
      <c r="A49" s="962"/>
      <c r="B49" s="320" t="s">
        <v>352</v>
      </c>
      <c r="C49" s="82">
        <v>2</v>
      </c>
      <c r="D49" s="82">
        <v>18</v>
      </c>
      <c r="E49" s="82">
        <v>14</v>
      </c>
      <c r="F49" s="82">
        <v>7</v>
      </c>
      <c r="G49" s="82">
        <v>9</v>
      </c>
      <c r="H49" s="82">
        <f t="shared" si="17"/>
        <v>50</v>
      </c>
      <c r="I49">
        <v>50</v>
      </c>
      <c r="J49" s="618">
        <f t="shared" si="19"/>
        <v>2</v>
      </c>
    </row>
    <row r="50" spans="1:10" x14ac:dyDescent="0.25">
      <c r="B50" s="350" t="s">
        <v>26</v>
      </c>
      <c r="C50" s="5">
        <f>AVERAGE(C33:C49)</f>
        <v>8.8529411764705888</v>
      </c>
      <c r="D50" s="5">
        <f>AVERAGE(D33:D49)</f>
        <v>25.352941176470587</v>
      </c>
      <c r="E50" s="5">
        <f>AVERAGE(E33:E49)</f>
        <v>17.470588235294116</v>
      </c>
      <c r="F50" s="5">
        <f>AVERAGE(F33:F49)</f>
        <v>8.9117647058823533</v>
      </c>
      <c r="G50" s="5">
        <f>AVERAGE(G33:G49)</f>
        <v>11.764705882352942</v>
      </c>
    </row>
  </sheetData>
  <mergeCells count="10">
    <mergeCell ref="A31:A32"/>
    <mergeCell ref="B31:B32"/>
    <mergeCell ref="A33:A38"/>
    <mergeCell ref="A39:A43"/>
    <mergeCell ref="A44:A49"/>
    <mergeCell ref="A2:A3"/>
    <mergeCell ref="B2:B3"/>
    <mergeCell ref="A4:A9"/>
    <mergeCell ref="A10:A14"/>
    <mergeCell ref="A15:A20"/>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J20"/>
  <sheetViews>
    <sheetView workbookViewId="0">
      <selection activeCell="B2" sqref="B2:J8"/>
    </sheetView>
  </sheetViews>
  <sheetFormatPr defaultColWidth="12.54296875" defaultRowHeight="12.5" x14ac:dyDescent="0.25"/>
  <cols>
    <col min="1" max="1" width="1.36328125" customWidth="1"/>
    <col min="2" max="2" width="8.453125" bestFit="1" customWidth="1"/>
    <col min="3" max="3" width="53.6328125" customWidth="1"/>
    <col min="4" max="4" width="21.54296875" style="33" customWidth="1"/>
    <col min="5" max="5" width="9.6328125" bestFit="1" customWidth="1"/>
    <col min="6" max="6" width="7.54296875" customWidth="1"/>
    <col min="7" max="7" width="5.90625" customWidth="1"/>
    <col min="8" max="8" width="9.6328125" bestFit="1" customWidth="1"/>
    <col min="9" max="9" width="7.6328125" customWidth="1"/>
    <col min="10" max="10" width="6" customWidth="1"/>
  </cols>
  <sheetData>
    <row r="1" spans="2:10" x14ac:dyDescent="0.25">
      <c r="F1" s="975" t="s">
        <v>476</v>
      </c>
      <c r="G1" s="976"/>
      <c r="I1" s="975" t="s">
        <v>476</v>
      </c>
      <c r="J1" s="976"/>
    </row>
    <row r="2" spans="2:10" x14ac:dyDescent="0.25">
      <c r="B2" s="978" t="s">
        <v>438</v>
      </c>
      <c r="C2" s="978" t="s">
        <v>438</v>
      </c>
      <c r="D2" s="980" t="s">
        <v>260</v>
      </c>
      <c r="E2" s="978" t="s">
        <v>474</v>
      </c>
      <c r="F2" s="977" t="s">
        <v>477</v>
      </c>
      <c r="G2" s="977"/>
      <c r="H2" s="978" t="s">
        <v>474</v>
      </c>
      <c r="I2" s="977" t="s">
        <v>477</v>
      </c>
      <c r="J2" s="977"/>
    </row>
    <row r="3" spans="2:10" x14ac:dyDescent="0.25">
      <c r="B3" s="979"/>
      <c r="C3" s="979"/>
      <c r="D3" s="981"/>
      <c r="E3" s="979"/>
      <c r="F3" s="389" t="s">
        <v>478</v>
      </c>
      <c r="G3" s="389" t="s">
        <v>479</v>
      </c>
      <c r="H3" s="979"/>
      <c r="I3" s="389" t="s">
        <v>478</v>
      </c>
      <c r="J3" s="389" t="s">
        <v>479</v>
      </c>
    </row>
    <row r="4" spans="2:10" ht="23" x14ac:dyDescent="0.25">
      <c r="B4" s="375" t="s">
        <v>439</v>
      </c>
      <c r="C4" s="373" t="s">
        <v>463</v>
      </c>
      <c r="D4" s="376" t="s">
        <v>465</v>
      </c>
      <c r="E4" s="375" t="s">
        <v>475</v>
      </c>
      <c r="F4" s="377">
        <v>17</v>
      </c>
      <c r="G4" s="377">
        <v>21.2</v>
      </c>
      <c r="H4" s="375" t="s">
        <v>480</v>
      </c>
      <c r="I4" s="377">
        <v>9</v>
      </c>
      <c r="J4" s="377">
        <v>13</v>
      </c>
    </row>
    <row r="5" spans="2:10" ht="25" x14ac:dyDescent="0.25">
      <c r="B5" s="375" t="s">
        <v>440</v>
      </c>
      <c r="C5" s="373" t="s">
        <v>462</v>
      </c>
      <c r="D5" s="374" t="s">
        <v>466</v>
      </c>
      <c r="E5" s="375" t="s">
        <v>464</v>
      </c>
      <c r="F5" s="378">
        <v>19.3</v>
      </c>
      <c r="G5" s="378">
        <v>23.8</v>
      </c>
      <c r="H5" s="375" t="s">
        <v>481</v>
      </c>
      <c r="I5" s="377">
        <v>9</v>
      </c>
      <c r="J5" s="377">
        <v>13</v>
      </c>
    </row>
    <row r="6" spans="2:10" ht="25" x14ac:dyDescent="0.25">
      <c r="B6" s="375" t="s">
        <v>441</v>
      </c>
      <c r="C6" s="373" t="s">
        <v>461</v>
      </c>
      <c r="D6" s="374" t="s">
        <v>467</v>
      </c>
      <c r="E6" s="379" t="s">
        <v>482</v>
      </c>
      <c r="F6" s="378">
        <v>23.3</v>
      </c>
      <c r="G6" s="378">
        <v>23.8</v>
      </c>
      <c r="H6" s="379" t="s">
        <v>483</v>
      </c>
      <c r="I6" s="377">
        <v>9</v>
      </c>
      <c r="J6" s="377">
        <v>13</v>
      </c>
    </row>
    <row r="7" spans="2:10" ht="13.5" x14ac:dyDescent="0.25">
      <c r="B7" s="375" t="s">
        <v>442</v>
      </c>
      <c r="C7" s="373" t="s">
        <v>460</v>
      </c>
      <c r="D7" s="374" t="s">
        <v>468</v>
      </c>
      <c r="E7" s="379" t="s">
        <v>482</v>
      </c>
      <c r="F7" s="378">
        <v>18.2</v>
      </c>
      <c r="G7" s="378">
        <v>23.8</v>
      </c>
      <c r="H7" s="379" t="s">
        <v>483</v>
      </c>
      <c r="I7" s="377">
        <v>9</v>
      </c>
      <c r="J7" s="377">
        <v>13</v>
      </c>
    </row>
    <row r="8" spans="2:10" ht="25" x14ac:dyDescent="0.25">
      <c r="B8" s="375" t="s">
        <v>443</v>
      </c>
      <c r="C8" s="373" t="s">
        <v>459</v>
      </c>
      <c r="D8" s="374" t="s">
        <v>469</v>
      </c>
      <c r="E8" s="375" t="s">
        <v>464</v>
      </c>
      <c r="F8" s="378">
        <v>19.3</v>
      </c>
      <c r="G8" s="378">
        <v>23.8</v>
      </c>
      <c r="H8" s="375" t="s">
        <v>481</v>
      </c>
      <c r="I8" s="377">
        <v>9</v>
      </c>
      <c r="J8" s="377">
        <v>13</v>
      </c>
    </row>
    <row r="9" spans="2:10" ht="23" x14ac:dyDescent="0.25">
      <c r="B9" s="378">
        <v>2</v>
      </c>
      <c r="C9" s="373" t="s">
        <v>458</v>
      </c>
      <c r="D9" s="376" t="s">
        <v>473</v>
      </c>
      <c r="E9" s="375" t="s">
        <v>484</v>
      </c>
      <c r="F9" s="378">
        <v>27.5</v>
      </c>
      <c r="G9" s="378">
        <v>28.6</v>
      </c>
      <c r="H9" s="375" t="s">
        <v>481</v>
      </c>
      <c r="I9" s="377">
        <v>13.7</v>
      </c>
      <c r="J9" s="377">
        <v>14.3</v>
      </c>
    </row>
    <row r="10" spans="2:10" ht="23" x14ac:dyDescent="0.25">
      <c r="B10" s="378">
        <v>3</v>
      </c>
      <c r="C10" s="373" t="s">
        <v>457</v>
      </c>
      <c r="D10" s="376" t="s">
        <v>465</v>
      </c>
      <c r="E10" s="375" t="s">
        <v>475</v>
      </c>
      <c r="F10" s="377">
        <v>17</v>
      </c>
      <c r="G10" s="377">
        <v>21.2</v>
      </c>
      <c r="H10" s="375" t="s">
        <v>480</v>
      </c>
      <c r="I10" s="377">
        <v>9</v>
      </c>
      <c r="J10" s="377">
        <v>13</v>
      </c>
    </row>
    <row r="11" spans="2:10" ht="34.5" x14ac:dyDescent="0.25">
      <c r="B11" s="375" t="s">
        <v>444</v>
      </c>
      <c r="C11" s="373" t="s">
        <v>456</v>
      </c>
      <c r="D11" s="376" t="s">
        <v>470</v>
      </c>
      <c r="E11" s="375" t="s">
        <v>484</v>
      </c>
      <c r="F11" s="378">
        <v>24.2</v>
      </c>
      <c r="G11" s="378">
        <v>29</v>
      </c>
      <c r="H11" s="375" t="s">
        <v>485</v>
      </c>
      <c r="I11" s="377">
        <v>12.1</v>
      </c>
      <c r="J11" s="377">
        <v>14.5</v>
      </c>
    </row>
    <row r="12" spans="2:10" ht="34.5" x14ac:dyDescent="0.25">
      <c r="B12" s="378">
        <v>5</v>
      </c>
      <c r="C12" s="373" t="s">
        <v>455</v>
      </c>
      <c r="D12" s="376" t="s">
        <v>471</v>
      </c>
      <c r="E12" s="375" t="s">
        <v>464</v>
      </c>
      <c r="F12" s="378">
        <v>18.2</v>
      </c>
      <c r="G12" s="378">
        <v>23.8</v>
      </c>
      <c r="H12" s="375" t="s">
        <v>481</v>
      </c>
      <c r="I12" s="377">
        <v>9</v>
      </c>
      <c r="J12" s="377">
        <v>13</v>
      </c>
    </row>
    <row r="13" spans="2:10" ht="34.5" x14ac:dyDescent="0.25">
      <c r="B13" s="375" t="s">
        <v>445</v>
      </c>
      <c r="C13" s="373" t="s">
        <v>454</v>
      </c>
      <c r="D13" s="376" t="s">
        <v>471</v>
      </c>
      <c r="E13" s="375" t="s">
        <v>464</v>
      </c>
      <c r="F13" s="378">
        <v>18.2</v>
      </c>
      <c r="G13" s="378">
        <v>23.8</v>
      </c>
      <c r="H13" s="375" t="s">
        <v>481</v>
      </c>
      <c r="I13" s="377">
        <v>9</v>
      </c>
      <c r="J13" s="377">
        <v>13</v>
      </c>
    </row>
    <row r="14" spans="2:10" ht="23" x14ac:dyDescent="0.25">
      <c r="B14" s="375" t="s">
        <v>446</v>
      </c>
      <c r="C14" s="373" t="s">
        <v>453</v>
      </c>
      <c r="D14" s="376" t="s">
        <v>465</v>
      </c>
      <c r="E14" s="375" t="s">
        <v>475</v>
      </c>
      <c r="F14" s="377">
        <v>17</v>
      </c>
      <c r="G14" s="377">
        <v>21.2</v>
      </c>
      <c r="H14" s="375" t="s">
        <v>480</v>
      </c>
      <c r="I14" s="377">
        <v>9</v>
      </c>
      <c r="J14" s="377">
        <v>13</v>
      </c>
    </row>
    <row r="15" spans="2:10" ht="23" x14ac:dyDescent="0.25">
      <c r="B15" s="378">
        <v>7</v>
      </c>
      <c r="C15" s="373" t="s">
        <v>452</v>
      </c>
      <c r="D15" s="376" t="s">
        <v>465</v>
      </c>
      <c r="E15" s="375" t="s">
        <v>475</v>
      </c>
      <c r="F15" s="377">
        <v>17</v>
      </c>
      <c r="G15" s="377">
        <v>21.2</v>
      </c>
      <c r="H15" s="375" t="s">
        <v>480</v>
      </c>
      <c r="I15" s="377">
        <v>9</v>
      </c>
      <c r="J15" s="377">
        <v>13</v>
      </c>
    </row>
    <row r="16" spans="2:10" ht="23" x14ac:dyDescent="0.25">
      <c r="B16" s="378">
        <v>8</v>
      </c>
      <c r="C16" s="373" t="s">
        <v>451</v>
      </c>
      <c r="D16" s="376" t="s">
        <v>472</v>
      </c>
      <c r="E16" s="375" t="s">
        <v>482</v>
      </c>
      <c r="F16" s="377">
        <v>17</v>
      </c>
      <c r="G16" s="377">
        <v>21.2</v>
      </c>
      <c r="H16" s="375" t="s">
        <v>483</v>
      </c>
      <c r="I16" s="377">
        <v>9</v>
      </c>
      <c r="J16" s="377">
        <v>13</v>
      </c>
    </row>
    <row r="17" spans="2:10" ht="23" x14ac:dyDescent="0.25">
      <c r="B17" s="378">
        <v>9</v>
      </c>
      <c r="C17" s="373" t="s">
        <v>450</v>
      </c>
      <c r="D17" s="376" t="s">
        <v>472</v>
      </c>
      <c r="E17" s="375" t="s">
        <v>482</v>
      </c>
      <c r="F17" s="377">
        <v>17</v>
      </c>
      <c r="G17" s="377">
        <v>21.2</v>
      </c>
      <c r="H17" s="375" t="s">
        <v>483</v>
      </c>
      <c r="I17" s="377">
        <v>9</v>
      </c>
      <c r="J17" s="377">
        <v>13</v>
      </c>
    </row>
    <row r="18" spans="2:10" ht="34.5" x14ac:dyDescent="0.25">
      <c r="B18" s="378">
        <v>10</v>
      </c>
      <c r="C18" s="373" t="s">
        <v>449</v>
      </c>
      <c r="D18" s="376" t="s">
        <v>472</v>
      </c>
      <c r="E18" s="375" t="s">
        <v>482</v>
      </c>
      <c r="F18" s="377">
        <v>17</v>
      </c>
      <c r="G18" s="377">
        <v>21.2</v>
      </c>
      <c r="H18" s="375" t="s">
        <v>483</v>
      </c>
      <c r="I18" s="377">
        <v>9</v>
      </c>
      <c r="J18" s="377">
        <v>13</v>
      </c>
    </row>
    <row r="19" spans="2:10" ht="39.75" customHeight="1" x14ac:dyDescent="0.25">
      <c r="B19" s="378">
        <v>11</v>
      </c>
      <c r="C19" s="373" t="s">
        <v>448</v>
      </c>
      <c r="D19" s="376" t="s">
        <v>472</v>
      </c>
      <c r="E19" s="375" t="s">
        <v>482</v>
      </c>
      <c r="F19" s="377">
        <v>17</v>
      </c>
      <c r="G19" s="377">
        <v>21.2</v>
      </c>
      <c r="H19" s="375" t="s">
        <v>483</v>
      </c>
      <c r="I19" s="377">
        <v>9</v>
      </c>
      <c r="J19" s="377">
        <v>13</v>
      </c>
    </row>
    <row r="20" spans="2:10" ht="23" x14ac:dyDescent="0.25">
      <c r="B20" s="378">
        <v>12</v>
      </c>
      <c r="C20" s="373" t="s">
        <v>447</v>
      </c>
      <c r="D20" s="376" t="s">
        <v>472</v>
      </c>
      <c r="E20" s="375" t="s">
        <v>482</v>
      </c>
      <c r="F20" s="377">
        <v>17</v>
      </c>
      <c r="G20" s="377">
        <v>21.2</v>
      </c>
      <c r="H20" s="375" t="s">
        <v>483</v>
      </c>
      <c r="I20" s="377">
        <v>9</v>
      </c>
      <c r="J20" s="377">
        <v>13</v>
      </c>
    </row>
  </sheetData>
  <mergeCells count="9">
    <mergeCell ref="I1:J1"/>
    <mergeCell ref="I2:J2"/>
    <mergeCell ref="E2:E3"/>
    <mergeCell ref="H2:H3"/>
    <mergeCell ref="B2:B3"/>
    <mergeCell ref="C2:C3"/>
    <mergeCell ref="D2:D3"/>
    <mergeCell ref="F1:G1"/>
    <mergeCell ref="F2:G2"/>
  </mergeCells>
  <pageMargins left="0.55000000000000004" right="0.47" top="0.4" bottom="0.45" header="0.3" footer="0.3"/>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F16"/>
  <sheetViews>
    <sheetView workbookViewId="0">
      <selection activeCell="S1" sqref="S1:AF16"/>
    </sheetView>
  </sheetViews>
  <sheetFormatPr defaultRowHeight="12.5" x14ac:dyDescent="0.25"/>
  <cols>
    <col min="1" max="1" width="23.08984375" bestFit="1" customWidth="1"/>
    <col min="2" max="2" width="3.90625" bestFit="1" customWidth="1"/>
    <col min="3" max="4" width="4.08984375" bestFit="1" customWidth="1"/>
    <col min="5" max="5" width="3.90625" bestFit="1" customWidth="1"/>
    <col min="6" max="6" width="4.54296875" bestFit="1" customWidth="1"/>
    <col min="7" max="7" width="3.90625" bestFit="1" customWidth="1"/>
    <col min="8" max="9" width="4" bestFit="1" customWidth="1"/>
    <col min="10" max="13" width="4.36328125" bestFit="1" customWidth="1"/>
    <col min="14" max="15" width="4" bestFit="1" customWidth="1"/>
    <col min="16" max="16" width="4.36328125" bestFit="1" customWidth="1"/>
    <col min="17" max="17" width="7" bestFit="1" customWidth="1"/>
    <col min="18" max="18" width="4.36328125" customWidth="1"/>
    <col min="19" max="19" width="23.08984375" bestFit="1" customWidth="1"/>
    <col min="20" max="20" width="3.90625" bestFit="1" customWidth="1"/>
    <col min="21" max="21" width="4.08984375" bestFit="1" customWidth="1"/>
    <col min="22" max="22" width="4.54296875" bestFit="1" customWidth="1"/>
    <col min="23" max="23" width="4.6328125" bestFit="1" customWidth="1"/>
    <col min="24" max="25" width="5.90625" bestFit="1" customWidth="1"/>
    <col min="26" max="28" width="6.6328125" bestFit="1" customWidth="1"/>
    <col min="29" max="29" width="5.54296875" bestFit="1" customWidth="1"/>
    <col min="30" max="30" width="4" bestFit="1" customWidth="1"/>
    <col min="31" max="31" width="4.36328125" bestFit="1" customWidth="1"/>
    <col min="32" max="32" width="7" bestFit="1" customWidth="1"/>
  </cols>
  <sheetData>
    <row r="1" spans="1:32" x14ac:dyDescent="0.25">
      <c r="A1" s="982" t="s">
        <v>328</v>
      </c>
      <c r="B1" s="910" t="s">
        <v>493</v>
      </c>
      <c r="C1" s="910"/>
      <c r="D1" s="910"/>
      <c r="E1" s="910"/>
      <c r="F1" s="910"/>
      <c r="G1" s="910"/>
      <c r="H1" s="910"/>
      <c r="I1" s="910"/>
      <c r="J1" s="910"/>
      <c r="K1" s="910"/>
      <c r="L1" s="910"/>
      <c r="M1" s="910"/>
      <c r="N1" s="910"/>
      <c r="O1" s="910"/>
      <c r="P1" s="910"/>
      <c r="S1" s="982" t="s">
        <v>328</v>
      </c>
      <c r="T1" s="910" t="s">
        <v>494</v>
      </c>
      <c r="U1" s="910"/>
      <c r="V1" s="910"/>
      <c r="W1" s="910"/>
      <c r="X1" s="910"/>
      <c r="Y1" s="910"/>
      <c r="Z1" s="910"/>
      <c r="AA1" s="910"/>
      <c r="AB1" s="910"/>
      <c r="AC1" s="910"/>
      <c r="AD1" s="910"/>
      <c r="AE1" s="910"/>
    </row>
    <row r="2" spans="1:32" x14ac:dyDescent="0.25">
      <c r="A2" s="983"/>
      <c r="B2" s="274" t="s">
        <v>78</v>
      </c>
      <c r="C2" s="274" t="s">
        <v>79</v>
      </c>
      <c r="D2" s="274" t="s">
        <v>80</v>
      </c>
      <c r="E2" s="274" t="s">
        <v>81</v>
      </c>
      <c r="F2" s="274" t="s">
        <v>82</v>
      </c>
      <c r="G2" s="274" t="s">
        <v>83</v>
      </c>
      <c r="H2" s="274" t="s">
        <v>84</v>
      </c>
      <c r="I2" s="274" t="s">
        <v>84</v>
      </c>
      <c r="J2" s="274" t="s">
        <v>85</v>
      </c>
      <c r="K2" s="274" t="s">
        <v>85</v>
      </c>
      <c r="L2" s="274" t="s">
        <v>86</v>
      </c>
      <c r="M2" s="274" t="s">
        <v>86</v>
      </c>
      <c r="N2" s="274" t="s">
        <v>87</v>
      </c>
      <c r="O2" s="274" t="s">
        <v>88</v>
      </c>
      <c r="P2" s="274" t="s">
        <v>89</v>
      </c>
      <c r="Q2" s="270" t="s">
        <v>492</v>
      </c>
      <c r="S2" s="983"/>
      <c r="T2" s="274" t="s">
        <v>78</v>
      </c>
      <c r="U2" s="274" t="s">
        <v>79</v>
      </c>
      <c r="V2" s="274" t="s">
        <v>80</v>
      </c>
      <c r="W2" s="274" t="s">
        <v>81</v>
      </c>
      <c r="X2" s="274" t="s">
        <v>82</v>
      </c>
      <c r="Y2" s="274" t="s">
        <v>83</v>
      </c>
      <c r="Z2" s="274" t="s">
        <v>84</v>
      </c>
      <c r="AA2" s="274" t="s">
        <v>85</v>
      </c>
      <c r="AB2" s="274" t="s">
        <v>86</v>
      </c>
      <c r="AC2" s="274" t="s">
        <v>87</v>
      </c>
      <c r="AD2" s="274" t="s">
        <v>88</v>
      </c>
      <c r="AE2" s="274" t="s">
        <v>89</v>
      </c>
      <c r="AF2" s="274" t="s">
        <v>492</v>
      </c>
    </row>
    <row r="3" spans="1:32" ht="13" x14ac:dyDescent="0.3">
      <c r="A3" s="189" t="s">
        <v>256</v>
      </c>
      <c r="B3" s="82">
        <v>2</v>
      </c>
      <c r="C3" s="82">
        <v>7</v>
      </c>
      <c r="D3" s="82">
        <v>4</v>
      </c>
      <c r="E3" s="82">
        <v>1</v>
      </c>
      <c r="F3" s="82">
        <v>3</v>
      </c>
      <c r="G3" s="82">
        <v>3</v>
      </c>
      <c r="H3" s="82">
        <v>6</v>
      </c>
      <c r="I3" s="82">
        <v>4</v>
      </c>
      <c r="J3" s="82">
        <v>6</v>
      </c>
      <c r="K3" s="82">
        <v>9</v>
      </c>
      <c r="L3" s="82">
        <v>4</v>
      </c>
      <c r="M3" s="82">
        <v>6</v>
      </c>
      <c r="N3" s="82">
        <v>0</v>
      </c>
      <c r="O3" s="82">
        <v>0</v>
      </c>
      <c r="P3" s="82">
        <v>1</v>
      </c>
      <c r="Q3" s="384">
        <f>MEDIAN(B3:P3)</f>
        <v>4</v>
      </c>
      <c r="S3" s="189" t="s">
        <v>256</v>
      </c>
      <c r="T3" s="82"/>
      <c r="U3" s="82"/>
      <c r="V3" s="82"/>
      <c r="W3" s="82">
        <f>E3*2</f>
        <v>2</v>
      </c>
      <c r="X3" s="82">
        <f>F3*2</f>
        <v>6</v>
      </c>
      <c r="Y3" s="82">
        <f>G3*2</f>
        <v>6</v>
      </c>
      <c r="Z3" s="82">
        <f>((I3+J3)/2)*2</f>
        <v>10</v>
      </c>
      <c r="AA3" s="82">
        <f>((J3+K3)/2)*2</f>
        <v>15</v>
      </c>
      <c r="AB3" s="82">
        <f>((K3+L3)/2)*2</f>
        <v>13</v>
      </c>
      <c r="AC3" s="82">
        <f>N3*2</f>
        <v>0</v>
      </c>
      <c r="AD3" s="82"/>
      <c r="AE3" s="82"/>
      <c r="AF3" s="384">
        <f>MEDIAN(T3:AE3)</f>
        <v>6</v>
      </c>
    </row>
    <row r="4" spans="1:32" ht="13" x14ac:dyDescent="0.3">
      <c r="A4" s="189" t="s">
        <v>247</v>
      </c>
      <c r="B4" s="82">
        <v>29</v>
      </c>
      <c r="C4" s="82">
        <v>33</v>
      </c>
      <c r="D4" s="82">
        <v>27</v>
      </c>
      <c r="E4" s="82">
        <v>14</v>
      </c>
      <c r="F4" s="82">
        <v>26</v>
      </c>
      <c r="G4" s="82">
        <v>29</v>
      </c>
      <c r="H4" s="82">
        <v>44</v>
      </c>
      <c r="I4" s="82">
        <v>47</v>
      </c>
      <c r="J4" s="82">
        <v>4</v>
      </c>
      <c r="K4" s="82">
        <v>28</v>
      </c>
      <c r="L4" s="82">
        <v>19</v>
      </c>
      <c r="M4" s="82">
        <v>28</v>
      </c>
      <c r="N4" s="82">
        <v>16</v>
      </c>
      <c r="O4" s="82">
        <v>19</v>
      </c>
      <c r="P4" s="82">
        <v>34</v>
      </c>
      <c r="Q4" s="384">
        <f t="shared" ref="Q4:Q10" si="0">MEDIAN(B4:P4)</f>
        <v>28</v>
      </c>
      <c r="S4" s="189" t="s">
        <v>247</v>
      </c>
      <c r="T4" s="82">
        <f t="shared" ref="T4:T8" si="1">B4*2</f>
        <v>58</v>
      </c>
      <c r="U4" s="82">
        <f t="shared" ref="U4:U8" si="2">C4*2</f>
        <v>66</v>
      </c>
      <c r="V4" s="82">
        <f t="shared" ref="V4:V8" si="3">D4*2</f>
        <v>54</v>
      </c>
      <c r="W4" s="82">
        <f t="shared" ref="W4:W8" si="4">E4*2</f>
        <v>28</v>
      </c>
      <c r="X4" s="82">
        <f t="shared" ref="X4:X7" si="5">F4*2</f>
        <v>52</v>
      </c>
      <c r="Y4" s="82">
        <f t="shared" ref="Y4:Y8" si="6">G4*2</f>
        <v>58</v>
      </c>
      <c r="Z4" s="82">
        <f>((H4+I4)/2)*2</f>
        <v>91</v>
      </c>
      <c r="AA4" s="82">
        <f t="shared" ref="AA4:AA8" si="7">((J4+K4)/2)*2</f>
        <v>32</v>
      </c>
      <c r="AB4" s="82">
        <f>((L4+M4)/2)*2</f>
        <v>47</v>
      </c>
      <c r="AC4" s="82">
        <f t="shared" ref="AC4:AC7" si="8">N4*2</f>
        <v>32</v>
      </c>
      <c r="AD4" s="82">
        <f t="shared" ref="AD4:AD7" si="9">O4*2</f>
        <v>38</v>
      </c>
      <c r="AE4" s="82">
        <f t="shared" ref="AE4:AE7" si="10">P4*2</f>
        <v>68</v>
      </c>
      <c r="AF4" s="384">
        <f t="shared" ref="AF4:AF10" si="11">MEDIAN(T4:AE4)</f>
        <v>53</v>
      </c>
    </row>
    <row r="5" spans="1:32" ht="13" x14ac:dyDescent="0.3">
      <c r="A5" s="478" t="s">
        <v>574</v>
      </c>
      <c r="B5" s="82">
        <v>8</v>
      </c>
      <c r="C5" s="82">
        <v>6</v>
      </c>
      <c r="D5" s="82">
        <v>5</v>
      </c>
      <c r="E5" s="82">
        <v>2</v>
      </c>
      <c r="F5" s="82">
        <v>2</v>
      </c>
      <c r="G5" s="82">
        <v>6</v>
      </c>
      <c r="H5" s="82">
        <v>3</v>
      </c>
      <c r="I5" s="82">
        <v>3</v>
      </c>
      <c r="J5" s="82">
        <v>0</v>
      </c>
      <c r="K5" s="82">
        <v>4</v>
      </c>
      <c r="L5" s="82">
        <v>6</v>
      </c>
      <c r="M5" s="82">
        <v>3</v>
      </c>
      <c r="N5" s="82">
        <v>2</v>
      </c>
      <c r="O5" s="82">
        <v>0</v>
      </c>
      <c r="P5" s="82">
        <v>1</v>
      </c>
      <c r="Q5" s="384">
        <f t="shared" si="0"/>
        <v>3</v>
      </c>
      <c r="S5" s="478" t="s">
        <v>574</v>
      </c>
      <c r="T5" s="82">
        <f t="shared" si="1"/>
        <v>16</v>
      </c>
      <c r="U5" s="82">
        <f t="shared" si="2"/>
        <v>12</v>
      </c>
      <c r="V5" s="82">
        <f t="shared" si="3"/>
        <v>10</v>
      </c>
      <c r="W5" s="82">
        <f t="shared" si="4"/>
        <v>4</v>
      </c>
      <c r="X5" s="82">
        <f t="shared" si="5"/>
        <v>4</v>
      </c>
      <c r="Y5" s="82">
        <f t="shared" si="6"/>
        <v>12</v>
      </c>
      <c r="Z5" s="82">
        <f t="shared" ref="Z5:Z8" si="12">((I5+J5)/2)*2</f>
        <v>3</v>
      </c>
      <c r="AA5" s="82">
        <f t="shared" si="7"/>
        <v>4</v>
      </c>
      <c r="AB5" s="82">
        <f t="shared" ref="AB5" si="13">((K5+L5)/2)*2</f>
        <v>10</v>
      </c>
      <c r="AC5" s="82">
        <f t="shared" si="8"/>
        <v>4</v>
      </c>
      <c r="AD5" s="82"/>
      <c r="AE5" s="82">
        <f t="shared" si="10"/>
        <v>2</v>
      </c>
      <c r="AF5" s="384">
        <f t="shared" si="11"/>
        <v>4</v>
      </c>
    </row>
    <row r="6" spans="1:32" ht="13" x14ac:dyDescent="0.3">
      <c r="A6" s="478" t="s">
        <v>575</v>
      </c>
      <c r="B6" s="82">
        <v>3</v>
      </c>
      <c r="C6" s="82">
        <v>2</v>
      </c>
      <c r="D6" s="82">
        <v>8</v>
      </c>
      <c r="E6" s="82">
        <v>1</v>
      </c>
      <c r="F6" s="82">
        <v>4</v>
      </c>
      <c r="G6" s="82">
        <v>4</v>
      </c>
      <c r="H6" s="82">
        <v>2</v>
      </c>
      <c r="I6" s="82">
        <v>9</v>
      </c>
      <c r="J6" s="82">
        <v>1</v>
      </c>
      <c r="K6" s="82">
        <v>5</v>
      </c>
      <c r="L6" s="82">
        <v>2</v>
      </c>
      <c r="M6" s="82">
        <v>2</v>
      </c>
      <c r="N6" s="82">
        <v>3</v>
      </c>
      <c r="O6" s="82">
        <v>1</v>
      </c>
      <c r="P6" s="82">
        <v>6</v>
      </c>
      <c r="Q6" s="384">
        <f t="shared" si="0"/>
        <v>3</v>
      </c>
      <c r="S6" s="478" t="s">
        <v>575</v>
      </c>
      <c r="T6" s="82">
        <f t="shared" si="1"/>
        <v>6</v>
      </c>
      <c r="U6" s="82">
        <f t="shared" si="2"/>
        <v>4</v>
      </c>
      <c r="V6" s="82">
        <f t="shared" si="3"/>
        <v>16</v>
      </c>
      <c r="W6" s="82">
        <f t="shared" si="4"/>
        <v>2</v>
      </c>
      <c r="X6" s="82">
        <f t="shared" si="5"/>
        <v>8</v>
      </c>
      <c r="Y6" s="82">
        <f t="shared" si="6"/>
        <v>8</v>
      </c>
      <c r="Z6" s="82">
        <f t="shared" ref="Z6" si="14">H6*2</f>
        <v>4</v>
      </c>
      <c r="AA6" s="82">
        <f t="shared" ref="AA6" si="15">I6*2</f>
        <v>18</v>
      </c>
      <c r="AB6" s="82">
        <f t="shared" ref="AB6" si="16">J6*2</f>
        <v>2</v>
      </c>
      <c r="AC6" s="82">
        <f t="shared" ref="AC6" si="17">K6*2</f>
        <v>10</v>
      </c>
      <c r="AD6" s="82">
        <f t="shared" ref="AD6" si="18">L6*2</f>
        <v>4</v>
      </c>
      <c r="AE6" s="82">
        <f t="shared" ref="AE6" si="19">M6*2</f>
        <v>4</v>
      </c>
      <c r="AF6" s="384">
        <f t="shared" si="11"/>
        <v>5</v>
      </c>
    </row>
    <row r="7" spans="1:32" ht="13" x14ac:dyDescent="0.3">
      <c r="A7" s="189" t="s">
        <v>249</v>
      </c>
      <c r="B7" s="82">
        <v>6</v>
      </c>
      <c r="C7" s="82">
        <v>11</v>
      </c>
      <c r="D7" s="82">
        <v>31</v>
      </c>
      <c r="E7" s="82">
        <v>9</v>
      </c>
      <c r="F7" s="82">
        <v>57</v>
      </c>
      <c r="G7" s="82">
        <v>69</v>
      </c>
      <c r="H7" s="82">
        <v>31</v>
      </c>
      <c r="I7" s="82">
        <v>47</v>
      </c>
      <c r="J7" s="82">
        <v>6</v>
      </c>
      <c r="K7" s="82">
        <v>58</v>
      </c>
      <c r="L7" s="82">
        <v>50</v>
      </c>
      <c r="M7" s="82">
        <v>44</v>
      </c>
      <c r="N7" s="82">
        <v>51</v>
      </c>
      <c r="O7" s="82">
        <v>8</v>
      </c>
      <c r="P7" s="82">
        <v>22</v>
      </c>
      <c r="Q7" s="384">
        <f t="shared" si="0"/>
        <v>31</v>
      </c>
      <c r="S7" s="189" t="s">
        <v>249</v>
      </c>
      <c r="T7" s="82">
        <f t="shared" si="1"/>
        <v>12</v>
      </c>
      <c r="U7" s="82">
        <f t="shared" si="2"/>
        <v>22</v>
      </c>
      <c r="V7" s="82">
        <f t="shared" si="3"/>
        <v>62</v>
      </c>
      <c r="W7" s="82">
        <f t="shared" si="4"/>
        <v>18</v>
      </c>
      <c r="X7" s="82">
        <f t="shared" si="5"/>
        <v>114</v>
      </c>
      <c r="Y7" s="82">
        <f t="shared" si="6"/>
        <v>138</v>
      </c>
      <c r="Z7" s="82">
        <f>((H7+I7)/2)*2</f>
        <v>78</v>
      </c>
      <c r="AA7" s="82">
        <f t="shared" si="7"/>
        <v>64</v>
      </c>
      <c r="AB7" s="82">
        <f>((L7+M7)/2)*2</f>
        <v>94</v>
      </c>
      <c r="AC7" s="82">
        <f t="shared" si="8"/>
        <v>102</v>
      </c>
      <c r="AD7" s="82">
        <f t="shared" si="9"/>
        <v>16</v>
      </c>
      <c r="AE7" s="82">
        <f t="shared" si="10"/>
        <v>44</v>
      </c>
      <c r="AF7" s="384">
        <f t="shared" si="11"/>
        <v>63</v>
      </c>
    </row>
    <row r="8" spans="1:32" ht="13" x14ac:dyDescent="0.3">
      <c r="A8" s="189" t="s">
        <v>250</v>
      </c>
      <c r="B8" s="82">
        <v>1</v>
      </c>
      <c r="C8" s="82">
        <v>3</v>
      </c>
      <c r="D8" s="82">
        <v>1</v>
      </c>
      <c r="E8" s="82">
        <v>1</v>
      </c>
      <c r="F8" s="82">
        <v>1</v>
      </c>
      <c r="G8" s="82">
        <v>21</v>
      </c>
      <c r="H8" s="82">
        <v>9</v>
      </c>
      <c r="I8" s="82">
        <v>12</v>
      </c>
      <c r="J8" s="82">
        <v>19</v>
      </c>
      <c r="K8" s="82">
        <v>15</v>
      </c>
      <c r="L8" s="82">
        <v>3</v>
      </c>
      <c r="M8" s="82">
        <v>20</v>
      </c>
      <c r="N8" s="82">
        <v>0</v>
      </c>
      <c r="O8" s="82">
        <v>0</v>
      </c>
      <c r="P8" s="82">
        <v>0</v>
      </c>
      <c r="Q8" s="384">
        <f t="shared" si="0"/>
        <v>3</v>
      </c>
      <c r="S8" s="189" t="s">
        <v>250</v>
      </c>
      <c r="T8" s="82">
        <f t="shared" si="1"/>
        <v>2</v>
      </c>
      <c r="U8" s="82">
        <f t="shared" si="2"/>
        <v>6</v>
      </c>
      <c r="V8" s="82">
        <f t="shared" si="3"/>
        <v>2</v>
      </c>
      <c r="W8" s="82">
        <f t="shared" si="4"/>
        <v>2</v>
      </c>
      <c r="X8" s="388"/>
      <c r="Y8" s="388">
        <f t="shared" si="6"/>
        <v>42</v>
      </c>
      <c r="Z8" s="388">
        <f t="shared" si="12"/>
        <v>31</v>
      </c>
      <c r="AA8" s="388">
        <f t="shared" si="7"/>
        <v>34</v>
      </c>
      <c r="AB8" s="388">
        <f>((L8+M8)/2)*2</f>
        <v>23</v>
      </c>
      <c r="AC8" s="82"/>
      <c r="AD8" s="82"/>
      <c r="AE8" s="82"/>
      <c r="AF8" s="384">
        <f t="shared" si="11"/>
        <v>14.5</v>
      </c>
    </row>
    <row r="9" spans="1:32" ht="13" x14ac:dyDescent="0.3">
      <c r="A9" s="478" t="s">
        <v>490</v>
      </c>
      <c r="B9" s="82">
        <v>0</v>
      </c>
      <c r="C9" s="82">
        <v>0</v>
      </c>
      <c r="D9" s="82">
        <v>0</v>
      </c>
      <c r="E9" s="82">
        <v>16</v>
      </c>
      <c r="F9" s="82">
        <v>32</v>
      </c>
      <c r="G9" s="82">
        <v>26</v>
      </c>
      <c r="H9" s="82">
        <v>26</v>
      </c>
      <c r="I9" s="82">
        <v>26</v>
      </c>
      <c r="J9" s="82">
        <v>13</v>
      </c>
      <c r="K9" s="82">
        <v>15</v>
      </c>
      <c r="L9" s="82">
        <v>16</v>
      </c>
      <c r="M9" s="82">
        <v>14</v>
      </c>
      <c r="N9" s="82">
        <v>0</v>
      </c>
      <c r="O9" s="82">
        <v>0</v>
      </c>
      <c r="P9" s="82">
        <v>0</v>
      </c>
      <c r="Q9" s="384">
        <f t="shared" si="0"/>
        <v>14</v>
      </c>
      <c r="S9" s="189" t="s">
        <v>490</v>
      </c>
      <c r="T9" s="82"/>
      <c r="U9" s="82"/>
      <c r="V9" s="82"/>
      <c r="W9" s="82">
        <f t="shared" ref="W9:Z9" si="20">E9</f>
        <v>16</v>
      </c>
      <c r="X9" s="82">
        <f t="shared" si="20"/>
        <v>32</v>
      </c>
      <c r="Y9" s="82">
        <f t="shared" si="20"/>
        <v>26</v>
      </c>
      <c r="Z9" s="82">
        <f t="shared" si="20"/>
        <v>26</v>
      </c>
      <c r="AA9" s="82">
        <v>14</v>
      </c>
      <c r="AB9" s="82">
        <v>14</v>
      </c>
      <c r="AC9" s="82"/>
      <c r="AD9" s="82"/>
      <c r="AE9" s="82"/>
      <c r="AF9" s="384">
        <f t="shared" si="11"/>
        <v>21</v>
      </c>
    </row>
    <row r="10" spans="1:32" ht="13" x14ac:dyDescent="0.3">
      <c r="A10" s="721" t="s">
        <v>895</v>
      </c>
      <c r="B10">
        <f>SUM(B8:B9)</f>
        <v>1</v>
      </c>
      <c r="C10">
        <f t="shared" ref="C10:P10" si="21">SUM(C8:C9)</f>
        <v>3</v>
      </c>
      <c r="D10">
        <f t="shared" si="21"/>
        <v>1</v>
      </c>
      <c r="E10">
        <f t="shared" si="21"/>
        <v>17</v>
      </c>
      <c r="F10">
        <f t="shared" si="21"/>
        <v>33</v>
      </c>
      <c r="G10">
        <f t="shared" si="21"/>
        <v>47</v>
      </c>
      <c r="H10">
        <f t="shared" si="21"/>
        <v>35</v>
      </c>
      <c r="I10">
        <f t="shared" si="21"/>
        <v>38</v>
      </c>
      <c r="J10">
        <f t="shared" si="21"/>
        <v>32</v>
      </c>
      <c r="K10">
        <f t="shared" si="21"/>
        <v>30</v>
      </c>
      <c r="L10">
        <f t="shared" si="21"/>
        <v>19</v>
      </c>
      <c r="M10">
        <f t="shared" si="21"/>
        <v>34</v>
      </c>
      <c r="N10">
        <f t="shared" si="21"/>
        <v>0</v>
      </c>
      <c r="O10">
        <f t="shared" si="21"/>
        <v>0</v>
      </c>
      <c r="P10">
        <f t="shared" si="21"/>
        <v>0</v>
      </c>
      <c r="Q10" s="384">
        <f t="shared" si="0"/>
        <v>19</v>
      </c>
      <c r="S10" s="721" t="s">
        <v>895</v>
      </c>
      <c r="T10" s="192">
        <f>SUM(T8:T9)</f>
        <v>2</v>
      </c>
      <c r="U10" s="192">
        <f t="shared" ref="U10:AB10" si="22">SUM(U8:U9)</f>
        <v>6</v>
      </c>
      <c r="V10" s="192">
        <f t="shared" si="22"/>
        <v>2</v>
      </c>
      <c r="W10" s="192">
        <f t="shared" si="22"/>
        <v>18</v>
      </c>
      <c r="X10" s="192">
        <f t="shared" si="22"/>
        <v>32</v>
      </c>
      <c r="Y10" s="192">
        <f t="shared" si="22"/>
        <v>68</v>
      </c>
      <c r="Z10" s="192">
        <f t="shared" si="22"/>
        <v>57</v>
      </c>
      <c r="AA10" s="192">
        <f t="shared" si="22"/>
        <v>48</v>
      </c>
      <c r="AB10" s="192">
        <f t="shared" si="22"/>
        <v>37</v>
      </c>
      <c r="AC10" s="192"/>
      <c r="AD10" s="192"/>
      <c r="AE10" s="192"/>
      <c r="AF10" s="384">
        <f t="shared" si="11"/>
        <v>32</v>
      </c>
    </row>
    <row r="11" spans="1:32" ht="13" x14ac:dyDescent="0.3">
      <c r="A11" s="189" t="s">
        <v>251</v>
      </c>
      <c r="B11" s="82">
        <v>23</v>
      </c>
      <c r="C11" s="82">
        <v>17</v>
      </c>
      <c r="D11" s="82">
        <v>42</v>
      </c>
      <c r="E11" s="82">
        <v>26</v>
      </c>
      <c r="F11" s="82">
        <v>37</v>
      </c>
      <c r="G11" s="82">
        <v>60</v>
      </c>
      <c r="H11" s="82">
        <v>19</v>
      </c>
      <c r="I11" s="82">
        <v>27</v>
      </c>
      <c r="J11" s="82">
        <v>6</v>
      </c>
      <c r="K11" s="82">
        <v>22</v>
      </c>
      <c r="L11" s="82">
        <v>28</v>
      </c>
      <c r="M11" s="82">
        <v>26</v>
      </c>
      <c r="N11" s="82">
        <v>29</v>
      </c>
      <c r="O11" s="82">
        <v>24</v>
      </c>
      <c r="P11" s="82">
        <v>15</v>
      </c>
      <c r="Q11" s="384">
        <f t="shared" ref="Q11:Q16" si="23">MEDIAN(B11:P11)</f>
        <v>26</v>
      </c>
      <c r="S11" s="189" t="s">
        <v>251</v>
      </c>
      <c r="T11" s="82">
        <f t="shared" ref="T11:Y11" si="24">B11*2</f>
        <v>46</v>
      </c>
      <c r="U11" s="82">
        <f t="shared" si="24"/>
        <v>34</v>
      </c>
      <c r="V11" s="82">
        <f t="shared" si="24"/>
        <v>84</v>
      </c>
      <c r="W11" s="82">
        <f t="shared" si="24"/>
        <v>52</v>
      </c>
      <c r="X11" s="82">
        <f t="shared" si="24"/>
        <v>74</v>
      </c>
      <c r="Y11" s="82">
        <f t="shared" si="24"/>
        <v>120</v>
      </c>
      <c r="Z11" s="82">
        <f>((H11+I11)/2)*2</f>
        <v>46</v>
      </c>
      <c r="AA11" s="82">
        <f>((J11+K11)/2)*2</f>
        <v>28</v>
      </c>
      <c r="AB11" s="82">
        <f>((L11+M11)/2)*2</f>
        <v>54</v>
      </c>
      <c r="AC11" s="82">
        <f>N11*2</f>
        <v>58</v>
      </c>
      <c r="AD11" s="82">
        <f>O11*2</f>
        <v>48</v>
      </c>
      <c r="AE11" s="82">
        <f>P11*2</f>
        <v>30</v>
      </c>
      <c r="AF11" s="384">
        <f t="shared" ref="AF11:AF16" si="25">MEDIAN(T11:AE11)</f>
        <v>50</v>
      </c>
    </row>
    <row r="12" spans="1:32" ht="13" x14ac:dyDescent="0.3">
      <c r="A12" s="189" t="s">
        <v>489</v>
      </c>
      <c r="B12" s="82">
        <v>0</v>
      </c>
      <c r="C12" s="82">
        <v>0</v>
      </c>
      <c r="D12" s="82">
        <v>2</v>
      </c>
      <c r="E12" s="82">
        <v>2</v>
      </c>
      <c r="F12" s="82">
        <v>3</v>
      </c>
      <c r="G12" s="82">
        <v>7</v>
      </c>
      <c r="H12" s="82">
        <v>12</v>
      </c>
      <c r="I12" s="82">
        <v>13</v>
      </c>
      <c r="J12" s="82">
        <v>4</v>
      </c>
      <c r="K12" s="82">
        <v>9</v>
      </c>
      <c r="L12" s="82">
        <v>2</v>
      </c>
      <c r="M12" s="82">
        <v>5</v>
      </c>
      <c r="N12" s="82">
        <v>4</v>
      </c>
      <c r="O12" s="82">
        <v>0</v>
      </c>
      <c r="P12" s="82">
        <v>0</v>
      </c>
      <c r="Q12" s="384">
        <f t="shared" si="23"/>
        <v>3</v>
      </c>
      <c r="S12" s="189" t="s">
        <v>489</v>
      </c>
      <c r="T12" s="82"/>
      <c r="U12" s="82"/>
      <c r="V12" s="82"/>
      <c r="W12" s="82"/>
      <c r="X12" s="82"/>
      <c r="Y12" s="388">
        <f>G12*1.5</f>
        <v>10.5</v>
      </c>
      <c r="Z12" s="388">
        <f>H12*1.5</f>
        <v>18</v>
      </c>
      <c r="AA12" s="388">
        <f>I12*1.5</f>
        <v>19.5</v>
      </c>
      <c r="AB12" s="388">
        <f>J12*1.5</f>
        <v>6</v>
      </c>
      <c r="AC12" s="82">
        <f>N12*2</f>
        <v>8</v>
      </c>
      <c r="AD12" s="82"/>
      <c r="AE12" s="82"/>
      <c r="AF12" s="384">
        <f t="shared" si="25"/>
        <v>10.5</v>
      </c>
    </row>
    <row r="13" spans="1:32" ht="13" x14ac:dyDescent="0.3">
      <c r="A13" s="189" t="s">
        <v>253</v>
      </c>
      <c r="B13" s="82">
        <v>0</v>
      </c>
      <c r="C13" s="82">
        <v>0</v>
      </c>
      <c r="D13" s="82">
        <v>0</v>
      </c>
      <c r="E13" s="82">
        <v>0</v>
      </c>
      <c r="F13" s="82">
        <v>16</v>
      </c>
      <c r="G13" s="82">
        <v>30</v>
      </c>
      <c r="H13" s="82">
        <v>27</v>
      </c>
      <c r="I13" s="82">
        <v>26</v>
      </c>
      <c r="J13" s="82">
        <v>16</v>
      </c>
      <c r="K13" s="82">
        <v>15</v>
      </c>
      <c r="L13" s="82">
        <v>22</v>
      </c>
      <c r="M13" s="82">
        <v>14</v>
      </c>
      <c r="N13" s="82">
        <v>5</v>
      </c>
      <c r="O13" s="82">
        <v>0</v>
      </c>
      <c r="P13" s="82">
        <v>0</v>
      </c>
      <c r="Q13" s="384">
        <f t="shared" si="23"/>
        <v>14</v>
      </c>
      <c r="S13" s="189" t="s">
        <v>253</v>
      </c>
      <c r="T13" s="82"/>
      <c r="U13" s="82"/>
      <c r="V13" s="82"/>
      <c r="W13" s="388">
        <f t="shared" ref="W13:AC13" si="26">E13*1.1</f>
        <v>0</v>
      </c>
      <c r="X13" s="388">
        <f t="shared" si="26"/>
        <v>17.600000000000001</v>
      </c>
      <c r="Y13" s="388">
        <f t="shared" si="26"/>
        <v>33</v>
      </c>
      <c r="Z13" s="388">
        <f t="shared" si="26"/>
        <v>29.700000000000003</v>
      </c>
      <c r="AA13" s="388">
        <f t="shared" si="26"/>
        <v>28.6</v>
      </c>
      <c r="AB13" s="388">
        <f t="shared" si="26"/>
        <v>17.600000000000001</v>
      </c>
      <c r="AC13" s="388">
        <f t="shared" si="26"/>
        <v>16.5</v>
      </c>
      <c r="AD13" s="82"/>
      <c r="AE13" s="82"/>
      <c r="AF13" s="384">
        <f t="shared" si="25"/>
        <v>17.600000000000001</v>
      </c>
    </row>
    <row r="14" spans="1:32" ht="13" x14ac:dyDescent="0.3">
      <c r="A14" s="189" t="s">
        <v>257</v>
      </c>
      <c r="B14" s="82">
        <v>0</v>
      </c>
      <c r="C14" s="82">
        <v>0</v>
      </c>
      <c r="D14" s="82">
        <v>0</v>
      </c>
      <c r="E14" s="82">
        <v>0</v>
      </c>
      <c r="F14" s="82">
        <v>4</v>
      </c>
      <c r="G14" s="82">
        <v>50</v>
      </c>
      <c r="H14" s="82">
        <v>100</v>
      </c>
      <c r="I14" s="82">
        <v>110</v>
      </c>
      <c r="J14" s="82">
        <v>135</v>
      </c>
      <c r="K14" s="82">
        <v>125</v>
      </c>
      <c r="L14" s="82">
        <v>2</v>
      </c>
      <c r="M14" s="82">
        <v>1</v>
      </c>
      <c r="N14" s="82">
        <v>0</v>
      </c>
      <c r="O14" s="82">
        <v>0</v>
      </c>
      <c r="P14" s="82">
        <v>0</v>
      </c>
      <c r="Q14" s="384">
        <f t="shared" si="23"/>
        <v>1</v>
      </c>
      <c r="S14" s="189" t="s">
        <v>257</v>
      </c>
      <c r="T14" s="82"/>
      <c r="U14" s="82"/>
      <c r="V14" s="82"/>
      <c r="W14" s="82"/>
      <c r="X14" s="388">
        <f>F14*1.5</f>
        <v>6</v>
      </c>
      <c r="Y14" s="388">
        <f>G14*1.5</f>
        <v>75</v>
      </c>
      <c r="Z14" s="388">
        <f>H14*1.5</f>
        <v>150</v>
      </c>
      <c r="AA14" s="388">
        <f>J14*1.5</f>
        <v>202.5</v>
      </c>
      <c r="AB14" s="388">
        <f>L14*1.5</f>
        <v>3</v>
      </c>
      <c r="AC14" s="82"/>
      <c r="AD14" s="82"/>
      <c r="AE14" s="82"/>
      <c r="AF14" s="384">
        <f t="shared" si="25"/>
        <v>75</v>
      </c>
    </row>
    <row r="15" spans="1:32" ht="13" x14ac:dyDescent="0.3">
      <c r="A15" s="189" t="s">
        <v>491</v>
      </c>
      <c r="B15" s="82">
        <v>0</v>
      </c>
      <c r="C15" s="82">
        <v>0</v>
      </c>
      <c r="D15" s="82">
        <v>0</v>
      </c>
      <c r="E15" s="82">
        <v>0</v>
      </c>
      <c r="F15" s="82">
        <v>1</v>
      </c>
      <c r="G15" s="82">
        <v>4</v>
      </c>
      <c r="H15" s="82">
        <v>3</v>
      </c>
      <c r="I15" s="82">
        <v>6</v>
      </c>
      <c r="J15" s="82">
        <v>5</v>
      </c>
      <c r="K15" s="82">
        <v>9</v>
      </c>
      <c r="L15" s="82">
        <v>2</v>
      </c>
      <c r="M15" s="82">
        <v>1</v>
      </c>
      <c r="N15" s="82">
        <v>0</v>
      </c>
      <c r="O15" s="82">
        <v>0</v>
      </c>
      <c r="P15" s="82">
        <v>0</v>
      </c>
      <c r="Q15" s="384">
        <f t="shared" si="23"/>
        <v>1</v>
      </c>
      <c r="S15" s="189" t="s">
        <v>491</v>
      </c>
      <c r="T15" s="82"/>
      <c r="U15" s="82"/>
      <c r="V15" s="82"/>
      <c r="W15" s="82"/>
      <c r="X15" s="82"/>
      <c r="Y15" s="82">
        <f>G15*2</f>
        <v>8</v>
      </c>
      <c r="Z15" s="82">
        <f t="shared" ref="Z15:AB16" si="27">((I15+J15)/2)*2</f>
        <v>11</v>
      </c>
      <c r="AA15" s="82">
        <f t="shared" si="27"/>
        <v>14</v>
      </c>
      <c r="AB15" s="82">
        <f t="shared" si="27"/>
        <v>11</v>
      </c>
      <c r="AC15" s="82"/>
      <c r="AD15" s="82"/>
      <c r="AE15" s="82"/>
      <c r="AF15" s="384">
        <f t="shared" si="25"/>
        <v>11</v>
      </c>
    </row>
    <row r="16" spans="1:32" ht="13" x14ac:dyDescent="0.3">
      <c r="A16" s="189" t="s">
        <v>261</v>
      </c>
      <c r="B16" s="82">
        <v>0</v>
      </c>
      <c r="C16" s="82">
        <v>0</v>
      </c>
      <c r="D16" s="82">
        <v>0</v>
      </c>
      <c r="E16" s="82">
        <v>0</v>
      </c>
      <c r="F16" s="82">
        <v>0</v>
      </c>
      <c r="G16" s="82">
        <v>1</v>
      </c>
      <c r="H16" s="82">
        <v>2</v>
      </c>
      <c r="I16" s="82">
        <v>3</v>
      </c>
      <c r="J16" s="82">
        <v>4</v>
      </c>
      <c r="K16" s="82">
        <v>6</v>
      </c>
      <c r="L16" s="82">
        <v>2</v>
      </c>
      <c r="M16" s="82">
        <v>0</v>
      </c>
      <c r="N16" s="82">
        <v>0</v>
      </c>
      <c r="O16" s="82">
        <v>0</v>
      </c>
      <c r="P16" s="82">
        <v>0</v>
      </c>
      <c r="Q16" s="384">
        <f t="shared" si="23"/>
        <v>0</v>
      </c>
      <c r="S16" s="189" t="s">
        <v>261</v>
      </c>
      <c r="T16" s="82"/>
      <c r="U16" s="82"/>
      <c r="V16" s="82"/>
      <c r="W16" s="82"/>
      <c r="X16" s="82"/>
      <c r="Y16" s="82">
        <f>G16*2</f>
        <v>2</v>
      </c>
      <c r="Z16" s="82">
        <f t="shared" si="27"/>
        <v>7</v>
      </c>
      <c r="AA16" s="82">
        <f t="shared" si="27"/>
        <v>10</v>
      </c>
      <c r="AB16" s="82">
        <f t="shared" si="27"/>
        <v>8</v>
      </c>
      <c r="AC16" s="82"/>
      <c r="AD16" s="82"/>
      <c r="AE16" s="82"/>
      <c r="AF16" s="384">
        <f t="shared" si="25"/>
        <v>7.5</v>
      </c>
    </row>
  </sheetData>
  <mergeCells count="4">
    <mergeCell ref="B1:P1"/>
    <mergeCell ref="A1:A2"/>
    <mergeCell ref="S1:S2"/>
    <mergeCell ref="T1:AE1"/>
  </mergeCells>
  <pageMargins left="0.48" right="0.44"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K16"/>
  <sheetViews>
    <sheetView workbookViewId="0">
      <selection activeCell="A21" sqref="A21"/>
    </sheetView>
  </sheetViews>
  <sheetFormatPr defaultRowHeight="12.5" x14ac:dyDescent="0.25"/>
  <cols>
    <col min="2" max="2" width="14.6328125" bestFit="1" customWidth="1"/>
    <col min="3" max="3" width="6.6328125" bestFit="1" customWidth="1"/>
    <col min="4" max="4" width="10.54296875" bestFit="1" customWidth="1"/>
    <col min="5" max="5" width="12.90625" bestFit="1" customWidth="1"/>
    <col min="6" max="6" width="6.54296875" bestFit="1" customWidth="1"/>
    <col min="7" max="7" width="3.90625" bestFit="1" customWidth="1"/>
    <col min="8" max="8" width="10.453125" bestFit="1" customWidth="1"/>
    <col min="9" max="10" width="10.08984375" bestFit="1" customWidth="1"/>
    <col min="11" max="11" width="11.6328125" bestFit="1" customWidth="1"/>
  </cols>
  <sheetData>
    <row r="1" spans="2:11" ht="13" thickBot="1" x14ac:dyDescent="0.3"/>
    <row r="2" spans="2:11" ht="13" thickBot="1" x14ac:dyDescent="0.3">
      <c r="B2" s="495"/>
      <c r="C2" s="495"/>
      <c r="D2" s="984">
        <v>40360</v>
      </c>
      <c r="E2" s="985"/>
      <c r="F2" s="985"/>
      <c r="G2" s="985"/>
      <c r="H2" s="496"/>
      <c r="I2" s="495"/>
      <c r="J2" s="495"/>
      <c r="K2" s="495"/>
    </row>
    <row r="3" spans="2:11" ht="23" customHeight="1" x14ac:dyDescent="0.25">
      <c r="B3" s="495"/>
      <c r="C3" s="495" t="s">
        <v>618</v>
      </c>
      <c r="D3" s="497" t="s">
        <v>621</v>
      </c>
      <c r="E3" s="497" t="s">
        <v>622</v>
      </c>
      <c r="F3" s="497" t="s">
        <v>623</v>
      </c>
      <c r="G3" s="504" t="s">
        <v>174</v>
      </c>
      <c r="H3" s="498" t="s">
        <v>564</v>
      </c>
      <c r="I3" s="499" t="s">
        <v>150</v>
      </c>
      <c r="J3" s="499" t="s">
        <v>624</v>
      </c>
      <c r="K3" s="499" t="s">
        <v>76</v>
      </c>
    </row>
    <row r="4" spans="2:11" ht="13" thickBot="1" x14ac:dyDescent="0.3">
      <c r="B4" s="493" t="s">
        <v>611</v>
      </c>
      <c r="C4" s="495">
        <v>3</v>
      </c>
      <c r="D4" s="493">
        <v>7.46</v>
      </c>
      <c r="E4" s="493">
        <v>0.02</v>
      </c>
      <c r="F4" s="493">
        <v>7.9</v>
      </c>
      <c r="G4" s="493">
        <v>8.43</v>
      </c>
      <c r="H4" s="500">
        <v>237</v>
      </c>
      <c r="I4" s="501">
        <v>3</v>
      </c>
      <c r="J4" s="501">
        <v>15</v>
      </c>
      <c r="K4" s="501">
        <v>17</v>
      </c>
    </row>
    <row r="5" spans="2:11" ht="13" thickBot="1" x14ac:dyDescent="0.3">
      <c r="B5" s="493" t="s">
        <v>619</v>
      </c>
      <c r="C5" s="495">
        <v>3.1</v>
      </c>
      <c r="D5" s="493">
        <v>7.64</v>
      </c>
      <c r="E5" s="493">
        <v>0.02</v>
      </c>
      <c r="F5" s="493">
        <v>7.9</v>
      </c>
      <c r="G5" s="493">
        <v>9.0399999999999991</v>
      </c>
      <c r="H5" s="500">
        <v>211</v>
      </c>
      <c r="I5" s="501">
        <v>24</v>
      </c>
      <c r="J5" s="501">
        <v>5</v>
      </c>
      <c r="K5" s="501">
        <v>10</v>
      </c>
    </row>
    <row r="6" spans="2:11" ht="13" thickBot="1" x14ac:dyDescent="0.3">
      <c r="B6" s="493" t="s">
        <v>620</v>
      </c>
      <c r="C6" s="495">
        <v>17.600000000000001</v>
      </c>
      <c r="D6" s="493">
        <v>8.7200000000000006</v>
      </c>
      <c r="E6" s="493">
        <v>3.6999999999999998E-2</v>
      </c>
      <c r="F6" s="493">
        <v>10.38</v>
      </c>
      <c r="G6" s="493">
        <v>6.1</v>
      </c>
      <c r="H6" s="500">
        <v>169</v>
      </c>
      <c r="I6" s="501">
        <v>57</v>
      </c>
      <c r="J6" s="501">
        <v>5</v>
      </c>
      <c r="K6" s="501">
        <v>7</v>
      </c>
    </row>
    <row r="7" spans="2:11" ht="13" thickBot="1" x14ac:dyDescent="0.3">
      <c r="B7" s="493" t="s">
        <v>612</v>
      </c>
      <c r="C7" s="495">
        <v>39.299999999999997</v>
      </c>
      <c r="D7" s="493">
        <v>11.41</v>
      </c>
      <c r="E7" s="493">
        <v>4.3999999999999997E-2</v>
      </c>
      <c r="F7" s="493">
        <v>8.9</v>
      </c>
      <c r="G7" s="493">
        <v>7.99</v>
      </c>
      <c r="H7" s="500"/>
      <c r="I7" s="501">
        <v>38</v>
      </c>
      <c r="J7" s="501">
        <v>9</v>
      </c>
      <c r="K7" s="501">
        <v>8</v>
      </c>
    </row>
    <row r="8" spans="2:11" ht="13" thickBot="1" x14ac:dyDescent="0.3">
      <c r="B8" s="493" t="s">
        <v>613</v>
      </c>
      <c r="C8" s="495">
        <v>49.5</v>
      </c>
      <c r="D8" s="493">
        <v>10.74</v>
      </c>
      <c r="E8" s="493">
        <v>6.8000000000000005E-2</v>
      </c>
      <c r="F8" s="493">
        <v>11.4</v>
      </c>
      <c r="G8" s="493">
        <v>8.18</v>
      </c>
      <c r="H8" s="500"/>
      <c r="I8" s="501">
        <v>23</v>
      </c>
      <c r="J8" s="501">
        <v>11</v>
      </c>
      <c r="K8" s="501">
        <v>11</v>
      </c>
    </row>
    <row r="9" spans="2:11" ht="13" thickBot="1" x14ac:dyDescent="0.3">
      <c r="B9" s="493" t="s">
        <v>610</v>
      </c>
      <c r="C9" s="495">
        <v>62.2</v>
      </c>
      <c r="D9" s="493">
        <v>9.7799999999999994</v>
      </c>
      <c r="E9" s="493">
        <v>8.1000000000000003E-2</v>
      </c>
      <c r="F9" s="493">
        <v>14.8</v>
      </c>
      <c r="G9" s="493">
        <v>8.16</v>
      </c>
      <c r="H9" s="500"/>
      <c r="I9" s="501">
        <v>19</v>
      </c>
      <c r="J9" s="501">
        <v>14</v>
      </c>
      <c r="K9" s="501">
        <v>14</v>
      </c>
    </row>
    <row r="10" spans="2:11" ht="13" thickBot="1" x14ac:dyDescent="0.3">
      <c r="B10" s="493" t="s">
        <v>614</v>
      </c>
      <c r="C10" s="495">
        <v>63</v>
      </c>
      <c r="D10" s="493">
        <v>9.69</v>
      </c>
      <c r="E10" s="493">
        <v>9.0999999999999998E-2</v>
      </c>
      <c r="F10" s="493">
        <v>15.2</v>
      </c>
      <c r="G10" s="493">
        <v>8.1300000000000008</v>
      </c>
      <c r="H10" s="500"/>
      <c r="I10" s="501">
        <v>61</v>
      </c>
      <c r="J10" s="501">
        <v>24</v>
      </c>
      <c r="K10" s="501">
        <v>24</v>
      </c>
    </row>
    <row r="11" spans="2:11" ht="13" thickBot="1" x14ac:dyDescent="0.3">
      <c r="B11" s="493" t="s">
        <v>615</v>
      </c>
      <c r="C11" s="495">
        <v>52.4</v>
      </c>
      <c r="D11" s="493">
        <v>9.5399999999999991</v>
      </c>
      <c r="E11" s="493">
        <v>0.121</v>
      </c>
      <c r="F11" s="493">
        <v>15.3</v>
      </c>
      <c r="G11" s="493">
        <v>8.17</v>
      </c>
      <c r="H11" s="500"/>
      <c r="I11" s="501">
        <v>121</v>
      </c>
      <c r="J11" s="501">
        <v>19</v>
      </c>
      <c r="K11" s="501">
        <v>19</v>
      </c>
    </row>
    <row r="12" spans="2:11" ht="13" thickBot="1" x14ac:dyDescent="0.3">
      <c r="B12" s="493" t="s">
        <v>626</v>
      </c>
      <c r="C12" s="495">
        <v>63</v>
      </c>
      <c r="D12" s="493">
        <v>9.7899999999999991</v>
      </c>
      <c r="E12" s="493">
        <v>0.14599999999999999</v>
      </c>
      <c r="F12" s="493">
        <v>15.2</v>
      </c>
      <c r="G12" s="493">
        <v>8.39</v>
      </c>
      <c r="H12" s="500"/>
      <c r="I12" s="501">
        <v>201</v>
      </c>
      <c r="J12" s="501">
        <v>32</v>
      </c>
      <c r="K12" s="501">
        <v>32</v>
      </c>
    </row>
    <row r="13" spans="2:11" ht="13" thickBot="1" x14ac:dyDescent="0.3">
      <c r="B13" s="493" t="s">
        <v>616</v>
      </c>
      <c r="C13" s="495">
        <v>74.099999999999994</v>
      </c>
      <c r="D13" s="493">
        <v>9.73</v>
      </c>
      <c r="E13" s="493">
        <v>0.153</v>
      </c>
      <c r="F13" s="493">
        <v>15.2</v>
      </c>
      <c r="G13" s="493">
        <v>8.35</v>
      </c>
      <c r="H13" s="500"/>
      <c r="I13" s="501">
        <v>208</v>
      </c>
      <c r="J13" s="501">
        <v>13</v>
      </c>
      <c r="K13" s="501">
        <v>13</v>
      </c>
    </row>
    <row r="14" spans="2:11" ht="13" thickBot="1" x14ac:dyDescent="0.3">
      <c r="B14" s="493" t="s">
        <v>617</v>
      </c>
      <c r="C14" s="495">
        <v>67.8</v>
      </c>
      <c r="D14" s="493">
        <v>9.84</v>
      </c>
      <c r="E14" s="493">
        <v>0.14499999999999999</v>
      </c>
      <c r="F14" s="493">
        <v>15.2</v>
      </c>
      <c r="G14" s="493">
        <v>8.2799999999999994</v>
      </c>
      <c r="H14" s="500"/>
      <c r="I14" s="501">
        <v>168</v>
      </c>
      <c r="J14" s="501">
        <v>17</v>
      </c>
      <c r="K14" s="501">
        <v>21</v>
      </c>
    </row>
    <row r="15" spans="2:11" x14ac:dyDescent="0.25">
      <c r="B15" s="494" t="s">
        <v>609</v>
      </c>
      <c r="C15" s="495">
        <v>22.2</v>
      </c>
      <c r="D15" s="502">
        <v>7.96</v>
      </c>
      <c r="E15" s="502">
        <v>0.247</v>
      </c>
      <c r="F15" s="502">
        <v>16.87</v>
      </c>
      <c r="G15" s="502">
        <v>8.1199999999999992</v>
      </c>
      <c r="H15" s="500">
        <v>932</v>
      </c>
      <c r="I15" s="501">
        <v>599</v>
      </c>
      <c r="J15" s="495">
        <v>18</v>
      </c>
      <c r="K15" s="495">
        <v>37</v>
      </c>
    </row>
    <row r="16" spans="2:11" x14ac:dyDescent="0.25">
      <c r="B16" s="494" t="s">
        <v>625</v>
      </c>
      <c r="C16" s="495">
        <v>24.2</v>
      </c>
      <c r="D16" s="502">
        <v>7.71</v>
      </c>
      <c r="E16" s="502">
        <v>0.29299999999999998</v>
      </c>
      <c r="F16" s="502">
        <v>22.48</v>
      </c>
      <c r="G16" s="502">
        <v>8.5399999999999991</v>
      </c>
      <c r="H16" s="503">
        <v>568</v>
      </c>
      <c r="I16" s="501">
        <v>224</v>
      </c>
      <c r="J16" s="495">
        <v>20</v>
      </c>
      <c r="K16" s="495">
        <v>20</v>
      </c>
    </row>
  </sheetData>
  <mergeCells count="1">
    <mergeCell ref="D2:G2"/>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21"/>
  <sheetViews>
    <sheetView topLeftCell="A16" workbookViewId="0">
      <selection activeCell="A16" sqref="A16:F21"/>
    </sheetView>
  </sheetViews>
  <sheetFormatPr defaultColWidth="8.90625" defaultRowHeight="13" x14ac:dyDescent="0.3"/>
  <cols>
    <col min="1" max="1" width="11.54296875" style="533" bestFit="1" customWidth="1"/>
    <col min="2" max="2" width="24.08984375" style="533" customWidth="1"/>
    <col min="3" max="3" width="12.36328125" style="533" customWidth="1"/>
    <col min="4" max="4" width="12.6328125" style="533" customWidth="1"/>
    <col min="5" max="5" width="14.90625" style="533" customWidth="1"/>
    <col min="6" max="16384" width="8.90625" style="533"/>
  </cols>
  <sheetData>
    <row r="1" spans="1:6" ht="52" x14ac:dyDescent="0.3">
      <c r="A1" s="538" t="s">
        <v>649</v>
      </c>
      <c r="B1" s="538" t="s">
        <v>650</v>
      </c>
      <c r="C1" s="538" t="s">
        <v>651</v>
      </c>
      <c r="D1" s="538" t="s">
        <v>652</v>
      </c>
      <c r="E1" s="538" t="s">
        <v>653</v>
      </c>
      <c r="F1" s="538" t="s">
        <v>654</v>
      </c>
    </row>
    <row r="2" spans="1:6" ht="52" x14ac:dyDescent="0.3">
      <c r="A2" s="536" t="s">
        <v>647</v>
      </c>
      <c r="B2" s="535" t="s">
        <v>648</v>
      </c>
      <c r="C2" s="537" t="s">
        <v>658</v>
      </c>
      <c r="D2" s="535"/>
      <c r="E2" s="535" t="s">
        <v>655</v>
      </c>
      <c r="F2" s="537" t="s">
        <v>659</v>
      </c>
    </row>
    <row r="3" spans="1:6" x14ac:dyDescent="0.3">
      <c r="A3" s="536" t="s">
        <v>656</v>
      </c>
      <c r="B3" s="535" t="s">
        <v>657</v>
      </c>
      <c r="C3" s="535" t="s">
        <v>658</v>
      </c>
      <c r="D3" s="539" t="s">
        <v>660</v>
      </c>
      <c r="E3" s="535" t="s">
        <v>661</v>
      </c>
      <c r="F3" s="535" t="s">
        <v>662</v>
      </c>
    </row>
    <row r="4" spans="1:6" ht="39" x14ac:dyDescent="0.3">
      <c r="A4" s="536" t="s">
        <v>663</v>
      </c>
      <c r="B4" s="535" t="s">
        <v>459</v>
      </c>
      <c r="C4" s="537" t="s">
        <v>658</v>
      </c>
      <c r="D4" s="535"/>
      <c r="E4" s="535" t="s">
        <v>664</v>
      </c>
      <c r="F4" s="537" t="s">
        <v>662</v>
      </c>
    </row>
    <row r="5" spans="1:6" ht="39" x14ac:dyDescent="0.3">
      <c r="A5" s="536" t="s">
        <v>665</v>
      </c>
      <c r="B5" s="535" t="s">
        <v>666</v>
      </c>
      <c r="C5" s="535" t="s">
        <v>667</v>
      </c>
      <c r="D5" s="535"/>
      <c r="E5" s="535" t="s">
        <v>668</v>
      </c>
      <c r="F5" s="535" t="s">
        <v>662</v>
      </c>
    </row>
    <row r="6" spans="1:6" ht="40.25" customHeight="1" x14ac:dyDescent="0.3">
      <c r="A6" s="536" t="s">
        <v>669</v>
      </c>
      <c r="B6" s="535" t="s">
        <v>670</v>
      </c>
      <c r="C6" s="535" t="s">
        <v>671</v>
      </c>
      <c r="D6" s="535"/>
      <c r="E6" s="535" t="s">
        <v>672</v>
      </c>
      <c r="F6" s="535" t="s">
        <v>659</v>
      </c>
    </row>
    <row r="7" spans="1:6" x14ac:dyDescent="0.3">
      <c r="B7" s="534"/>
    </row>
    <row r="8" spans="1:6" x14ac:dyDescent="0.3">
      <c r="B8" s="534"/>
    </row>
    <row r="9" spans="1:6" x14ac:dyDescent="0.3">
      <c r="A9" s="538" t="s">
        <v>649</v>
      </c>
      <c r="B9" s="538" t="s">
        <v>650</v>
      </c>
      <c r="C9" s="538" t="s">
        <v>651</v>
      </c>
      <c r="D9" s="990" t="s">
        <v>755</v>
      </c>
      <c r="E9" s="990"/>
      <c r="F9" s="990"/>
    </row>
    <row r="10" spans="1:6" ht="124.25" customHeight="1" x14ac:dyDescent="0.3">
      <c r="A10" s="536" t="s">
        <v>647</v>
      </c>
      <c r="B10" s="535" t="s">
        <v>648</v>
      </c>
      <c r="C10" s="537" t="s">
        <v>658</v>
      </c>
      <c r="D10" s="986" t="s">
        <v>757</v>
      </c>
      <c r="E10" s="987"/>
      <c r="F10" s="988"/>
    </row>
    <row r="11" spans="1:6" ht="59.4" customHeight="1" x14ac:dyDescent="0.3">
      <c r="A11" s="536" t="s">
        <v>656</v>
      </c>
      <c r="B11" s="535" t="s">
        <v>657</v>
      </c>
      <c r="C11" s="535" t="s">
        <v>658</v>
      </c>
      <c r="D11" s="986" t="s">
        <v>758</v>
      </c>
      <c r="E11" s="987"/>
      <c r="F11" s="988"/>
    </row>
    <row r="12" spans="1:6" ht="95.4" customHeight="1" x14ac:dyDescent="0.3">
      <c r="A12" s="536" t="s">
        <v>663</v>
      </c>
      <c r="B12" s="535" t="s">
        <v>459</v>
      </c>
      <c r="C12" s="537" t="s">
        <v>658</v>
      </c>
      <c r="D12" s="989" t="s">
        <v>759</v>
      </c>
      <c r="E12" s="989"/>
      <c r="F12" s="989"/>
    </row>
    <row r="13" spans="1:6" ht="39" x14ac:dyDescent="0.3">
      <c r="A13" s="536" t="s">
        <v>665</v>
      </c>
      <c r="B13" s="535" t="s">
        <v>666</v>
      </c>
      <c r="C13" s="535" t="s">
        <v>667</v>
      </c>
      <c r="D13" s="986" t="s">
        <v>760</v>
      </c>
      <c r="E13" s="987"/>
      <c r="F13" s="988"/>
    </row>
    <row r="14" spans="1:6" ht="39" x14ac:dyDescent="0.3">
      <c r="A14" s="536" t="s">
        <v>669</v>
      </c>
      <c r="B14" s="535" t="s">
        <v>670</v>
      </c>
      <c r="C14" s="535" t="s">
        <v>671</v>
      </c>
      <c r="D14" s="986" t="s">
        <v>761</v>
      </c>
      <c r="E14" s="987"/>
      <c r="F14" s="988"/>
    </row>
    <row r="16" spans="1:6" ht="52" x14ac:dyDescent="0.3">
      <c r="A16" s="538" t="s">
        <v>649</v>
      </c>
      <c r="B16" s="538" t="s">
        <v>650</v>
      </c>
      <c r="C16" s="538" t="s">
        <v>651</v>
      </c>
      <c r="D16" s="538" t="s">
        <v>652</v>
      </c>
      <c r="E16" s="538" t="s">
        <v>653</v>
      </c>
      <c r="F16" s="538" t="s">
        <v>654</v>
      </c>
    </row>
    <row r="17" spans="1:6" ht="52" x14ac:dyDescent="0.3">
      <c r="A17" s="536" t="s">
        <v>647</v>
      </c>
      <c r="B17" s="535" t="s">
        <v>648</v>
      </c>
      <c r="C17" s="537" t="s">
        <v>756</v>
      </c>
      <c r="D17" s="535"/>
      <c r="E17" s="535" t="s">
        <v>655</v>
      </c>
      <c r="F17" s="537" t="s">
        <v>659</v>
      </c>
    </row>
    <row r="18" spans="1:6" x14ac:dyDescent="0.3">
      <c r="A18" s="536" t="s">
        <v>656</v>
      </c>
      <c r="B18" s="535" t="s">
        <v>657</v>
      </c>
      <c r="C18" s="535" t="s">
        <v>658</v>
      </c>
      <c r="D18" s="539" t="s">
        <v>660</v>
      </c>
      <c r="E18" s="535" t="s">
        <v>661</v>
      </c>
      <c r="F18" s="535" t="s">
        <v>662</v>
      </c>
    </row>
    <row r="19" spans="1:6" ht="39" x14ac:dyDescent="0.3">
      <c r="A19" s="536" t="s">
        <v>663</v>
      </c>
      <c r="B19" s="535" t="s">
        <v>459</v>
      </c>
      <c r="C19" s="537" t="s">
        <v>658</v>
      </c>
      <c r="D19" s="535"/>
      <c r="E19" s="535" t="s">
        <v>655</v>
      </c>
      <c r="F19" s="537" t="s">
        <v>659</v>
      </c>
    </row>
    <row r="20" spans="1:6" ht="39" x14ac:dyDescent="0.3">
      <c r="A20" s="536" t="s">
        <v>665</v>
      </c>
      <c r="B20" s="535" t="s">
        <v>666</v>
      </c>
      <c r="C20" s="535" t="s">
        <v>667</v>
      </c>
      <c r="D20" s="535"/>
      <c r="E20" s="535" t="s">
        <v>668</v>
      </c>
      <c r="F20" s="535" t="s">
        <v>662</v>
      </c>
    </row>
    <row r="21" spans="1:6" ht="39" x14ac:dyDescent="0.3">
      <c r="A21" s="536" t="s">
        <v>669</v>
      </c>
      <c r="B21" s="535" t="s">
        <v>670</v>
      </c>
      <c r="C21" s="535" t="s">
        <v>671</v>
      </c>
      <c r="D21" s="535"/>
      <c r="E21" s="535" t="s">
        <v>672</v>
      </c>
      <c r="F21" s="535" t="s">
        <v>659</v>
      </c>
    </row>
  </sheetData>
  <mergeCells count="6">
    <mergeCell ref="D14:F14"/>
    <mergeCell ref="D12:F12"/>
    <mergeCell ref="D9:F9"/>
    <mergeCell ref="D10:F10"/>
    <mergeCell ref="D11:F11"/>
    <mergeCell ref="D13:F13"/>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123"/>
  <sheetViews>
    <sheetView topLeftCell="A37" zoomScaleNormal="100" workbookViewId="0">
      <selection activeCell="A56" sqref="A56:I108"/>
    </sheetView>
  </sheetViews>
  <sheetFormatPr defaultColWidth="9.08984375" defaultRowHeight="14.25" customHeight="1" x14ac:dyDescent="0.25"/>
  <cols>
    <col min="1" max="1" width="17.90625" style="20" customWidth="1"/>
    <col min="2" max="2" width="10.08984375" style="20" bestFit="1" customWidth="1"/>
    <col min="3" max="3" width="7.08984375" style="20" customWidth="1"/>
    <col min="4" max="4" width="10.453125" style="20" customWidth="1"/>
    <col min="5" max="5" width="7" style="20" customWidth="1"/>
    <col min="6" max="6" width="7.6328125" style="20" customWidth="1"/>
    <col min="7" max="7" width="10.453125" style="20" customWidth="1"/>
    <col min="8" max="8" width="10" style="20" customWidth="1"/>
    <col min="9" max="9" width="18.453125" style="20" customWidth="1"/>
    <col min="10" max="16384" width="9.08984375" style="20"/>
  </cols>
  <sheetData>
    <row r="1" spans="1:20" ht="14.25" customHeight="1" x14ac:dyDescent="0.3">
      <c r="A1" s="831" t="s">
        <v>854</v>
      </c>
      <c r="B1" s="831"/>
      <c r="C1" s="831"/>
      <c r="D1" s="831"/>
      <c r="E1" s="831"/>
      <c r="F1" s="831"/>
      <c r="L1" s="533" t="s">
        <v>722</v>
      </c>
      <c r="M1" s="533" t="s">
        <v>723</v>
      </c>
      <c r="N1" s="533"/>
      <c r="O1" s="533"/>
      <c r="P1" s="533"/>
      <c r="Q1" s="533"/>
      <c r="R1" s="533"/>
      <c r="S1" s="533"/>
      <c r="T1" s="533"/>
    </row>
    <row r="2" spans="1:20" ht="14.25" customHeight="1" x14ac:dyDescent="0.3">
      <c r="A2" s="1" t="s">
        <v>168</v>
      </c>
      <c r="B2" s="672">
        <v>40994</v>
      </c>
      <c r="L2" s="533" t="s">
        <v>724</v>
      </c>
      <c r="M2" s="533" t="s">
        <v>725</v>
      </c>
      <c r="N2" s="533"/>
      <c r="O2" s="533"/>
      <c r="P2" s="533"/>
      <c r="Q2" s="533"/>
      <c r="R2" s="533"/>
      <c r="S2" s="533"/>
      <c r="T2" s="533"/>
    </row>
    <row r="3" spans="1:20" ht="14.25" customHeight="1" x14ac:dyDescent="0.3">
      <c r="A3" s="189" t="s">
        <v>20</v>
      </c>
      <c r="B3" s="189" t="s">
        <v>170</v>
      </c>
      <c r="C3" s="189" t="s">
        <v>171</v>
      </c>
      <c r="D3" s="189" t="s">
        <v>172</v>
      </c>
      <c r="E3" s="189" t="s">
        <v>173</v>
      </c>
      <c r="F3" s="189" t="s">
        <v>174</v>
      </c>
      <c r="L3" s="533" t="s">
        <v>11</v>
      </c>
      <c r="M3" s="533" t="s">
        <v>725</v>
      </c>
      <c r="N3" s="533"/>
      <c r="O3" s="533"/>
      <c r="P3" s="533"/>
      <c r="Q3" s="533"/>
      <c r="R3" s="533"/>
      <c r="S3" s="533"/>
      <c r="T3" s="533"/>
    </row>
    <row r="4" spans="1:20" ht="14.25" customHeight="1" x14ac:dyDescent="0.3">
      <c r="A4" s="91" t="s">
        <v>213</v>
      </c>
      <c r="B4" s="201"/>
      <c r="C4" s="670"/>
      <c r="D4" s="670"/>
      <c r="E4" s="670"/>
      <c r="F4" s="670"/>
      <c r="G4" s="345"/>
      <c r="L4" s="533" t="s">
        <v>168</v>
      </c>
      <c r="M4" s="594">
        <v>40793</v>
      </c>
      <c r="N4" s="533"/>
      <c r="O4" s="533"/>
      <c r="P4" s="533"/>
      <c r="Q4" s="533"/>
      <c r="R4" s="533"/>
      <c r="S4" s="533"/>
      <c r="T4" s="533"/>
    </row>
    <row r="5" spans="1:20" ht="14.25" customHeight="1" x14ac:dyDescent="0.3">
      <c r="A5" s="91" t="s">
        <v>214</v>
      </c>
      <c r="B5" s="201"/>
      <c r="C5" s="670"/>
      <c r="D5" s="670"/>
      <c r="E5" s="670"/>
      <c r="F5" s="670"/>
      <c r="G5" s="345"/>
      <c r="L5" s="673" t="s">
        <v>712</v>
      </c>
      <c r="M5" s="673" t="s">
        <v>713</v>
      </c>
      <c r="N5" s="673"/>
      <c r="O5" s="995" t="s">
        <v>730</v>
      </c>
      <c r="P5" s="996"/>
      <c r="Q5" s="997"/>
      <c r="R5" s="998" t="s">
        <v>735</v>
      </c>
      <c r="S5" s="998"/>
      <c r="T5" s="998"/>
    </row>
    <row r="6" spans="1:20" ht="14.25" customHeight="1" x14ac:dyDescent="0.3">
      <c r="A6" s="91" t="s">
        <v>215</v>
      </c>
      <c r="B6" s="201"/>
      <c r="C6" s="670"/>
      <c r="D6" s="670"/>
      <c r="E6" s="670"/>
      <c r="F6" s="670"/>
      <c r="G6" s="345"/>
      <c r="L6" s="572" t="s">
        <v>170</v>
      </c>
      <c r="M6" s="572"/>
      <c r="N6" s="572"/>
      <c r="O6" s="572" t="s">
        <v>170</v>
      </c>
      <c r="P6" s="572"/>
      <c r="Q6" s="674"/>
      <c r="R6" s="572" t="s">
        <v>170</v>
      </c>
      <c r="S6" s="572"/>
      <c r="T6" s="572"/>
    </row>
    <row r="7" spans="1:20" ht="14.25" customHeight="1" x14ac:dyDescent="0.3">
      <c r="A7" s="91" t="s">
        <v>208</v>
      </c>
      <c r="B7" s="222" t="s">
        <v>216</v>
      </c>
      <c r="C7" s="332"/>
      <c r="D7" s="332"/>
      <c r="E7" s="332"/>
      <c r="F7" s="332"/>
      <c r="G7" s="189" t="s">
        <v>184</v>
      </c>
      <c r="H7" s="189" t="s">
        <v>195</v>
      </c>
      <c r="L7" s="572" t="s">
        <v>714</v>
      </c>
      <c r="M7" s="999"/>
      <c r="N7" s="1000"/>
      <c r="O7" s="572" t="s">
        <v>719</v>
      </c>
      <c r="P7" s="572"/>
      <c r="Q7" s="572"/>
      <c r="R7" s="572" t="s">
        <v>719</v>
      </c>
      <c r="S7" s="572"/>
      <c r="T7" s="572"/>
    </row>
    <row r="8" spans="1:20" ht="14.25" customHeight="1" x14ac:dyDescent="0.3">
      <c r="A8" s="670" t="s">
        <v>506</v>
      </c>
      <c r="B8" s="179"/>
      <c r="C8" s="670"/>
      <c r="D8" s="670"/>
      <c r="E8" s="670"/>
      <c r="F8" s="670"/>
      <c r="G8" s="675"/>
      <c r="H8" s="482"/>
      <c r="L8" s="533"/>
      <c r="M8" s="676" t="s">
        <v>188</v>
      </c>
      <c r="N8" s="677" t="s">
        <v>715</v>
      </c>
      <c r="O8" s="572" t="s">
        <v>714</v>
      </c>
      <c r="P8" s="999"/>
      <c r="Q8" s="1000"/>
      <c r="R8" s="572" t="s">
        <v>714</v>
      </c>
      <c r="S8" s="999"/>
      <c r="T8" s="1000"/>
    </row>
    <row r="9" spans="1:20" ht="14.25" customHeight="1" x14ac:dyDescent="0.3">
      <c r="A9" s="670" t="s">
        <v>175</v>
      </c>
      <c r="B9" s="179"/>
      <c r="C9" s="670"/>
      <c r="D9" s="670"/>
      <c r="E9" s="670"/>
      <c r="F9" s="670"/>
      <c r="G9" s="345"/>
      <c r="L9" s="572" t="s">
        <v>716</v>
      </c>
      <c r="M9" s="572"/>
      <c r="N9" s="572"/>
      <c r="O9" s="571" t="s">
        <v>729</v>
      </c>
      <c r="P9" s="572"/>
      <c r="Q9" s="572"/>
      <c r="R9" s="572"/>
      <c r="S9" s="676" t="s">
        <v>188</v>
      </c>
      <c r="T9" s="677" t="s">
        <v>715</v>
      </c>
    </row>
    <row r="10" spans="1:20" ht="14.25" customHeight="1" x14ac:dyDescent="0.3">
      <c r="A10" s="670" t="s">
        <v>507</v>
      </c>
      <c r="B10" s="179"/>
      <c r="C10" s="670"/>
      <c r="D10" s="670"/>
      <c r="E10" s="670"/>
      <c r="F10" s="670"/>
      <c r="G10" s="345"/>
      <c r="L10" s="572" t="s">
        <v>717</v>
      </c>
      <c r="M10" s="572"/>
      <c r="N10" s="572"/>
      <c r="O10" s="572"/>
      <c r="P10" s="676" t="s">
        <v>188</v>
      </c>
      <c r="Q10" s="677" t="s">
        <v>715</v>
      </c>
      <c r="R10" s="572">
        <v>2</v>
      </c>
      <c r="S10" s="572"/>
      <c r="T10" s="572"/>
    </row>
    <row r="11" spans="1:20" ht="14.25" customHeight="1" x14ac:dyDescent="0.3">
      <c r="A11" s="670" t="s">
        <v>176</v>
      </c>
      <c r="B11" s="179"/>
      <c r="C11" s="670"/>
      <c r="D11" s="670"/>
      <c r="E11" s="670"/>
      <c r="F11" s="670"/>
      <c r="G11" s="345"/>
      <c r="L11" s="678" t="s">
        <v>174</v>
      </c>
      <c r="M11" s="678"/>
      <c r="N11" s="572"/>
      <c r="O11" s="572">
        <v>2</v>
      </c>
      <c r="P11" s="572"/>
      <c r="Q11" s="572"/>
      <c r="R11" s="572">
        <v>4</v>
      </c>
      <c r="S11" s="572"/>
      <c r="T11" s="572"/>
    </row>
    <row r="12" spans="1:20" ht="14.25" customHeight="1" x14ac:dyDescent="0.3">
      <c r="A12" s="670" t="s">
        <v>508</v>
      </c>
      <c r="B12" s="179"/>
      <c r="C12" s="670"/>
      <c r="D12" s="670"/>
      <c r="E12" s="670"/>
      <c r="F12" s="670"/>
      <c r="G12" s="345"/>
      <c r="L12" s="678" t="s">
        <v>173</v>
      </c>
      <c r="M12" s="678"/>
      <c r="N12" s="572"/>
      <c r="O12" s="572">
        <v>4</v>
      </c>
      <c r="P12" s="572"/>
      <c r="Q12" s="572"/>
      <c r="R12" s="572">
        <v>6</v>
      </c>
      <c r="S12" s="572"/>
      <c r="T12" s="572"/>
    </row>
    <row r="13" spans="1:20" ht="14.25" customHeight="1" x14ac:dyDescent="0.3">
      <c r="A13" s="670" t="s">
        <v>177</v>
      </c>
      <c r="B13" s="179"/>
      <c r="C13" s="670"/>
      <c r="D13" s="670"/>
      <c r="E13" s="670"/>
      <c r="F13" s="670"/>
      <c r="G13" s="345"/>
      <c r="L13" s="678" t="s">
        <v>172</v>
      </c>
      <c r="M13" s="678"/>
      <c r="N13" s="572"/>
      <c r="O13" s="572">
        <v>6</v>
      </c>
      <c r="P13" s="572"/>
      <c r="Q13" s="572"/>
      <c r="R13" s="572">
        <v>8</v>
      </c>
      <c r="S13" s="572"/>
      <c r="T13" s="572"/>
    </row>
    <row r="14" spans="1:20" ht="14.25" customHeight="1" x14ac:dyDescent="0.3">
      <c r="A14" s="670" t="s">
        <v>509</v>
      </c>
      <c r="B14" s="179"/>
      <c r="C14" s="670"/>
      <c r="D14" s="670"/>
      <c r="E14" s="670"/>
      <c r="F14" s="670"/>
      <c r="G14" s="345"/>
      <c r="L14" s="678" t="s">
        <v>171</v>
      </c>
      <c r="M14" s="678"/>
      <c r="N14" s="572"/>
      <c r="O14" s="678" t="s">
        <v>174</v>
      </c>
      <c r="P14" s="678"/>
      <c r="Q14" s="572"/>
      <c r="R14" s="572">
        <v>10</v>
      </c>
      <c r="S14" s="572"/>
      <c r="T14" s="572"/>
    </row>
    <row r="15" spans="1:20" ht="14.25" customHeight="1" x14ac:dyDescent="0.3">
      <c r="A15" s="670" t="s">
        <v>178</v>
      </c>
      <c r="B15" s="179"/>
      <c r="C15" s="670"/>
      <c r="D15" s="670"/>
      <c r="E15" s="670"/>
      <c r="F15" s="670"/>
      <c r="G15" s="345"/>
      <c r="L15" s="995" t="s">
        <v>718</v>
      </c>
      <c r="M15" s="996"/>
      <c r="N15" s="997"/>
      <c r="O15" s="678" t="s">
        <v>173</v>
      </c>
      <c r="P15" s="678"/>
      <c r="Q15" s="572"/>
      <c r="R15" s="572">
        <v>12</v>
      </c>
      <c r="S15" s="572"/>
      <c r="T15" s="572"/>
    </row>
    <row r="16" spans="1:20" ht="14.25" customHeight="1" x14ac:dyDescent="0.3">
      <c r="A16" s="670" t="s">
        <v>179</v>
      </c>
      <c r="B16" s="201"/>
      <c r="C16" s="670"/>
      <c r="D16" s="670"/>
      <c r="E16" s="670"/>
      <c r="F16" s="670"/>
      <c r="G16" s="345"/>
      <c r="L16" s="572" t="s">
        <v>170</v>
      </c>
      <c r="M16" s="572"/>
      <c r="N16" s="674"/>
      <c r="O16" s="678" t="s">
        <v>172</v>
      </c>
      <c r="P16" s="678"/>
      <c r="Q16" s="572"/>
      <c r="R16" s="572">
        <v>14</v>
      </c>
      <c r="S16" s="572"/>
      <c r="T16" s="572"/>
    </row>
    <row r="17" spans="1:20" ht="14.25" customHeight="1" x14ac:dyDescent="0.3">
      <c r="A17" s="670" t="s">
        <v>180</v>
      </c>
      <c r="B17" s="201"/>
      <c r="C17" s="670"/>
      <c r="D17" s="670"/>
      <c r="E17" s="670"/>
      <c r="F17" s="670"/>
      <c r="G17" s="345"/>
      <c r="L17" s="572" t="s">
        <v>719</v>
      </c>
      <c r="M17" s="572"/>
      <c r="N17" s="572"/>
      <c r="O17" s="678" t="s">
        <v>171</v>
      </c>
      <c r="P17" s="678"/>
      <c r="Q17" s="572"/>
      <c r="R17" s="572">
        <v>16</v>
      </c>
      <c r="S17" s="572"/>
      <c r="T17" s="572"/>
    </row>
    <row r="18" spans="1:20" ht="14.25" customHeight="1" x14ac:dyDescent="0.3">
      <c r="A18" s="670" t="s">
        <v>181</v>
      </c>
      <c r="B18" s="201"/>
      <c r="C18" s="670"/>
      <c r="D18" s="670"/>
      <c r="E18" s="670"/>
      <c r="F18" s="670"/>
      <c r="G18" s="345"/>
      <c r="L18" s="572" t="s">
        <v>714</v>
      </c>
      <c r="M18" s="999"/>
      <c r="N18" s="1000"/>
      <c r="O18" s="998" t="s">
        <v>731</v>
      </c>
      <c r="P18" s="998"/>
      <c r="Q18" s="998"/>
      <c r="R18" s="572">
        <v>18</v>
      </c>
      <c r="S18" s="572"/>
      <c r="T18" s="572"/>
    </row>
    <row r="19" spans="1:20" ht="14.25" customHeight="1" x14ac:dyDescent="0.3">
      <c r="A19" s="670" t="s">
        <v>182</v>
      </c>
      <c r="B19" s="201"/>
      <c r="C19" s="670"/>
      <c r="D19" s="670"/>
      <c r="E19" s="670"/>
      <c r="F19" s="670"/>
      <c r="G19" s="345"/>
      <c r="L19" s="572"/>
      <c r="M19" s="676" t="s">
        <v>188</v>
      </c>
      <c r="N19" s="677" t="s">
        <v>715</v>
      </c>
      <c r="O19" s="572" t="s">
        <v>170</v>
      </c>
      <c r="P19" s="572"/>
      <c r="Q19" s="572"/>
      <c r="R19" s="572">
        <v>20</v>
      </c>
      <c r="S19" s="572"/>
      <c r="T19" s="572"/>
    </row>
    <row r="20" spans="1:20" ht="14.25" customHeight="1" x14ac:dyDescent="0.3">
      <c r="A20" s="670" t="s">
        <v>183</v>
      </c>
      <c r="B20" s="179"/>
      <c r="C20" s="670"/>
      <c r="D20" s="670"/>
      <c r="E20" s="670"/>
      <c r="F20" s="670"/>
      <c r="G20" s="345"/>
      <c r="L20" s="572">
        <v>2</v>
      </c>
      <c r="M20" s="572"/>
      <c r="N20" s="572"/>
      <c r="O20" s="572" t="s">
        <v>719</v>
      </c>
      <c r="P20" s="572"/>
      <c r="Q20" s="572"/>
      <c r="R20" s="572">
        <v>22</v>
      </c>
      <c r="S20" s="572"/>
      <c r="T20" s="572"/>
    </row>
    <row r="21" spans="1:20" ht="14.25" customHeight="1" x14ac:dyDescent="0.3">
      <c r="A21" s="670" t="s">
        <v>206</v>
      </c>
      <c r="B21" s="179"/>
      <c r="C21" s="670"/>
      <c r="D21" s="670"/>
      <c r="E21" s="670"/>
      <c r="F21" s="670"/>
      <c r="G21" s="345"/>
      <c r="L21" s="572">
        <v>4</v>
      </c>
      <c r="M21" s="572"/>
      <c r="N21" s="572"/>
      <c r="O21" s="572" t="s">
        <v>714</v>
      </c>
      <c r="P21" s="999"/>
      <c r="Q21" s="1000"/>
      <c r="R21" s="572">
        <v>24</v>
      </c>
      <c r="S21" s="572"/>
      <c r="T21" s="572"/>
    </row>
    <row r="22" spans="1:20" ht="14.25" customHeight="1" x14ac:dyDescent="0.3">
      <c r="A22" s="670" t="s">
        <v>207</v>
      </c>
      <c r="B22" s="179"/>
      <c r="C22" s="670"/>
      <c r="D22" s="670"/>
      <c r="E22" s="670"/>
      <c r="F22" s="670"/>
      <c r="G22" s="345"/>
      <c r="L22" s="572">
        <v>6</v>
      </c>
      <c r="M22" s="572"/>
      <c r="N22" s="572"/>
      <c r="O22" s="572"/>
      <c r="P22" s="676" t="s">
        <v>188</v>
      </c>
      <c r="Q22" s="677" t="s">
        <v>715</v>
      </c>
      <c r="R22" s="572">
        <v>26</v>
      </c>
      <c r="S22" s="572"/>
      <c r="T22" s="572"/>
    </row>
    <row r="23" spans="1:20" ht="14.25" customHeight="1" x14ac:dyDescent="0.3">
      <c r="A23" s="187"/>
      <c r="B23" s="345"/>
      <c r="C23" s="345"/>
      <c r="D23" s="345"/>
      <c r="E23" s="345"/>
      <c r="F23" s="345"/>
      <c r="G23" s="345"/>
      <c r="L23" s="572">
        <v>8</v>
      </c>
      <c r="M23" s="572"/>
      <c r="N23" s="572"/>
      <c r="O23" s="572">
        <v>2</v>
      </c>
      <c r="P23" s="572"/>
      <c r="Q23" s="572"/>
      <c r="R23" s="572">
        <v>28</v>
      </c>
      <c r="S23" s="572"/>
      <c r="T23" s="572"/>
    </row>
    <row r="24" spans="1:20" ht="14.25" customHeight="1" x14ac:dyDescent="0.3">
      <c r="A24" s="670" t="s">
        <v>209</v>
      </c>
      <c r="B24" s="179"/>
      <c r="C24" s="179"/>
      <c r="D24" s="179"/>
      <c r="E24" s="179"/>
      <c r="F24" s="179"/>
      <c r="G24" s="179"/>
      <c r="L24" s="572">
        <v>10</v>
      </c>
      <c r="M24" s="572"/>
      <c r="N24" s="572"/>
      <c r="O24" s="572">
        <v>4</v>
      </c>
      <c r="P24" s="572"/>
      <c r="Q24" s="572"/>
      <c r="R24" s="572">
        <v>30</v>
      </c>
      <c r="S24" s="572"/>
      <c r="T24" s="572"/>
    </row>
    <row r="25" spans="1:20" ht="14.25" customHeight="1" x14ac:dyDescent="0.3">
      <c r="A25" s="306" t="s">
        <v>210</v>
      </c>
      <c r="B25" s="179"/>
      <c r="C25" s="179"/>
      <c r="D25" s="179"/>
      <c r="E25" s="179"/>
      <c r="F25" s="179"/>
      <c r="G25" s="179"/>
      <c r="L25" s="678" t="s">
        <v>174</v>
      </c>
      <c r="M25" s="678"/>
      <c r="N25" s="572"/>
      <c r="O25" s="572">
        <v>6</v>
      </c>
      <c r="P25" s="572"/>
      <c r="Q25" s="572"/>
      <c r="R25" s="572"/>
      <c r="S25" s="572"/>
      <c r="T25" s="572"/>
    </row>
    <row r="26" spans="1:20" ht="14.25" customHeight="1" x14ac:dyDescent="0.3">
      <c r="A26" s="349" t="s">
        <v>11</v>
      </c>
      <c r="B26" s="193"/>
      <c r="C26" s="193"/>
      <c r="D26" s="193"/>
      <c r="E26" s="193"/>
      <c r="F26" s="193"/>
      <c r="G26" s="193"/>
      <c r="L26" s="678" t="s">
        <v>173</v>
      </c>
      <c r="M26" s="678"/>
      <c r="N26" s="572"/>
      <c r="O26" s="572">
        <v>8</v>
      </c>
      <c r="P26" s="572"/>
      <c r="Q26" s="572"/>
      <c r="R26" s="678" t="s">
        <v>174</v>
      </c>
      <c r="S26" s="678"/>
      <c r="T26" s="572"/>
    </row>
    <row r="27" spans="1:20" ht="14.25" customHeight="1" x14ac:dyDescent="0.3">
      <c r="A27" s="679"/>
      <c r="B27" s="679"/>
      <c r="C27" s="679"/>
      <c r="D27" s="679"/>
      <c r="E27" s="679"/>
      <c r="F27" s="679"/>
      <c r="G27" s="679"/>
      <c r="L27" s="678" t="s">
        <v>172</v>
      </c>
      <c r="M27" s="678"/>
      <c r="N27" s="572"/>
      <c r="O27" s="678" t="s">
        <v>174</v>
      </c>
      <c r="P27" s="678"/>
      <c r="Q27" s="572"/>
      <c r="R27" s="678" t="s">
        <v>173</v>
      </c>
      <c r="S27" s="678"/>
      <c r="T27" s="572"/>
    </row>
    <row r="28" spans="1:20" ht="14.25" customHeight="1" x14ac:dyDescent="0.3">
      <c r="A28" s="679"/>
      <c r="B28" s="679"/>
      <c r="C28" s="679"/>
      <c r="D28" s="679"/>
      <c r="E28" s="679"/>
      <c r="F28" s="679"/>
      <c r="G28" s="679"/>
      <c r="L28" s="678" t="s">
        <v>171</v>
      </c>
      <c r="M28" s="678"/>
      <c r="N28" s="572"/>
      <c r="O28" s="678" t="s">
        <v>173</v>
      </c>
      <c r="P28" s="678"/>
      <c r="Q28" s="572"/>
      <c r="R28" s="678" t="s">
        <v>172</v>
      </c>
      <c r="S28" s="678"/>
      <c r="T28" s="572"/>
    </row>
    <row r="29" spans="1:20" ht="14.25" customHeight="1" x14ac:dyDescent="0.3">
      <c r="A29" s="992" t="s">
        <v>127</v>
      </c>
      <c r="B29" s="992"/>
      <c r="C29" s="300" t="s">
        <v>192</v>
      </c>
      <c r="D29" s="992" t="s">
        <v>130</v>
      </c>
      <c r="E29" s="992"/>
      <c r="F29" s="1" t="s">
        <v>217</v>
      </c>
      <c r="G29" s="680" t="s">
        <v>31</v>
      </c>
      <c r="H29" s="681"/>
      <c r="L29" s="995" t="s">
        <v>720</v>
      </c>
      <c r="M29" s="996"/>
      <c r="N29" s="997"/>
      <c r="O29" s="678" t="s">
        <v>172</v>
      </c>
      <c r="P29" s="678"/>
      <c r="Q29" s="572"/>
      <c r="R29" s="678" t="s">
        <v>171</v>
      </c>
      <c r="S29" s="678"/>
      <c r="T29" s="572"/>
    </row>
    <row r="30" spans="1:20" ht="14.25" customHeight="1" x14ac:dyDescent="0.3">
      <c r="A30" s="482" t="s">
        <v>170</v>
      </c>
      <c r="B30" s="682"/>
      <c r="C30" s="683"/>
      <c r="D30" s="482" t="s">
        <v>170</v>
      </c>
      <c r="E30" s="682"/>
      <c r="F30" s="682"/>
      <c r="G30" s="482" t="s">
        <v>170</v>
      </c>
      <c r="H30" s="682"/>
      <c r="L30" s="572" t="s">
        <v>170</v>
      </c>
      <c r="M30" s="572"/>
      <c r="N30" s="572"/>
      <c r="O30" s="678" t="s">
        <v>171</v>
      </c>
      <c r="P30" s="678"/>
      <c r="Q30" s="572"/>
      <c r="R30" s="998" t="s">
        <v>736</v>
      </c>
      <c r="S30" s="998"/>
      <c r="T30" s="998"/>
    </row>
    <row r="31" spans="1:20" ht="14.25" customHeight="1" x14ac:dyDescent="0.3">
      <c r="A31" s="482" t="s">
        <v>185</v>
      </c>
      <c r="B31" s="684"/>
      <c r="C31" s="684"/>
      <c r="D31" s="482" t="s">
        <v>185</v>
      </c>
      <c r="E31" s="684"/>
      <c r="F31" s="684"/>
      <c r="G31" s="482" t="s">
        <v>185</v>
      </c>
      <c r="H31" s="300" t="s">
        <v>327</v>
      </c>
      <c r="L31" s="572" t="s">
        <v>719</v>
      </c>
      <c r="M31" s="572"/>
      <c r="N31" s="572"/>
      <c r="O31" s="1001" t="s">
        <v>732</v>
      </c>
      <c r="P31" s="1002"/>
      <c r="Q31" s="1003"/>
      <c r="R31" s="572" t="s">
        <v>170</v>
      </c>
      <c r="S31" s="572"/>
      <c r="T31" s="572"/>
    </row>
    <row r="32" spans="1:20" ht="14.25" customHeight="1" x14ac:dyDescent="0.3">
      <c r="A32" s="480" t="s">
        <v>186</v>
      </c>
      <c r="B32" s="993"/>
      <c r="C32" s="994"/>
      <c r="D32" s="480" t="s">
        <v>186</v>
      </c>
      <c r="E32" s="991"/>
      <c r="F32" s="991"/>
      <c r="G32" s="480" t="s">
        <v>192</v>
      </c>
      <c r="H32" s="685"/>
      <c r="L32" s="572" t="s">
        <v>714</v>
      </c>
      <c r="M32" s="999"/>
      <c r="N32" s="1000"/>
      <c r="O32" s="572" t="s">
        <v>170</v>
      </c>
      <c r="P32" s="572"/>
      <c r="Q32" s="572"/>
      <c r="R32" s="572" t="s">
        <v>719</v>
      </c>
      <c r="S32" s="572"/>
      <c r="T32" s="572"/>
    </row>
    <row r="33" spans="1:20" ht="14.25" customHeight="1" x14ac:dyDescent="0.3">
      <c r="A33" s="686" t="s">
        <v>187</v>
      </c>
      <c r="B33" s="686" t="s">
        <v>188</v>
      </c>
      <c r="C33" s="687" t="s">
        <v>189</v>
      </c>
      <c r="D33" s="686" t="s">
        <v>187</v>
      </c>
      <c r="E33" s="686" t="s">
        <v>188</v>
      </c>
      <c r="F33" s="687" t="s">
        <v>189</v>
      </c>
      <c r="G33" s="686" t="s">
        <v>188</v>
      </c>
      <c r="H33" s="687" t="s">
        <v>189</v>
      </c>
      <c r="L33" s="572"/>
      <c r="M33" s="676" t="s">
        <v>188</v>
      </c>
      <c r="N33" s="677" t="s">
        <v>715</v>
      </c>
      <c r="O33" s="572" t="s">
        <v>719</v>
      </c>
      <c r="P33" s="572"/>
      <c r="Q33" s="572"/>
      <c r="R33" s="572" t="s">
        <v>714</v>
      </c>
      <c r="S33" s="572"/>
      <c r="T33" s="572"/>
    </row>
    <row r="34" spans="1:20" ht="14.25" customHeight="1" x14ac:dyDescent="0.3">
      <c r="A34" s="274">
        <v>2</v>
      </c>
      <c r="B34" s="179"/>
      <c r="C34" s="542"/>
      <c r="D34" s="274">
        <v>2</v>
      </c>
      <c r="E34" s="179"/>
      <c r="F34" s="179"/>
      <c r="G34" s="336" t="s">
        <v>31</v>
      </c>
      <c r="H34" s="336"/>
      <c r="I34" s="481" t="s">
        <v>579</v>
      </c>
      <c r="L34" s="572">
        <v>2</v>
      </c>
      <c r="M34" s="572"/>
      <c r="N34" s="572"/>
      <c r="O34" s="572" t="s">
        <v>714</v>
      </c>
      <c r="P34" s="572"/>
      <c r="Q34" s="572"/>
      <c r="R34" s="572"/>
      <c r="S34" s="676" t="s">
        <v>188</v>
      </c>
      <c r="T34" s="677" t="s">
        <v>715</v>
      </c>
    </row>
    <row r="35" spans="1:20" ht="14.25" customHeight="1" x14ac:dyDescent="0.3">
      <c r="A35" s="274">
        <v>4</v>
      </c>
      <c r="B35" s="179"/>
      <c r="C35" s="542"/>
      <c r="D35" s="274">
        <v>4</v>
      </c>
      <c r="E35" s="179"/>
      <c r="F35" s="179"/>
      <c r="G35" s="609"/>
      <c r="H35" s="688"/>
      <c r="I35" s="179"/>
      <c r="L35" s="572">
        <v>4</v>
      </c>
      <c r="M35" s="572"/>
      <c r="N35" s="572"/>
      <c r="O35" s="572"/>
      <c r="P35" s="676" t="s">
        <v>188</v>
      </c>
      <c r="Q35" s="677" t="s">
        <v>715</v>
      </c>
      <c r="R35" s="572">
        <v>2</v>
      </c>
      <c r="S35" s="572"/>
      <c r="T35" s="572"/>
    </row>
    <row r="36" spans="1:20" ht="14.25" customHeight="1" x14ac:dyDescent="0.3">
      <c r="A36" s="274">
        <v>6</v>
      </c>
      <c r="B36" s="179"/>
      <c r="C36" s="542"/>
      <c r="D36" s="274">
        <v>6</v>
      </c>
      <c r="E36" s="179"/>
      <c r="F36" s="179"/>
      <c r="G36" s="334" t="s">
        <v>196</v>
      </c>
      <c r="H36" s="689"/>
      <c r="L36" s="572">
        <v>6</v>
      </c>
      <c r="M36" s="572"/>
      <c r="N36" s="572"/>
      <c r="O36" s="572">
        <v>2</v>
      </c>
      <c r="P36" s="572"/>
      <c r="Q36" s="572"/>
      <c r="R36" s="572">
        <v>4</v>
      </c>
      <c r="S36" s="572"/>
      <c r="T36" s="572"/>
    </row>
    <row r="37" spans="1:20" ht="14.25" customHeight="1" x14ac:dyDescent="0.3">
      <c r="A37" s="274">
        <v>8</v>
      </c>
      <c r="B37" s="179"/>
      <c r="C37" s="542"/>
      <c r="D37" s="274">
        <v>8</v>
      </c>
      <c r="E37" s="179"/>
      <c r="F37" s="179"/>
      <c r="G37" s="609"/>
      <c r="H37" s="688"/>
      <c r="I37" s="179"/>
      <c r="L37" s="572">
        <v>8</v>
      </c>
      <c r="M37" s="572"/>
      <c r="N37" s="572"/>
      <c r="O37" s="572">
        <v>4</v>
      </c>
      <c r="P37" s="572"/>
      <c r="Q37" s="572"/>
      <c r="R37" s="572">
        <v>6</v>
      </c>
      <c r="S37" s="572"/>
      <c r="T37" s="572"/>
    </row>
    <row r="38" spans="1:20" ht="14.25" customHeight="1" x14ac:dyDescent="0.3">
      <c r="A38" s="274">
        <v>10</v>
      </c>
      <c r="B38" s="179"/>
      <c r="C38" s="542"/>
      <c r="D38" s="274">
        <v>10</v>
      </c>
      <c r="E38" s="179"/>
      <c r="F38" s="179"/>
      <c r="G38" s="335" t="s">
        <v>197</v>
      </c>
      <c r="H38" s="688"/>
      <c r="L38" s="572">
        <v>10</v>
      </c>
      <c r="M38" s="572"/>
      <c r="N38" s="572"/>
      <c r="O38" s="572">
        <v>6</v>
      </c>
      <c r="P38" s="572"/>
      <c r="Q38" s="572"/>
      <c r="R38" s="572">
        <v>8</v>
      </c>
      <c r="S38" s="572"/>
      <c r="T38" s="572"/>
    </row>
    <row r="39" spans="1:20" ht="14.25" customHeight="1" x14ac:dyDescent="0.3">
      <c r="A39" s="274">
        <v>12</v>
      </c>
      <c r="B39" s="179"/>
      <c r="C39" s="542"/>
      <c r="D39" s="274">
        <v>12</v>
      </c>
      <c r="E39" s="309"/>
      <c r="F39" s="179"/>
      <c r="G39" s="609"/>
      <c r="H39" s="688"/>
      <c r="I39" s="179"/>
      <c r="L39" s="572">
        <v>12</v>
      </c>
      <c r="M39" s="572"/>
      <c r="N39" s="572"/>
      <c r="O39" s="572">
        <v>8</v>
      </c>
      <c r="P39" s="572"/>
      <c r="Q39" s="572"/>
      <c r="R39" s="572">
        <v>10</v>
      </c>
      <c r="S39" s="572"/>
      <c r="T39" s="572"/>
    </row>
    <row r="40" spans="1:20" ht="14.25" customHeight="1" x14ac:dyDescent="0.3">
      <c r="A40" s="274">
        <v>14</v>
      </c>
      <c r="B40" s="179"/>
      <c r="C40" s="179"/>
      <c r="D40" s="274">
        <v>14</v>
      </c>
      <c r="E40" s="309"/>
      <c r="F40" s="179"/>
      <c r="G40" s="690"/>
      <c r="L40" s="572">
        <v>14</v>
      </c>
      <c r="M40" s="572"/>
      <c r="N40" s="572"/>
      <c r="O40" s="572">
        <v>10</v>
      </c>
      <c r="P40" s="572"/>
      <c r="Q40" s="572"/>
      <c r="R40" s="572">
        <v>12</v>
      </c>
      <c r="S40" s="572"/>
      <c r="T40" s="572"/>
    </row>
    <row r="41" spans="1:20" ht="14.25" customHeight="1" x14ac:dyDescent="0.3">
      <c r="A41" s="274"/>
      <c r="B41" s="179"/>
      <c r="C41" s="179"/>
      <c r="D41" s="274">
        <v>16</v>
      </c>
      <c r="E41" s="309"/>
      <c r="F41" s="179"/>
      <c r="G41" s="690"/>
      <c r="L41" s="572">
        <v>16</v>
      </c>
      <c r="M41" s="572"/>
      <c r="N41" s="572"/>
      <c r="O41" s="572">
        <v>12</v>
      </c>
      <c r="P41" s="572"/>
      <c r="Q41" s="572"/>
      <c r="R41" s="572">
        <v>14</v>
      </c>
      <c r="S41" s="572"/>
      <c r="T41" s="572"/>
    </row>
    <row r="42" spans="1:20" ht="14.25" customHeight="1" x14ac:dyDescent="0.3">
      <c r="A42" s="274"/>
      <c r="B42" s="179"/>
      <c r="C42" s="179"/>
      <c r="D42" s="274">
        <v>18</v>
      </c>
      <c r="E42" s="309"/>
      <c r="F42" s="179"/>
      <c r="G42" s="690"/>
      <c r="L42" s="572">
        <v>18</v>
      </c>
      <c r="M42" s="572"/>
      <c r="N42" s="572"/>
      <c r="O42" s="572">
        <v>14</v>
      </c>
      <c r="P42" s="572"/>
      <c r="Q42" s="572"/>
      <c r="R42" s="572">
        <v>16</v>
      </c>
      <c r="S42" s="572"/>
      <c r="T42" s="572"/>
    </row>
    <row r="43" spans="1:20" ht="14.25" customHeight="1" x14ac:dyDescent="0.3">
      <c r="A43" s="274"/>
      <c r="B43" s="179"/>
      <c r="C43" s="179"/>
      <c r="D43" s="274">
        <v>20</v>
      </c>
      <c r="E43" s="309"/>
      <c r="F43" s="179"/>
      <c r="G43" s="690"/>
      <c r="L43" s="572">
        <v>20</v>
      </c>
      <c r="M43" s="572"/>
      <c r="N43" s="572"/>
      <c r="O43" s="572">
        <v>16</v>
      </c>
      <c r="P43" s="572"/>
      <c r="Q43" s="572"/>
      <c r="R43" s="572">
        <v>18</v>
      </c>
      <c r="S43" s="572"/>
      <c r="T43" s="572"/>
    </row>
    <row r="44" spans="1:20" ht="14.25" customHeight="1" x14ac:dyDescent="0.3">
      <c r="A44" s="274" t="s">
        <v>246</v>
      </c>
      <c r="B44" s="923" t="s">
        <v>248</v>
      </c>
      <c r="C44" s="923"/>
      <c r="D44" s="923"/>
      <c r="E44" s="923"/>
      <c r="F44" s="923"/>
      <c r="G44" s="672"/>
      <c r="L44" s="572">
        <v>22</v>
      </c>
      <c r="M44" s="572"/>
      <c r="N44" s="572"/>
      <c r="O44" s="572">
        <v>18</v>
      </c>
      <c r="P44" s="572"/>
      <c r="Q44" s="572"/>
      <c r="R44" s="572">
        <v>20</v>
      </c>
      <c r="S44" s="572"/>
      <c r="T44" s="572"/>
    </row>
    <row r="45" spans="1:20" ht="14.25" customHeight="1" thickBot="1" x14ac:dyDescent="0.35">
      <c r="A45" s="413" t="s">
        <v>256</v>
      </c>
      <c r="B45" s="414"/>
      <c r="C45" s="414"/>
      <c r="D45" s="691"/>
      <c r="E45" s="691"/>
      <c r="F45" s="691"/>
      <c r="G45" s="345"/>
      <c r="H45" s="345"/>
      <c r="L45" s="572">
        <v>24</v>
      </c>
      <c r="M45" s="572"/>
      <c r="N45" s="572"/>
      <c r="O45" s="572">
        <v>20</v>
      </c>
      <c r="P45" s="572"/>
      <c r="Q45" s="572"/>
      <c r="R45" s="572">
        <v>22</v>
      </c>
      <c r="S45" s="572"/>
      <c r="T45" s="572"/>
    </row>
    <row r="46" spans="1:20" ht="14.25" customHeight="1" thickBot="1" x14ac:dyDescent="0.35">
      <c r="A46" s="179" t="s">
        <v>257</v>
      </c>
      <c r="B46" s="23"/>
      <c r="C46" s="692"/>
      <c r="D46" s="691"/>
      <c r="E46" s="691"/>
      <c r="F46" s="691"/>
      <c r="G46" s="345"/>
      <c r="H46" s="345"/>
      <c r="L46" s="572">
        <v>26</v>
      </c>
      <c r="M46" s="572"/>
      <c r="N46" s="572"/>
      <c r="O46" s="572">
        <v>22</v>
      </c>
      <c r="P46" s="572"/>
      <c r="Q46" s="572"/>
      <c r="R46" s="572">
        <v>24</v>
      </c>
      <c r="S46" s="572"/>
      <c r="T46" s="572"/>
    </row>
    <row r="47" spans="1:20" ht="14.25" customHeight="1" thickBot="1" x14ac:dyDescent="0.35">
      <c r="A47" s="179" t="s">
        <v>247</v>
      </c>
      <c r="B47" s="693"/>
      <c r="C47" s="692"/>
      <c r="D47" s="692"/>
      <c r="E47" s="692"/>
      <c r="F47" s="692"/>
      <c r="G47" s="345"/>
      <c r="H47" s="345"/>
      <c r="L47" s="572">
        <v>28</v>
      </c>
      <c r="M47" s="572"/>
      <c r="N47" s="572"/>
      <c r="O47" s="572">
        <v>24</v>
      </c>
      <c r="P47" s="572"/>
      <c r="Q47" s="572"/>
      <c r="R47" s="572">
        <v>26</v>
      </c>
      <c r="S47" s="572"/>
      <c r="T47" s="572"/>
    </row>
    <row r="48" spans="1:20" ht="14.25" customHeight="1" thickBot="1" x14ac:dyDescent="0.35">
      <c r="A48" s="446" t="s">
        <v>537</v>
      </c>
      <c r="B48" s="693"/>
      <c r="C48" s="692"/>
      <c r="D48" s="692"/>
      <c r="E48" s="692"/>
      <c r="F48" s="692"/>
      <c r="G48" s="345"/>
      <c r="H48" s="345"/>
      <c r="L48" s="678" t="s">
        <v>174</v>
      </c>
      <c r="M48" s="678"/>
      <c r="N48" s="572"/>
      <c r="O48" s="572">
        <v>26</v>
      </c>
      <c r="P48" s="572"/>
      <c r="Q48" s="572"/>
      <c r="R48" s="572">
        <v>28</v>
      </c>
      <c r="S48" s="572"/>
      <c r="T48" s="572"/>
    </row>
    <row r="49" spans="1:20" ht="14.25" customHeight="1" thickBot="1" x14ac:dyDescent="0.35">
      <c r="A49" s="446" t="s">
        <v>538</v>
      </c>
      <c r="B49" s="693"/>
      <c r="C49" s="692"/>
      <c r="D49" s="692"/>
      <c r="E49" s="692"/>
      <c r="F49" s="692"/>
      <c r="G49" s="345"/>
      <c r="H49" s="345"/>
      <c r="L49" s="678" t="s">
        <v>173</v>
      </c>
      <c r="M49" s="678"/>
      <c r="N49" s="572"/>
      <c r="O49" s="572">
        <v>28</v>
      </c>
      <c r="P49" s="572"/>
      <c r="Q49" s="572"/>
      <c r="R49" s="572">
        <v>30</v>
      </c>
      <c r="S49" s="572"/>
      <c r="T49" s="572"/>
    </row>
    <row r="50" spans="1:20" ht="14.25" customHeight="1" thickBot="1" x14ac:dyDescent="0.35">
      <c r="A50" s="179" t="s">
        <v>249</v>
      </c>
      <c r="B50" s="693"/>
      <c r="C50" s="692"/>
      <c r="D50" s="692"/>
      <c r="E50" s="692"/>
      <c r="F50" s="692"/>
      <c r="G50" s="433"/>
      <c r="L50" s="678" t="s">
        <v>172</v>
      </c>
      <c r="M50" s="678"/>
      <c r="N50" s="572"/>
      <c r="O50" s="572">
        <v>30</v>
      </c>
      <c r="P50" s="572"/>
      <c r="Q50" s="572"/>
      <c r="R50" s="572"/>
      <c r="S50" s="572"/>
      <c r="T50" s="572"/>
    </row>
    <row r="51" spans="1:20" ht="14.25" customHeight="1" thickBot="1" x14ac:dyDescent="0.35">
      <c r="A51" s="179" t="s">
        <v>250</v>
      </c>
      <c r="B51" s="693"/>
      <c r="C51" s="692"/>
      <c r="D51" s="692"/>
      <c r="E51" s="692"/>
      <c r="F51" s="692"/>
      <c r="G51" s="433"/>
      <c r="L51" s="678" t="s">
        <v>171</v>
      </c>
      <c r="M51" s="678"/>
      <c r="N51" s="572"/>
      <c r="O51" s="572"/>
      <c r="P51" s="572"/>
      <c r="Q51" s="572"/>
      <c r="R51" s="678" t="s">
        <v>174</v>
      </c>
      <c r="S51" s="678"/>
      <c r="T51" s="572"/>
    </row>
    <row r="52" spans="1:20" ht="14.25" customHeight="1" thickBot="1" x14ac:dyDescent="0.35">
      <c r="A52" s="446" t="s">
        <v>578</v>
      </c>
      <c r="B52" s="693"/>
      <c r="C52" s="692"/>
      <c r="D52" s="692"/>
      <c r="E52" s="692"/>
      <c r="F52" s="692"/>
      <c r="G52" s="433"/>
      <c r="L52" s="1001" t="s">
        <v>721</v>
      </c>
      <c r="M52" s="1002"/>
      <c r="N52" s="1003"/>
      <c r="O52" s="678" t="s">
        <v>174</v>
      </c>
      <c r="P52" s="678"/>
      <c r="Q52" s="572"/>
      <c r="R52" s="678" t="s">
        <v>173</v>
      </c>
      <c r="S52" s="678"/>
      <c r="T52" s="572"/>
    </row>
    <row r="53" spans="1:20" ht="14.25" customHeight="1" thickBot="1" x14ac:dyDescent="0.35">
      <c r="A53" s="179" t="s">
        <v>255</v>
      </c>
      <c r="B53" s="693"/>
      <c r="C53" s="692"/>
      <c r="D53" s="692"/>
      <c r="E53" s="692"/>
      <c r="F53" s="692"/>
      <c r="L53" s="572" t="s">
        <v>170</v>
      </c>
      <c r="M53" s="572"/>
      <c r="N53" s="572"/>
      <c r="O53" s="678" t="s">
        <v>173</v>
      </c>
      <c r="P53" s="678"/>
      <c r="Q53" s="572"/>
      <c r="R53" s="678" t="s">
        <v>172</v>
      </c>
      <c r="S53" s="678"/>
      <c r="T53" s="572"/>
    </row>
    <row r="54" spans="1:20" ht="14.25" customHeight="1" thickBot="1" x14ac:dyDescent="0.35">
      <c r="A54" s="179" t="s">
        <v>251</v>
      </c>
      <c r="B54" s="330"/>
      <c r="C54" s="691"/>
      <c r="D54" s="692"/>
      <c r="E54" s="692"/>
      <c r="F54" s="692"/>
      <c r="L54" s="572" t="s">
        <v>719</v>
      </c>
      <c r="M54" s="572"/>
      <c r="N54" s="572"/>
      <c r="O54" s="678" t="s">
        <v>172</v>
      </c>
      <c r="P54" s="678"/>
      <c r="Q54" s="572"/>
      <c r="R54" s="678" t="s">
        <v>171</v>
      </c>
      <c r="S54" s="678"/>
      <c r="T54" s="572"/>
    </row>
    <row r="55" spans="1:20" ht="14.25" customHeight="1" x14ac:dyDescent="0.3">
      <c r="A55" s="479" t="s">
        <v>577</v>
      </c>
      <c r="B55" s="349"/>
      <c r="C55" s="193"/>
      <c r="D55" s="193"/>
      <c r="E55" s="193"/>
      <c r="F55" s="193"/>
      <c r="L55" s="572" t="s">
        <v>714</v>
      </c>
      <c r="M55" s="572"/>
      <c r="N55" s="572"/>
      <c r="O55" s="678" t="s">
        <v>171</v>
      </c>
      <c r="P55" s="678"/>
      <c r="Q55" s="572"/>
      <c r="R55" s="998" t="s">
        <v>737</v>
      </c>
      <c r="S55" s="998"/>
      <c r="T55" s="998"/>
    </row>
    <row r="56" spans="1:20" ht="14.25" customHeight="1" x14ac:dyDescent="0.3">
      <c r="A56" s="1" t="s">
        <v>211</v>
      </c>
      <c r="C56" s="20" t="s">
        <v>212</v>
      </c>
      <c r="D56" s="672">
        <v>40994</v>
      </c>
      <c r="L56" s="677"/>
      <c r="M56" s="676" t="s">
        <v>188</v>
      </c>
      <c r="N56" s="677" t="s">
        <v>715</v>
      </c>
      <c r="O56" s="998" t="s">
        <v>733</v>
      </c>
      <c r="P56" s="998"/>
      <c r="Q56" s="998"/>
      <c r="R56" s="572" t="s">
        <v>170</v>
      </c>
      <c r="S56" s="572"/>
      <c r="T56" s="572"/>
    </row>
    <row r="57" spans="1:20" ht="14.25" customHeight="1" x14ac:dyDescent="0.3">
      <c r="A57" s="189" t="s">
        <v>218</v>
      </c>
      <c r="B57" s="671" t="s">
        <v>170</v>
      </c>
      <c r="C57" s="671" t="s">
        <v>171</v>
      </c>
      <c r="D57" s="671" t="s">
        <v>172</v>
      </c>
      <c r="E57" s="671" t="s">
        <v>173</v>
      </c>
      <c r="F57" s="671" t="s">
        <v>174</v>
      </c>
      <c r="G57" s="189" t="s">
        <v>184</v>
      </c>
      <c r="H57" s="189" t="s">
        <v>195</v>
      </c>
      <c r="L57" s="572">
        <v>1</v>
      </c>
      <c r="M57" s="572"/>
      <c r="N57" s="572"/>
      <c r="O57" s="572" t="s">
        <v>170</v>
      </c>
      <c r="P57" s="572"/>
      <c r="Q57" s="572"/>
      <c r="R57" s="572" t="s">
        <v>719</v>
      </c>
      <c r="S57" s="572"/>
      <c r="T57" s="572"/>
    </row>
    <row r="58" spans="1:20" ht="14.25" customHeight="1" x14ac:dyDescent="0.3">
      <c r="A58" s="670" t="s">
        <v>506</v>
      </c>
      <c r="B58" s="179"/>
      <c r="C58" s="514"/>
      <c r="D58" s="514"/>
      <c r="E58" s="514"/>
      <c r="F58" s="514"/>
      <c r="G58" s="675"/>
      <c r="H58" s="179"/>
      <c r="L58" s="572">
        <v>2</v>
      </c>
      <c r="M58" s="572"/>
      <c r="N58" s="572"/>
      <c r="O58" s="572" t="s">
        <v>719</v>
      </c>
      <c r="P58" s="572"/>
      <c r="Q58" s="572"/>
      <c r="R58" s="572" t="s">
        <v>714</v>
      </c>
      <c r="S58" s="572"/>
      <c r="T58" s="572"/>
    </row>
    <row r="59" spans="1:20" ht="14.25" customHeight="1" x14ac:dyDescent="0.3">
      <c r="A59" s="670" t="s">
        <v>175</v>
      </c>
      <c r="B59" s="179"/>
      <c r="C59" s="514"/>
      <c r="D59" s="514"/>
      <c r="E59" s="514"/>
      <c r="F59" s="514"/>
      <c r="G59" s="345"/>
      <c r="L59" s="572">
        <v>3</v>
      </c>
      <c r="M59" s="572"/>
      <c r="N59" s="572"/>
      <c r="O59" s="572" t="s">
        <v>714</v>
      </c>
      <c r="P59" s="572"/>
      <c r="Q59" s="572"/>
      <c r="R59" s="572"/>
      <c r="S59" s="676" t="s">
        <v>188</v>
      </c>
      <c r="T59" s="677" t="s">
        <v>715</v>
      </c>
    </row>
    <row r="60" spans="1:20" ht="14.25" customHeight="1" x14ac:dyDescent="0.3">
      <c r="A60" s="670" t="s">
        <v>507</v>
      </c>
      <c r="B60" s="179"/>
      <c r="C60" s="514"/>
      <c r="D60" s="514"/>
      <c r="E60" s="514"/>
      <c r="F60" s="514"/>
      <c r="G60" s="345"/>
      <c r="L60" s="678" t="s">
        <v>174</v>
      </c>
      <c r="M60" s="678"/>
      <c r="N60" s="572"/>
      <c r="O60" s="572"/>
      <c r="P60" s="676" t="s">
        <v>188</v>
      </c>
      <c r="Q60" s="677" t="s">
        <v>715</v>
      </c>
      <c r="R60" s="572">
        <v>2</v>
      </c>
      <c r="S60" s="572"/>
      <c r="T60" s="572"/>
    </row>
    <row r="61" spans="1:20" ht="14.25" customHeight="1" x14ac:dyDescent="0.3">
      <c r="A61" s="670" t="s">
        <v>176</v>
      </c>
      <c r="B61" s="179"/>
      <c r="C61" s="514"/>
      <c r="D61" s="514"/>
      <c r="E61" s="514"/>
      <c r="F61" s="514"/>
      <c r="G61" s="345"/>
      <c r="L61" s="678" t="s">
        <v>173</v>
      </c>
      <c r="M61" s="678"/>
      <c r="N61" s="572"/>
      <c r="O61" s="572">
        <v>2</v>
      </c>
      <c r="P61" s="572"/>
      <c r="Q61" s="572"/>
      <c r="R61" s="572">
        <v>4</v>
      </c>
      <c r="S61" s="572"/>
      <c r="T61" s="572"/>
    </row>
    <row r="62" spans="1:20" ht="14.25" customHeight="1" x14ac:dyDescent="0.3">
      <c r="A62" s="670" t="s">
        <v>508</v>
      </c>
      <c r="B62" s="179"/>
      <c r="C62" s="514"/>
      <c r="D62" s="514"/>
      <c r="E62" s="514"/>
      <c r="F62" s="514"/>
      <c r="G62" s="345"/>
      <c r="L62" s="678" t="s">
        <v>172</v>
      </c>
      <c r="M62" s="678"/>
      <c r="N62" s="572"/>
      <c r="O62" s="572">
        <v>4</v>
      </c>
      <c r="P62" s="572"/>
      <c r="Q62" s="572"/>
      <c r="R62" s="572">
        <v>6</v>
      </c>
      <c r="S62" s="572"/>
      <c r="T62" s="572"/>
    </row>
    <row r="63" spans="1:20" ht="14.25" customHeight="1" x14ac:dyDescent="0.3">
      <c r="A63" s="670" t="s">
        <v>177</v>
      </c>
      <c r="B63" s="179"/>
      <c r="C63" s="514"/>
      <c r="D63" s="514"/>
      <c r="E63" s="514"/>
      <c r="F63" s="514"/>
      <c r="G63" s="345"/>
      <c r="L63" s="678" t="s">
        <v>171</v>
      </c>
      <c r="M63" s="678"/>
      <c r="N63" s="572"/>
      <c r="O63" s="572">
        <v>6</v>
      </c>
      <c r="P63" s="572"/>
      <c r="Q63" s="572"/>
      <c r="R63" s="572">
        <v>8</v>
      </c>
      <c r="S63" s="572"/>
      <c r="T63" s="572"/>
    </row>
    <row r="64" spans="1:20" ht="14.25" customHeight="1" x14ac:dyDescent="0.3">
      <c r="A64" s="670" t="s">
        <v>509</v>
      </c>
      <c r="B64" s="179"/>
      <c r="C64" s="514"/>
      <c r="D64" s="514"/>
      <c r="E64" s="514"/>
      <c r="F64" s="514"/>
      <c r="G64" s="345"/>
      <c r="L64" s="998" t="s">
        <v>726</v>
      </c>
      <c r="M64" s="998"/>
      <c r="N64" s="998"/>
      <c r="O64" s="572">
        <v>8</v>
      </c>
      <c r="P64" s="572"/>
      <c r="Q64" s="572"/>
      <c r="R64" s="572">
        <v>10</v>
      </c>
      <c r="S64" s="572"/>
      <c r="T64" s="572"/>
    </row>
    <row r="65" spans="1:20" ht="14.25" customHeight="1" x14ac:dyDescent="0.3">
      <c r="A65" s="670" t="s">
        <v>178</v>
      </c>
      <c r="B65" s="179"/>
      <c r="C65" s="514"/>
      <c r="D65" s="514"/>
      <c r="E65" s="514"/>
      <c r="F65" s="514"/>
      <c r="G65" s="345"/>
      <c r="L65" s="572" t="s">
        <v>170</v>
      </c>
      <c r="M65" s="572"/>
      <c r="N65" s="674"/>
      <c r="O65" s="572">
        <v>10</v>
      </c>
      <c r="P65" s="572"/>
      <c r="Q65" s="572"/>
      <c r="R65" s="572">
        <v>12</v>
      </c>
      <c r="S65" s="572"/>
      <c r="T65" s="572"/>
    </row>
    <row r="66" spans="1:20" ht="14.25" customHeight="1" x14ac:dyDescent="0.3">
      <c r="A66" s="670" t="s">
        <v>179</v>
      </c>
      <c r="B66" s="179"/>
      <c r="C66" s="514"/>
      <c r="D66" s="514"/>
      <c r="E66" s="514"/>
      <c r="F66" s="514"/>
      <c r="G66" s="345"/>
      <c r="L66" s="572" t="s">
        <v>719</v>
      </c>
      <c r="M66" s="572"/>
      <c r="N66" s="572"/>
      <c r="O66" s="572">
        <v>12</v>
      </c>
      <c r="P66" s="572"/>
      <c r="Q66" s="572"/>
      <c r="R66" s="572">
        <v>14</v>
      </c>
      <c r="S66" s="572"/>
      <c r="T66" s="572"/>
    </row>
    <row r="67" spans="1:20" ht="14.25" customHeight="1" x14ac:dyDescent="0.3">
      <c r="A67" s="670" t="s">
        <v>180</v>
      </c>
      <c r="B67" s="179"/>
      <c r="C67" s="514"/>
      <c r="D67" s="514"/>
      <c r="E67" s="514"/>
      <c r="F67" s="514"/>
      <c r="G67" s="345"/>
      <c r="L67" s="572" t="s">
        <v>714</v>
      </c>
      <c r="M67" s="572"/>
      <c r="N67" s="572"/>
      <c r="O67" s="572">
        <v>14</v>
      </c>
      <c r="P67" s="572"/>
      <c r="Q67" s="572"/>
      <c r="R67" s="572">
        <v>16</v>
      </c>
      <c r="S67" s="572"/>
      <c r="T67" s="572"/>
    </row>
    <row r="68" spans="1:20" ht="14.25" customHeight="1" x14ac:dyDescent="0.3">
      <c r="A68" s="670" t="s">
        <v>181</v>
      </c>
      <c r="B68" s="201"/>
      <c r="C68" s="514"/>
      <c r="D68" s="514"/>
      <c r="E68" s="514"/>
      <c r="F68" s="514"/>
      <c r="G68" s="345"/>
      <c r="L68" s="572"/>
      <c r="M68" s="676" t="s">
        <v>188</v>
      </c>
      <c r="N68" s="677" t="s">
        <v>715</v>
      </c>
      <c r="O68" s="572">
        <v>16</v>
      </c>
      <c r="P68" s="572"/>
      <c r="Q68" s="572"/>
      <c r="R68" s="572">
        <v>18</v>
      </c>
      <c r="S68" s="572"/>
      <c r="T68" s="572"/>
    </row>
    <row r="69" spans="1:20" ht="14.25" customHeight="1" x14ac:dyDescent="0.3">
      <c r="A69" s="670" t="s">
        <v>182</v>
      </c>
      <c r="B69" s="201"/>
      <c r="C69" s="514"/>
      <c r="D69" s="514"/>
      <c r="E69" s="514"/>
      <c r="F69" s="514"/>
      <c r="G69" s="345"/>
      <c r="L69" s="572">
        <v>2</v>
      </c>
      <c r="M69" s="572"/>
      <c r="N69" s="572"/>
      <c r="O69" s="572">
        <v>18</v>
      </c>
      <c r="P69" s="572"/>
      <c r="Q69" s="572"/>
      <c r="R69" s="572">
        <v>20</v>
      </c>
      <c r="S69" s="572"/>
      <c r="T69" s="572"/>
    </row>
    <row r="70" spans="1:20" ht="14.25" customHeight="1" x14ac:dyDescent="0.3">
      <c r="A70" s="179"/>
      <c r="B70" s="179"/>
      <c r="C70" s="179"/>
      <c r="D70" s="179"/>
      <c r="E70" s="179"/>
      <c r="F70" s="179"/>
      <c r="L70" s="572">
        <v>4</v>
      </c>
      <c r="M70" s="572"/>
      <c r="N70" s="572"/>
      <c r="O70" s="572">
        <v>20</v>
      </c>
      <c r="P70" s="572"/>
      <c r="Q70" s="572"/>
      <c r="R70" s="572">
        <v>22</v>
      </c>
      <c r="S70" s="572"/>
      <c r="T70" s="572"/>
    </row>
    <row r="71" spans="1:20" ht="14.25" customHeight="1" x14ac:dyDescent="0.3">
      <c r="A71" s="189" t="s">
        <v>219</v>
      </c>
      <c r="B71" s="671" t="s">
        <v>170</v>
      </c>
      <c r="C71" s="671" t="s">
        <v>171</v>
      </c>
      <c r="D71" s="671" t="s">
        <v>172</v>
      </c>
      <c r="E71" s="671" t="s">
        <v>173</v>
      </c>
      <c r="F71" s="671" t="s">
        <v>174</v>
      </c>
      <c r="G71" s="189" t="s">
        <v>184</v>
      </c>
      <c r="H71" s="189" t="s">
        <v>195</v>
      </c>
      <c r="L71" s="572">
        <v>6</v>
      </c>
      <c r="M71" s="572"/>
      <c r="N71" s="572"/>
      <c r="O71" s="572">
        <v>22</v>
      </c>
      <c r="P71" s="572"/>
      <c r="Q71" s="572"/>
      <c r="R71" s="572">
        <v>24</v>
      </c>
      <c r="S71" s="572"/>
      <c r="T71" s="572"/>
    </row>
    <row r="72" spans="1:20" ht="14.25" customHeight="1" x14ac:dyDescent="0.3">
      <c r="A72" s="670" t="s">
        <v>506</v>
      </c>
      <c r="B72" s="179"/>
      <c r="C72" s="514"/>
      <c r="D72" s="514"/>
      <c r="E72" s="514"/>
      <c r="F72" s="514"/>
      <c r="G72" s="675"/>
      <c r="H72" s="179"/>
      <c r="L72" s="572">
        <v>8</v>
      </c>
      <c r="M72" s="572"/>
      <c r="N72" s="572"/>
      <c r="O72" s="572">
        <v>24</v>
      </c>
      <c r="P72" s="572"/>
      <c r="Q72" s="572"/>
      <c r="R72" s="572">
        <v>26</v>
      </c>
      <c r="S72" s="572"/>
      <c r="T72" s="572"/>
    </row>
    <row r="73" spans="1:20" ht="14.25" customHeight="1" x14ac:dyDescent="0.3">
      <c r="A73" s="670" t="s">
        <v>175</v>
      </c>
      <c r="B73" s="179"/>
      <c r="C73" s="514"/>
      <c r="D73" s="514"/>
      <c r="E73" s="514"/>
      <c r="F73" s="514"/>
      <c r="G73" s="345"/>
      <c r="L73" s="572">
        <v>10</v>
      </c>
      <c r="M73" s="572"/>
      <c r="N73" s="572"/>
      <c r="O73" s="572">
        <v>26</v>
      </c>
      <c r="P73" s="572"/>
      <c r="Q73" s="572"/>
      <c r="R73" s="572">
        <v>28</v>
      </c>
      <c r="S73" s="572"/>
      <c r="T73" s="572"/>
    </row>
    <row r="74" spans="1:20" ht="14.25" customHeight="1" x14ac:dyDescent="0.3">
      <c r="A74" s="670" t="s">
        <v>507</v>
      </c>
      <c r="B74" s="179"/>
      <c r="C74" s="514"/>
      <c r="D74" s="514"/>
      <c r="E74" s="514"/>
      <c r="F74" s="514"/>
      <c r="G74" s="345"/>
      <c r="L74" s="572">
        <v>12</v>
      </c>
      <c r="M74" s="572"/>
      <c r="N74" s="572"/>
      <c r="O74" s="572">
        <v>28</v>
      </c>
      <c r="P74" s="572"/>
      <c r="Q74" s="572"/>
      <c r="R74" s="572">
        <v>30</v>
      </c>
      <c r="S74" s="572"/>
      <c r="T74" s="572"/>
    </row>
    <row r="75" spans="1:20" ht="14.25" customHeight="1" x14ac:dyDescent="0.3">
      <c r="A75" s="670" t="s">
        <v>176</v>
      </c>
      <c r="B75" s="179"/>
      <c r="C75" s="514"/>
      <c r="D75" s="514"/>
      <c r="E75" s="514"/>
      <c r="F75" s="514"/>
      <c r="G75" s="345"/>
      <c r="L75" s="572">
        <v>14</v>
      </c>
      <c r="M75" s="572"/>
      <c r="N75" s="572"/>
      <c r="O75" s="572">
        <v>30</v>
      </c>
      <c r="P75" s="572"/>
      <c r="Q75" s="572"/>
      <c r="R75" s="572"/>
      <c r="S75" s="572"/>
      <c r="T75" s="572"/>
    </row>
    <row r="76" spans="1:20" ht="14.25" customHeight="1" x14ac:dyDescent="0.3">
      <c r="A76" s="670" t="s">
        <v>508</v>
      </c>
      <c r="B76" s="179"/>
      <c r="C76" s="514"/>
      <c r="D76" s="514"/>
      <c r="E76" s="514"/>
      <c r="F76" s="514"/>
      <c r="G76" s="345"/>
      <c r="L76" s="572">
        <v>16</v>
      </c>
      <c r="M76" s="572"/>
      <c r="N76" s="572"/>
      <c r="O76" s="694"/>
      <c r="P76" s="572"/>
      <c r="Q76" s="572"/>
      <c r="R76" s="678" t="s">
        <v>174</v>
      </c>
      <c r="S76" s="678"/>
      <c r="T76" s="572"/>
    </row>
    <row r="77" spans="1:20" ht="14.25" customHeight="1" x14ac:dyDescent="0.3">
      <c r="A77" s="670" t="s">
        <v>177</v>
      </c>
      <c r="B77" s="179"/>
      <c r="C77" s="514"/>
      <c r="D77" s="514"/>
      <c r="E77" s="514"/>
      <c r="F77" s="514"/>
      <c r="G77" s="345"/>
      <c r="L77" s="572">
        <v>18</v>
      </c>
      <c r="M77" s="572"/>
      <c r="N77" s="572"/>
      <c r="O77" s="678" t="s">
        <v>174</v>
      </c>
      <c r="P77" s="678"/>
      <c r="Q77" s="572"/>
      <c r="R77" s="678" t="s">
        <v>173</v>
      </c>
      <c r="S77" s="678"/>
      <c r="T77" s="572"/>
    </row>
    <row r="78" spans="1:20" ht="14.25" customHeight="1" x14ac:dyDescent="0.3">
      <c r="A78" s="670" t="s">
        <v>509</v>
      </c>
      <c r="B78" s="179"/>
      <c r="C78" s="514"/>
      <c r="D78" s="514"/>
      <c r="E78" s="514"/>
      <c r="F78" s="514"/>
      <c r="G78" s="345"/>
      <c r="L78" s="572">
        <v>20</v>
      </c>
      <c r="M78" s="572"/>
      <c r="N78" s="572"/>
      <c r="O78" s="678" t="s">
        <v>173</v>
      </c>
      <c r="P78" s="678"/>
      <c r="Q78" s="572"/>
      <c r="R78" s="678" t="s">
        <v>172</v>
      </c>
      <c r="S78" s="678"/>
      <c r="T78" s="572"/>
    </row>
    <row r="79" spans="1:20" ht="14.25" customHeight="1" x14ac:dyDescent="0.3">
      <c r="A79" s="670" t="s">
        <v>178</v>
      </c>
      <c r="B79" s="179"/>
      <c r="C79" s="514"/>
      <c r="D79" s="514"/>
      <c r="E79" s="514"/>
      <c r="F79" s="514"/>
      <c r="G79" s="345"/>
      <c r="L79" s="678" t="s">
        <v>174</v>
      </c>
      <c r="M79" s="678"/>
      <c r="N79" s="572"/>
      <c r="O79" s="678" t="s">
        <v>172</v>
      </c>
      <c r="P79" s="678"/>
      <c r="Q79" s="572"/>
      <c r="R79" s="678" t="s">
        <v>171</v>
      </c>
      <c r="S79" s="678"/>
      <c r="T79" s="572"/>
    </row>
    <row r="80" spans="1:20" ht="14.25" customHeight="1" x14ac:dyDescent="0.3">
      <c r="A80" s="670" t="s">
        <v>179</v>
      </c>
      <c r="B80" s="179"/>
      <c r="C80" s="514"/>
      <c r="D80" s="514"/>
      <c r="E80" s="514"/>
      <c r="F80" s="514"/>
      <c r="G80" s="345"/>
      <c r="L80" s="678" t="s">
        <v>173</v>
      </c>
      <c r="M80" s="678"/>
      <c r="N80" s="572"/>
      <c r="O80" s="678" t="s">
        <v>171</v>
      </c>
      <c r="P80" s="678"/>
      <c r="Q80" s="572"/>
      <c r="R80" s="998" t="s">
        <v>738</v>
      </c>
      <c r="S80" s="998"/>
      <c r="T80" s="998"/>
    </row>
    <row r="81" spans="1:20" ht="14.25" customHeight="1" x14ac:dyDescent="0.3">
      <c r="A81" s="306" t="s">
        <v>180</v>
      </c>
      <c r="B81" s="201"/>
      <c r="C81" s="514"/>
      <c r="D81" s="514"/>
      <c r="E81" s="514"/>
      <c r="F81" s="514"/>
      <c r="G81" s="345"/>
      <c r="L81" s="678" t="s">
        <v>172</v>
      </c>
      <c r="M81" s="678"/>
      <c r="N81" s="572"/>
      <c r="O81" s="998" t="s">
        <v>734</v>
      </c>
      <c r="P81" s="998"/>
      <c r="Q81" s="998"/>
      <c r="R81" s="572" t="s">
        <v>170</v>
      </c>
      <c r="S81" s="572"/>
      <c r="T81" s="572"/>
    </row>
    <row r="82" spans="1:20" ht="14.25" customHeight="1" x14ac:dyDescent="0.3">
      <c r="A82" s="306" t="s">
        <v>181</v>
      </c>
      <c r="B82" s="201"/>
      <c r="C82" s="514"/>
      <c r="D82" s="514"/>
      <c r="E82" s="514"/>
      <c r="F82" s="514"/>
      <c r="G82" s="345"/>
      <c r="L82" s="678" t="s">
        <v>171</v>
      </c>
      <c r="M82" s="678"/>
      <c r="N82" s="572"/>
      <c r="O82" s="572" t="s">
        <v>170</v>
      </c>
      <c r="P82" s="572"/>
      <c r="Q82" s="572"/>
      <c r="R82" s="572" t="s">
        <v>719</v>
      </c>
      <c r="S82" s="572"/>
      <c r="T82" s="572"/>
    </row>
    <row r="83" spans="1:20" ht="14.25" customHeight="1" x14ac:dyDescent="0.3">
      <c r="A83" s="306" t="s">
        <v>182</v>
      </c>
      <c r="B83" s="201"/>
      <c r="C83" s="514"/>
      <c r="D83" s="514"/>
      <c r="E83" s="514"/>
      <c r="F83" s="514"/>
      <c r="G83" s="345"/>
      <c r="L83" s="995" t="s">
        <v>728</v>
      </c>
      <c r="M83" s="996"/>
      <c r="N83" s="997"/>
      <c r="O83" s="572" t="s">
        <v>719</v>
      </c>
      <c r="P83" s="572"/>
      <c r="Q83" s="572"/>
      <c r="R83" s="572" t="s">
        <v>714</v>
      </c>
      <c r="S83" s="572"/>
      <c r="T83" s="572"/>
    </row>
    <row r="84" spans="1:20" ht="14.25" customHeight="1" x14ac:dyDescent="0.3">
      <c r="A84" s="179"/>
      <c r="B84" s="179"/>
      <c r="C84" s="179"/>
      <c r="D84" s="179"/>
      <c r="E84" s="179"/>
      <c r="F84" s="179"/>
      <c r="L84" s="572" t="s">
        <v>170</v>
      </c>
      <c r="M84" s="572"/>
      <c r="N84" s="572"/>
      <c r="O84" s="572" t="s">
        <v>714</v>
      </c>
      <c r="P84" s="999"/>
      <c r="Q84" s="1000"/>
      <c r="R84" s="572"/>
      <c r="S84" s="676" t="s">
        <v>188</v>
      </c>
      <c r="T84" s="677" t="s">
        <v>715</v>
      </c>
    </row>
    <row r="85" spans="1:20" ht="14.25" customHeight="1" x14ac:dyDescent="0.3">
      <c r="A85" s="189" t="s">
        <v>220</v>
      </c>
      <c r="B85" s="671" t="s">
        <v>170</v>
      </c>
      <c r="C85" s="671" t="s">
        <v>171</v>
      </c>
      <c r="D85" s="671" t="s">
        <v>172</v>
      </c>
      <c r="E85" s="671" t="s">
        <v>173</v>
      </c>
      <c r="F85" s="671" t="s">
        <v>174</v>
      </c>
      <c r="G85" s="189" t="s">
        <v>184</v>
      </c>
      <c r="H85" s="189" t="s">
        <v>195</v>
      </c>
      <c r="L85" s="572" t="s">
        <v>719</v>
      </c>
      <c r="M85" s="572"/>
      <c r="N85" s="572"/>
      <c r="O85" s="572"/>
      <c r="P85" s="676" t="s">
        <v>188</v>
      </c>
      <c r="Q85" s="677" t="s">
        <v>715</v>
      </c>
      <c r="R85" s="572">
        <v>2</v>
      </c>
      <c r="S85" s="572"/>
      <c r="T85" s="572"/>
    </row>
    <row r="86" spans="1:20" ht="14.25" customHeight="1" x14ac:dyDescent="0.3">
      <c r="A86" s="670" t="s">
        <v>506</v>
      </c>
      <c r="B86" s="179"/>
      <c r="C86" s="514"/>
      <c r="D86" s="514"/>
      <c r="E86" s="514"/>
      <c r="F86" s="514"/>
      <c r="G86" s="675"/>
      <c r="H86" s="179"/>
      <c r="L86" s="572" t="s">
        <v>714</v>
      </c>
      <c r="M86" s="999"/>
      <c r="N86" s="1000"/>
      <c r="O86" s="572">
        <v>2</v>
      </c>
      <c r="P86" s="572"/>
      <c r="Q86" s="572"/>
      <c r="R86" s="572">
        <v>4</v>
      </c>
      <c r="S86" s="572"/>
      <c r="T86" s="572"/>
    </row>
    <row r="87" spans="1:20" ht="14.25" customHeight="1" x14ac:dyDescent="0.3">
      <c r="A87" s="670" t="s">
        <v>175</v>
      </c>
      <c r="B87" s="179"/>
      <c r="C87" s="514"/>
      <c r="D87" s="514"/>
      <c r="E87" s="514"/>
      <c r="F87" s="514"/>
      <c r="G87" s="345"/>
      <c r="L87" s="572"/>
      <c r="M87" s="676" t="s">
        <v>188</v>
      </c>
      <c r="N87" s="677" t="s">
        <v>715</v>
      </c>
      <c r="O87" s="572">
        <v>4</v>
      </c>
      <c r="P87" s="572"/>
      <c r="Q87" s="572"/>
      <c r="R87" s="572">
        <v>6</v>
      </c>
      <c r="S87" s="572"/>
      <c r="T87" s="572"/>
    </row>
    <row r="88" spans="1:20" ht="14.25" customHeight="1" x14ac:dyDescent="0.3">
      <c r="A88" s="670" t="s">
        <v>507</v>
      </c>
      <c r="B88" s="179"/>
      <c r="C88" s="514"/>
      <c r="D88" s="514"/>
      <c r="E88" s="514"/>
      <c r="F88" s="514"/>
      <c r="G88" s="345"/>
      <c r="L88" s="572" t="s">
        <v>729</v>
      </c>
      <c r="M88" s="572"/>
      <c r="N88" s="572"/>
      <c r="O88" s="572">
        <v>6</v>
      </c>
      <c r="P88" s="572"/>
      <c r="Q88" s="572"/>
      <c r="R88" s="678" t="s">
        <v>174</v>
      </c>
      <c r="S88" s="678"/>
      <c r="T88" s="572"/>
    </row>
    <row r="89" spans="1:20" ht="14.25" customHeight="1" x14ac:dyDescent="0.3">
      <c r="A89" s="670" t="s">
        <v>176</v>
      </c>
      <c r="B89" s="179"/>
      <c r="C89" s="514"/>
      <c r="D89" s="514"/>
      <c r="E89" s="514"/>
      <c r="F89" s="514"/>
      <c r="G89" s="345"/>
      <c r="L89" s="572">
        <v>2</v>
      </c>
      <c r="M89" s="572"/>
      <c r="N89" s="572"/>
      <c r="O89" s="572">
        <v>8</v>
      </c>
      <c r="P89" s="572"/>
      <c r="Q89" s="572"/>
      <c r="R89" s="678" t="s">
        <v>173</v>
      </c>
      <c r="S89" s="678"/>
      <c r="T89" s="572"/>
    </row>
    <row r="90" spans="1:20" ht="14.25" customHeight="1" x14ac:dyDescent="0.3">
      <c r="A90" s="670" t="s">
        <v>508</v>
      </c>
      <c r="B90" s="179"/>
      <c r="C90" s="514"/>
      <c r="D90" s="514"/>
      <c r="E90" s="514"/>
      <c r="F90" s="514"/>
      <c r="G90" s="345"/>
      <c r="L90" s="572">
        <v>4</v>
      </c>
      <c r="M90" s="572"/>
      <c r="N90" s="572"/>
      <c r="O90" s="572">
        <v>10</v>
      </c>
      <c r="P90" s="572"/>
      <c r="Q90" s="572"/>
      <c r="R90" s="678" t="s">
        <v>172</v>
      </c>
      <c r="S90" s="678"/>
      <c r="T90" s="572"/>
    </row>
    <row r="91" spans="1:20" ht="14.25" customHeight="1" x14ac:dyDescent="0.3">
      <c r="A91" s="670" t="s">
        <v>177</v>
      </c>
      <c r="B91" s="179"/>
      <c r="C91" s="514"/>
      <c r="D91" s="514"/>
      <c r="E91" s="514"/>
      <c r="F91" s="514"/>
      <c r="G91" s="345"/>
      <c r="L91" s="572">
        <v>6</v>
      </c>
      <c r="M91" s="572"/>
      <c r="N91" s="572"/>
      <c r="O91" s="572">
        <v>12</v>
      </c>
      <c r="P91" s="572"/>
      <c r="Q91" s="572"/>
      <c r="R91" s="678" t="s">
        <v>171</v>
      </c>
      <c r="S91" s="678"/>
      <c r="T91" s="572"/>
    </row>
    <row r="92" spans="1:20" ht="14.25" customHeight="1" x14ac:dyDescent="0.3">
      <c r="A92" s="670" t="s">
        <v>509</v>
      </c>
      <c r="B92" s="179"/>
      <c r="C92" s="514"/>
      <c r="D92" s="514"/>
      <c r="E92" s="514"/>
      <c r="F92" s="514"/>
      <c r="G92" s="345"/>
      <c r="L92" s="572">
        <v>8</v>
      </c>
      <c r="M92" s="572"/>
      <c r="N92" s="572"/>
      <c r="O92" s="572">
        <v>14</v>
      </c>
      <c r="P92" s="572"/>
      <c r="Q92" s="572"/>
      <c r="R92" s="572"/>
      <c r="S92" s="572"/>
      <c r="T92" s="572"/>
    </row>
    <row r="93" spans="1:20" ht="14.25" customHeight="1" x14ac:dyDescent="0.3">
      <c r="A93" s="670" t="s">
        <v>178</v>
      </c>
      <c r="B93" s="179"/>
      <c r="C93" s="514"/>
      <c r="D93" s="514"/>
      <c r="E93" s="514"/>
      <c r="F93" s="514"/>
      <c r="G93" s="345"/>
      <c r="L93" s="572">
        <v>10</v>
      </c>
      <c r="M93" s="572"/>
      <c r="N93" s="572"/>
      <c r="O93" s="572">
        <v>16</v>
      </c>
      <c r="P93" s="572"/>
      <c r="Q93" s="572"/>
      <c r="R93" s="998" t="s">
        <v>739</v>
      </c>
      <c r="S93" s="998"/>
      <c r="T93" s="998"/>
    </row>
    <row r="94" spans="1:20" ht="14.25" customHeight="1" x14ac:dyDescent="0.3">
      <c r="A94" s="670" t="s">
        <v>179</v>
      </c>
      <c r="B94" s="179"/>
      <c r="C94" s="514"/>
      <c r="D94" s="514"/>
      <c r="E94" s="514"/>
      <c r="F94" s="514"/>
      <c r="G94" s="345"/>
      <c r="L94" s="572">
        <v>12</v>
      </c>
      <c r="M94" s="572"/>
      <c r="N94" s="572"/>
      <c r="O94" s="572">
        <v>18</v>
      </c>
      <c r="P94" s="572"/>
      <c r="Q94" s="572"/>
      <c r="R94" s="572" t="s">
        <v>170</v>
      </c>
      <c r="S94" s="572"/>
      <c r="T94" s="572"/>
    </row>
    <row r="95" spans="1:20" ht="14.25" customHeight="1" x14ac:dyDescent="0.3">
      <c r="A95" s="179"/>
      <c r="B95" s="179"/>
      <c r="C95" s="179"/>
      <c r="D95" s="179"/>
      <c r="E95" s="179"/>
      <c r="F95" s="179"/>
      <c r="L95" s="572">
        <v>14</v>
      </c>
      <c r="M95" s="572"/>
      <c r="N95" s="572"/>
      <c r="O95" s="572">
        <v>20</v>
      </c>
      <c r="P95" s="572"/>
      <c r="Q95" s="572"/>
      <c r="R95" s="572" t="s">
        <v>719</v>
      </c>
      <c r="S95" s="572"/>
      <c r="T95" s="572"/>
    </row>
    <row r="96" spans="1:20" ht="14.25" customHeight="1" x14ac:dyDescent="0.3">
      <c r="A96" s="189" t="s">
        <v>221</v>
      </c>
      <c r="B96" s="671" t="s">
        <v>170</v>
      </c>
      <c r="C96" s="671" t="s">
        <v>171</v>
      </c>
      <c r="D96" s="671" t="s">
        <v>172</v>
      </c>
      <c r="E96" s="671" t="s">
        <v>173</v>
      </c>
      <c r="F96" s="671" t="s">
        <v>174</v>
      </c>
      <c r="G96" s="189" t="s">
        <v>184</v>
      </c>
      <c r="H96" s="189" t="s">
        <v>195</v>
      </c>
      <c r="L96" s="572">
        <v>16</v>
      </c>
      <c r="M96" s="572"/>
      <c r="N96" s="572"/>
      <c r="O96" s="572">
        <v>22</v>
      </c>
      <c r="P96" s="572"/>
      <c r="Q96" s="572"/>
      <c r="R96" s="572" t="s">
        <v>714</v>
      </c>
      <c r="S96" s="572"/>
      <c r="T96" s="572"/>
    </row>
    <row r="97" spans="1:20" ht="14.25" customHeight="1" x14ac:dyDescent="0.3">
      <c r="A97" s="670" t="s">
        <v>506</v>
      </c>
      <c r="B97" s="179"/>
      <c r="C97" s="514"/>
      <c r="D97" s="514"/>
      <c r="E97" s="514"/>
      <c r="F97" s="514"/>
      <c r="G97" s="309"/>
      <c r="H97" s="179"/>
      <c r="L97" s="572">
        <v>18</v>
      </c>
      <c r="M97" s="572"/>
      <c r="N97" s="572"/>
      <c r="O97" s="572">
        <v>24</v>
      </c>
      <c r="P97" s="572"/>
      <c r="Q97" s="572"/>
      <c r="R97" s="572"/>
      <c r="S97" s="676" t="s">
        <v>188</v>
      </c>
      <c r="T97" s="677" t="s">
        <v>715</v>
      </c>
    </row>
    <row r="98" spans="1:20" ht="14.25" customHeight="1" x14ac:dyDescent="0.3">
      <c r="A98" s="670" t="s">
        <v>175</v>
      </c>
      <c r="B98" s="179"/>
      <c r="C98" s="514"/>
      <c r="D98" s="514"/>
      <c r="E98" s="514"/>
      <c r="F98" s="514"/>
      <c r="G98" s="345"/>
      <c r="L98" s="572">
        <v>20</v>
      </c>
      <c r="M98" s="572"/>
      <c r="N98" s="572"/>
      <c r="O98" s="572">
        <v>26</v>
      </c>
      <c r="P98" s="572"/>
      <c r="Q98" s="572"/>
      <c r="R98" s="572">
        <v>2</v>
      </c>
      <c r="S98" s="572"/>
      <c r="T98" s="572"/>
    </row>
    <row r="99" spans="1:20" ht="14.25" customHeight="1" x14ac:dyDescent="0.3">
      <c r="A99" s="670" t="s">
        <v>507</v>
      </c>
      <c r="B99" s="179"/>
      <c r="C99" s="514"/>
      <c r="D99" s="514"/>
      <c r="E99" s="514"/>
      <c r="F99" s="514"/>
      <c r="G99" s="345"/>
      <c r="L99" s="572">
        <v>22</v>
      </c>
      <c r="M99" s="572"/>
      <c r="N99" s="572"/>
      <c r="O99" s="572">
        <v>28</v>
      </c>
      <c r="P99" s="572"/>
      <c r="Q99" s="572"/>
      <c r="R99" s="572">
        <v>4</v>
      </c>
      <c r="S99" s="572"/>
      <c r="T99" s="572"/>
    </row>
    <row r="100" spans="1:20" ht="14.25" customHeight="1" x14ac:dyDescent="0.3">
      <c r="A100" s="670" t="s">
        <v>176</v>
      </c>
      <c r="B100" s="179"/>
      <c r="C100" s="514"/>
      <c r="D100" s="514"/>
      <c r="E100" s="514"/>
      <c r="F100" s="514"/>
      <c r="G100" s="345"/>
      <c r="L100" s="572"/>
      <c r="M100" s="572"/>
      <c r="N100" s="572"/>
      <c r="O100" s="572">
        <v>30</v>
      </c>
      <c r="P100" s="572"/>
      <c r="Q100" s="572"/>
      <c r="R100" s="572">
        <v>6</v>
      </c>
      <c r="S100" s="572"/>
      <c r="T100" s="572"/>
    </row>
    <row r="101" spans="1:20" ht="14.25" customHeight="1" x14ac:dyDescent="0.3">
      <c r="A101" s="670" t="s">
        <v>508</v>
      </c>
      <c r="B101" s="179"/>
      <c r="C101" s="514"/>
      <c r="D101" s="514"/>
      <c r="E101" s="514"/>
      <c r="F101" s="514"/>
      <c r="G101" s="345"/>
      <c r="L101" s="678" t="s">
        <v>174</v>
      </c>
      <c r="M101" s="678"/>
      <c r="N101" s="572"/>
      <c r="O101" s="678" t="s">
        <v>174</v>
      </c>
      <c r="P101" s="678"/>
      <c r="Q101" s="572"/>
      <c r="R101" s="678" t="s">
        <v>174</v>
      </c>
      <c r="S101" s="678"/>
      <c r="T101" s="572"/>
    </row>
    <row r="102" spans="1:20" ht="14.25" customHeight="1" x14ac:dyDescent="0.3">
      <c r="A102" s="670" t="s">
        <v>177</v>
      </c>
      <c r="B102" s="179"/>
      <c r="C102" s="514"/>
      <c r="D102" s="514"/>
      <c r="E102" s="514"/>
      <c r="F102" s="514"/>
      <c r="G102" s="345"/>
      <c r="L102" s="678" t="s">
        <v>173</v>
      </c>
      <c r="M102" s="678"/>
      <c r="N102" s="572"/>
      <c r="O102" s="678" t="s">
        <v>173</v>
      </c>
      <c r="P102" s="678"/>
      <c r="Q102" s="572"/>
      <c r="R102" s="678" t="s">
        <v>173</v>
      </c>
      <c r="S102" s="678"/>
      <c r="T102" s="572"/>
    </row>
    <row r="103" spans="1:20" ht="14.25" customHeight="1" x14ac:dyDescent="0.3">
      <c r="A103" s="670" t="s">
        <v>509</v>
      </c>
      <c r="B103" s="179"/>
      <c r="C103" s="514"/>
      <c r="D103" s="514"/>
      <c r="E103" s="514"/>
      <c r="F103" s="514"/>
      <c r="G103" s="345"/>
      <c r="L103" s="678" t="s">
        <v>172</v>
      </c>
      <c r="M103" s="678"/>
      <c r="N103" s="572"/>
      <c r="O103" s="678" t="s">
        <v>172</v>
      </c>
      <c r="P103" s="678"/>
      <c r="Q103" s="572"/>
      <c r="R103" s="678" t="s">
        <v>172</v>
      </c>
      <c r="S103" s="678"/>
      <c r="T103" s="572"/>
    </row>
    <row r="104" spans="1:20" ht="14.25" customHeight="1" x14ac:dyDescent="0.3">
      <c r="A104" s="670" t="s">
        <v>178</v>
      </c>
      <c r="B104" s="179"/>
      <c r="C104" s="514"/>
      <c r="D104" s="514"/>
      <c r="E104" s="514"/>
      <c r="F104" s="514"/>
      <c r="G104" s="345"/>
      <c r="L104" s="678" t="s">
        <v>171</v>
      </c>
      <c r="M104" s="678"/>
      <c r="N104" s="572"/>
      <c r="O104" s="678" t="s">
        <v>171</v>
      </c>
      <c r="P104" s="678"/>
      <c r="Q104" s="572"/>
      <c r="R104" s="678" t="s">
        <v>171</v>
      </c>
      <c r="S104" s="678"/>
      <c r="T104" s="572"/>
    </row>
    <row r="105" spans="1:20" ht="14.25" customHeight="1" x14ac:dyDescent="0.3">
      <c r="A105" s="670" t="s">
        <v>179</v>
      </c>
      <c r="B105" s="179"/>
      <c r="C105" s="514"/>
      <c r="D105" s="514"/>
      <c r="E105" s="514"/>
      <c r="F105" s="514"/>
      <c r="G105" s="345"/>
    </row>
    <row r="106" spans="1:20" ht="14.25" customHeight="1" x14ac:dyDescent="0.3">
      <c r="A106" s="670" t="s">
        <v>180</v>
      </c>
      <c r="B106" s="179"/>
      <c r="C106" s="179"/>
      <c r="D106" s="179"/>
      <c r="E106" s="179"/>
      <c r="F106" s="179"/>
    </row>
    <row r="107" spans="1:20" ht="14.25" customHeight="1" x14ac:dyDescent="0.3">
      <c r="A107" s="670" t="s">
        <v>181</v>
      </c>
      <c r="B107" s="654"/>
      <c r="C107" s="654"/>
      <c r="D107" s="654"/>
      <c r="E107" s="654"/>
      <c r="F107" s="654"/>
      <c r="G107" s="124"/>
      <c r="H107" s="124"/>
    </row>
    <row r="108" spans="1:20" ht="14.25" customHeight="1" x14ac:dyDescent="0.3">
      <c r="A108" s="670" t="s">
        <v>182</v>
      </c>
      <c r="B108" s="309"/>
      <c r="C108" s="309"/>
      <c r="D108" s="309"/>
      <c r="E108" s="309"/>
      <c r="F108" s="309"/>
      <c r="G108" s="433"/>
      <c r="H108" s="433"/>
    </row>
    <row r="110" spans="1:20" ht="14.25" customHeight="1" x14ac:dyDescent="0.3">
      <c r="A110" s="189" t="s">
        <v>636</v>
      </c>
      <c r="B110" s="671" t="s">
        <v>170</v>
      </c>
      <c r="C110" s="671" t="s">
        <v>171</v>
      </c>
      <c r="D110" s="671" t="s">
        <v>172</v>
      </c>
      <c r="E110" s="671" t="s">
        <v>173</v>
      </c>
      <c r="F110" s="671" t="s">
        <v>174</v>
      </c>
      <c r="G110" s="189" t="s">
        <v>184</v>
      </c>
      <c r="H110" s="189" t="s">
        <v>195</v>
      </c>
    </row>
    <row r="111" spans="1:20" ht="14.25" customHeight="1" x14ac:dyDescent="0.3">
      <c r="A111" s="670" t="s">
        <v>506</v>
      </c>
      <c r="B111" s="179"/>
      <c r="C111" s="514"/>
      <c r="D111" s="514"/>
      <c r="E111" s="514"/>
      <c r="F111" s="514"/>
      <c r="G111" s="309"/>
      <c r="H111" s="179"/>
    </row>
    <row r="112" spans="1:20" ht="14.25" customHeight="1" x14ac:dyDescent="0.3">
      <c r="A112" s="670" t="s">
        <v>175</v>
      </c>
      <c r="B112" s="179"/>
      <c r="C112" s="514"/>
      <c r="D112" s="514"/>
      <c r="E112" s="514"/>
      <c r="F112" s="514"/>
      <c r="G112" s="345"/>
    </row>
    <row r="113" spans="1:7" ht="14.25" customHeight="1" x14ac:dyDescent="0.3">
      <c r="A113" s="670" t="s">
        <v>507</v>
      </c>
      <c r="B113" s="179"/>
      <c r="C113" s="514"/>
      <c r="D113" s="514"/>
      <c r="E113" s="514"/>
      <c r="F113" s="514"/>
      <c r="G113" s="345"/>
    </row>
    <row r="114" spans="1:7" ht="14.25" customHeight="1" x14ac:dyDescent="0.3">
      <c r="A114" s="670" t="s">
        <v>176</v>
      </c>
      <c r="B114" s="179"/>
      <c r="C114" s="514"/>
      <c r="D114" s="514"/>
      <c r="E114" s="514"/>
      <c r="F114" s="514"/>
      <c r="G114" s="345"/>
    </row>
    <row r="115" spans="1:7" ht="14.25" customHeight="1" x14ac:dyDescent="0.3">
      <c r="A115" s="670" t="s">
        <v>508</v>
      </c>
      <c r="B115" s="179"/>
      <c r="C115" s="514"/>
      <c r="D115" s="514"/>
      <c r="E115" s="514"/>
      <c r="F115" s="514"/>
      <c r="G115" s="345"/>
    </row>
    <row r="116" spans="1:7" ht="14.25" customHeight="1" x14ac:dyDescent="0.3">
      <c r="A116" s="670" t="s">
        <v>177</v>
      </c>
      <c r="B116" s="179"/>
      <c r="C116" s="514"/>
      <c r="D116" s="514"/>
      <c r="E116" s="514"/>
      <c r="F116" s="514"/>
      <c r="G116" s="345"/>
    </row>
    <row r="117" spans="1:7" ht="14.25" customHeight="1" x14ac:dyDescent="0.3">
      <c r="A117" s="670" t="s">
        <v>509</v>
      </c>
      <c r="B117" s="179"/>
      <c r="C117" s="514"/>
      <c r="D117" s="514"/>
      <c r="E117" s="514"/>
      <c r="F117" s="514"/>
      <c r="G117" s="345"/>
    </row>
    <row r="118" spans="1:7" ht="14.25" customHeight="1" x14ac:dyDescent="0.3">
      <c r="A118" s="670" t="s">
        <v>178</v>
      </c>
      <c r="B118" s="179"/>
      <c r="C118" s="514"/>
      <c r="D118" s="514"/>
      <c r="E118" s="514"/>
      <c r="F118" s="514"/>
      <c r="G118" s="345"/>
    </row>
    <row r="119" spans="1:7" ht="14.25" customHeight="1" x14ac:dyDescent="0.3">
      <c r="A119" s="670" t="s">
        <v>179</v>
      </c>
      <c r="B119" s="179"/>
      <c r="C119" s="514"/>
      <c r="D119" s="514"/>
      <c r="E119" s="514"/>
      <c r="F119" s="514"/>
      <c r="G119" s="345"/>
    </row>
    <row r="120" spans="1:7" ht="14.25" customHeight="1" x14ac:dyDescent="0.3">
      <c r="A120" s="670" t="s">
        <v>180</v>
      </c>
      <c r="B120" s="179"/>
      <c r="C120" s="179"/>
      <c r="D120" s="179"/>
      <c r="E120" s="179"/>
      <c r="F120" s="179"/>
    </row>
    <row r="122" spans="1:7" ht="14.25" customHeight="1" x14ac:dyDescent="0.3">
      <c r="A122" s="185" t="s">
        <v>637</v>
      </c>
    </row>
    <row r="123" spans="1:7" ht="14.25" customHeight="1" x14ac:dyDescent="0.3">
      <c r="A123" s="185" t="s">
        <v>638</v>
      </c>
    </row>
  </sheetData>
  <mergeCells count="29">
    <mergeCell ref="P84:Q84"/>
    <mergeCell ref="M86:N86"/>
    <mergeCell ref="R93:T93"/>
    <mergeCell ref="O56:Q56"/>
    <mergeCell ref="L64:N64"/>
    <mergeCell ref="R80:T80"/>
    <mergeCell ref="O81:Q81"/>
    <mergeCell ref="L83:N83"/>
    <mergeCell ref="R30:T30"/>
    <mergeCell ref="O31:Q31"/>
    <mergeCell ref="M32:N32"/>
    <mergeCell ref="L52:N52"/>
    <mergeCell ref="R55:T55"/>
    <mergeCell ref="L15:N15"/>
    <mergeCell ref="M18:N18"/>
    <mergeCell ref="O18:Q18"/>
    <mergeCell ref="P21:Q21"/>
    <mergeCell ref="L29:N29"/>
    <mergeCell ref="O5:Q5"/>
    <mergeCell ref="R5:T5"/>
    <mergeCell ref="M7:N7"/>
    <mergeCell ref="P8:Q8"/>
    <mergeCell ref="S8:T8"/>
    <mergeCell ref="B44:F44"/>
    <mergeCell ref="E32:F32"/>
    <mergeCell ref="A29:B29"/>
    <mergeCell ref="D29:E29"/>
    <mergeCell ref="A1:F1"/>
    <mergeCell ref="B32:C32"/>
  </mergeCells>
  <pageMargins left="0.66" right="0.27" top="0.24" bottom="0.48" header="0.15" footer="0.47"/>
  <pageSetup scale="9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Q172"/>
  <sheetViews>
    <sheetView workbookViewId="0">
      <selection activeCell="L16" sqref="L16:O21"/>
    </sheetView>
  </sheetViews>
  <sheetFormatPr defaultRowHeight="12.5" x14ac:dyDescent="0.25"/>
  <cols>
    <col min="2" max="2" width="11.36328125" bestFit="1" customWidth="1"/>
    <col min="3" max="3" width="12.6328125" bestFit="1" customWidth="1"/>
    <col min="5" max="5" width="12.90625" bestFit="1" customWidth="1"/>
    <col min="8" max="8" width="9.6328125" bestFit="1" customWidth="1"/>
    <col min="9" max="10" width="14.54296875" bestFit="1" customWidth="1"/>
    <col min="11" max="11" width="21.90625" bestFit="1" customWidth="1"/>
    <col min="12" max="13" width="10.6328125" bestFit="1" customWidth="1"/>
    <col min="18" max="18" width="11.54296875" bestFit="1" customWidth="1"/>
  </cols>
  <sheetData>
    <row r="1" spans="1:43" ht="13.25" customHeight="1" x14ac:dyDescent="0.3">
      <c r="A1" s="923" t="s">
        <v>776</v>
      </c>
      <c r="B1" s="923"/>
      <c r="C1" s="923"/>
      <c r="D1" s="972" t="s">
        <v>775</v>
      </c>
      <c r="E1" s="972"/>
      <c r="H1" s="1005" t="s">
        <v>834</v>
      </c>
      <c r="I1" s="1006"/>
      <c r="J1" s="1006"/>
      <c r="K1" s="1007"/>
      <c r="Q1" s="638" t="s">
        <v>781</v>
      </c>
      <c r="R1" s="1004" t="s">
        <v>782</v>
      </c>
      <c r="S1" s="1004"/>
      <c r="T1" s="1004" t="s">
        <v>783</v>
      </c>
      <c r="U1" s="1004"/>
      <c r="V1" s="1004" t="s">
        <v>784</v>
      </c>
      <c r="W1" s="1004"/>
      <c r="X1" s="1004" t="s">
        <v>785</v>
      </c>
      <c r="Y1" s="1004"/>
      <c r="Z1" s="1004" t="s">
        <v>786</v>
      </c>
      <c r="AA1" s="1004"/>
      <c r="AB1" s="1004" t="s">
        <v>787</v>
      </c>
      <c r="AC1" s="1004"/>
      <c r="AD1" s="1004" t="s">
        <v>788</v>
      </c>
      <c r="AE1" s="1004"/>
      <c r="AF1" s="1004" t="s">
        <v>789</v>
      </c>
      <c r="AG1" s="1004"/>
      <c r="AH1" s="1004" t="s">
        <v>790</v>
      </c>
      <c r="AI1" s="1004"/>
      <c r="AJ1" s="1004" t="s">
        <v>791</v>
      </c>
      <c r="AK1" s="1004"/>
      <c r="AL1" s="1004" t="s">
        <v>792</v>
      </c>
      <c r="AM1" s="1004"/>
      <c r="AN1" s="1004" t="s">
        <v>793</v>
      </c>
      <c r="AO1" s="1004"/>
      <c r="AP1" s="1004" t="s">
        <v>794</v>
      </c>
      <c r="AQ1" s="1004"/>
    </row>
    <row r="2" spans="1:43" ht="13" x14ac:dyDescent="0.3">
      <c r="A2" s="189" t="s">
        <v>20</v>
      </c>
      <c r="B2" s="189" t="s">
        <v>769</v>
      </c>
      <c r="C2" s="189" t="s">
        <v>775</v>
      </c>
      <c r="D2" s="654" t="s">
        <v>20</v>
      </c>
      <c r="E2" s="654" t="s">
        <v>817</v>
      </c>
      <c r="H2" s="267" t="s">
        <v>474</v>
      </c>
      <c r="I2" s="267" t="s">
        <v>777</v>
      </c>
      <c r="J2" s="267" t="s">
        <v>778</v>
      </c>
      <c r="K2" s="274" t="s">
        <v>810</v>
      </c>
      <c r="M2" s="649">
        <v>86</v>
      </c>
      <c r="N2" s="649">
        <v>81</v>
      </c>
      <c r="O2" s="650">
        <v>81</v>
      </c>
      <c r="Q2" s="640">
        <v>1961</v>
      </c>
      <c r="R2" s="642" t="s">
        <v>795</v>
      </c>
      <c r="S2" s="644" t="s">
        <v>796</v>
      </c>
      <c r="T2" s="642" t="s">
        <v>795</v>
      </c>
      <c r="U2" s="644" t="s">
        <v>796</v>
      </c>
      <c r="V2" s="642" t="s">
        <v>795</v>
      </c>
      <c r="W2" s="644" t="s">
        <v>796</v>
      </c>
      <c r="X2" s="642" t="s">
        <v>795</v>
      </c>
      <c r="Y2" s="644" t="s">
        <v>796</v>
      </c>
      <c r="Z2" s="642">
        <v>57.64</v>
      </c>
      <c r="AA2" s="644" t="s">
        <v>797</v>
      </c>
      <c r="AB2" s="642">
        <v>58.42</v>
      </c>
      <c r="AC2" s="643"/>
      <c r="AD2" s="642">
        <v>62.74</v>
      </c>
      <c r="AE2" s="643"/>
      <c r="AF2" s="642">
        <v>61.61</v>
      </c>
      <c r="AG2" s="643"/>
      <c r="AH2" s="642">
        <v>49.27</v>
      </c>
      <c r="AI2" s="643"/>
      <c r="AJ2" s="642">
        <v>43.68</v>
      </c>
      <c r="AK2" s="643"/>
      <c r="AL2" s="642">
        <v>31.48</v>
      </c>
      <c r="AM2" s="643"/>
      <c r="AN2" s="642">
        <v>23.71</v>
      </c>
      <c r="AO2" s="643"/>
      <c r="AP2" s="642">
        <v>47.27</v>
      </c>
    </row>
    <row r="3" spans="1:43" ht="13" x14ac:dyDescent="0.3">
      <c r="A3" s="636">
        <v>5</v>
      </c>
      <c r="B3" s="91" t="s">
        <v>771</v>
      </c>
      <c r="C3" s="73">
        <v>19.3</v>
      </c>
      <c r="D3" s="526">
        <v>5</v>
      </c>
      <c r="E3" s="635">
        <v>19.7</v>
      </c>
      <c r="H3" s="82" t="s">
        <v>779</v>
      </c>
      <c r="I3" s="82">
        <v>80.5</v>
      </c>
      <c r="J3" s="82">
        <v>64.599999999999994</v>
      </c>
      <c r="K3" s="526">
        <v>85.5</v>
      </c>
      <c r="M3" s="649">
        <v>91</v>
      </c>
      <c r="N3" s="649">
        <v>85</v>
      </c>
      <c r="O3" s="651">
        <v>80</v>
      </c>
      <c r="Q3" s="640">
        <v>1962</v>
      </c>
      <c r="R3" s="642">
        <v>20.68</v>
      </c>
      <c r="S3" s="643"/>
      <c r="T3" s="642">
        <v>29.48</v>
      </c>
      <c r="U3" s="643"/>
      <c r="V3" s="642">
        <v>31.42</v>
      </c>
      <c r="W3" s="643"/>
      <c r="X3" s="642">
        <v>45.28</v>
      </c>
      <c r="Y3" s="643"/>
      <c r="Z3" s="642">
        <v>52.32</v>
      </c>
      <c r="AA3" s="643"/>
      <c r="AB3" s="642">
        <v>58.05</v>
      </c>
      <c r="AC3" s="643"/>
      <c r="AD3" s="642">
        <v>64.98</v>
      </c>
      <c r="AE3" s="643"/>
      <c r="AF3" s="642" t="s">
        <v>795</v>
      </c>
      <c r="AG3" s="644" t="s">
        <v>796</v>
      </c>
      <c r="AH3" s="642" t="s">
        <v>795</v>
      </c>
      <c r="AI3" s="644" t="s">
        <v>796</v>
      </c>
      <c r="AJ3" s="642">
        <v>48.13</v>
      </c>
      <c r="AK3" s="643"/>
      <c r="AL3" s="642">
        <v>38.130000000000003</v>
      </c>
      <c r="AM3" s="643"/>
      <c r="AN3" s="642">
        <v>31.77</v>
      </c>
      <c r="AO3" s="643"/>
      <c r="AP3" s="642">
        <v>42.03</v>
      </c>
    </row>
    <row r="4" spans="1:43" ht="13" x14ac:dyDescent="0.3">
      <c r="A4" s="636"/>
      <c r="B4" s="91" t="s">
        <v>770</v>
      </c>
      <c r="C4" s="637">
        <v>19.7</v>
      </c>
      <c r="D4" s="633" t="s">
        <v>773</v>
      </c>
      <c r="E4" s="635">
        <v>19.3</v>
      </c>
      <c r="H4" s="82" t="s">
        <v>780</v>
      </c>
      <c r="I4" s="82">
        <v>78.400000000000006</v>
      </c>
      <c r="J4" s="82">
        <v>63.1</v>
      </c>
      <c r="K4" s="526">
        <v>82.7</v>
      </c>
      <c r="M4" s="649">
        <v>92</v>
      </c>
      <c r="N4" s="649">
        <v>74</v>
      </c>
      <c r="O4" s="651">
        <v>84</v>
      </c>
      <c r="Q4" s="640">
        <v>1963</v>
      </c>
      <c r="R4" s="642">
        <v>21.06</v>
      </c>
      <c r="S4" s="643"/>
      <c r="T4" s="642">
        <v>33.840000000000003</v>
      </c>
      <c r="U4" s="643"/>
      <c r="V4" s="642">
        <v>32.770000000000003</v>
      </c>
      <c r="W4" s="643"/>
      <c r="X4" s="642">
        <v>42.75</v>
      </c>
      <c r="Y4" s="643"/>
      <c r="Z4" s="642">
        <v>53.26</v>
      </c>
      <c r="AA4" s="643"/>
      <c r="AB4" s="642">
        <v>59.4</v>
      </c>
      <c r="AC4" s="643"/>
      <c r="AD4" s="642">
        <v>65.739999999999995</v>
      </c>
      <c r="AE4" s="643"/>
      <c r="AF4" s="642">
        <v>62.73</v>
      </c>
      <c r="AG4" s="643"/>
      <c r="AH4" s="642">
        <v>59.78</v>
      </c>
      <c r="AI4" s="643"/>
      <c r="AJ4" s="642">
        <v>50.5</v>
      </c>
      <c r="AK4" s="643"/>
      <c r="AL4" s="642">
        <v>38.42</v>
      </c>
      <c r="AM4" s="643"/>
      <c r="AN4" s="642">
        <v>28.37</v>
      </c>
      <c r="AO4" s="643"/>
      <c r="AP4" s="642">
        <v>45.72</v>
      </c>
    </row>
    <row r="5" spans="1:43" ht="13" x14ac:dyDescent="0.3">
      <c r="A5" s="636"/>
      <c r="B5" s="91" t="s">
        <v>772</v>
      </c>
      <c r="C5" s="73">
        <v>18</v>
      </c>
      <c r="D5" s="526">
        <v>9</v>
      </c>
      <c r="E5" s="635">
        <v>19.399999999999999</v>
      </c>
      <c r="H5" s="1008" t="s">
        <v>813</v>
      </c>
      <c r="I5" s="1008"/>
      <c r="J5" s="1008"/>
      <c r="K5" s="1008"/>
      <c r="M5" s="649">
        <v>83</v>
      </c>
      <c r="N5" s="649">
        <v>79</v>
      </c>
      <c r="O5" s="651">
        <v>80</v>
      </c>
      <c r="Q5" s="640">
        <v>1964</v>
      </c>
      <c r="R5" s="642">
        <v>26.06</v>
      </c>
      <c r="S5" s="643"/>
      <c r="T5" s="642">
        <v>23.38</v>
      </c>
      <c r="U5" s="643"/>
      <c r="V5" s="642">
        <v>28.18</v>
      </c>
      <c r="W5" s="643"/>
      <c r="X5" s="642">
        <v>40.229999999999997</v>
      </c>
      <c r="Y5" s="643"/>
      <c r="Z5" s="642">
        <v>50.15</v>
      </c>
      <c r="AA5" s="643"/>
      <c r="AB5" s="642">
        <v>56.3</v>
      </c>
      <c r="AC5" s="643"/>
      <c r="AD5" s="642">
        <v>65.84</v>
      </c>
      <c r="AE5" s="643"/>
      <c r="AF5" s="642">
        <v>60.68</v>
      </c>
      <c r="AG5" s="643"/>
      <c r="AH5" s="642">
        <v>54.67</v>
      </c>
      <c r="AI5" s="643"/>
      <c r="AJ5" s="642">
        <v>46.21</v>
      </c>
      <c r="AK5" s="643"/>
      <c r="AL5" s="642">
        <v>35.200000000000003</v>
      </c>
      <c r="AM5" s="643"/>
      <c r="AN5" s="642">
        <v>30.11</v>
      </c>
      <c r="AO5" s="643"/>
      <c r="AP5" s="642">
        <v>43.08</v>
      </c>
    </row>
    <row r="6" spans="1:43" ht="13" x14ac:dyDescent="0.3">
      <c r="A6" s="636" t="s">
        <v>773</v>
      </c>
      <c r="B6" s="91" t="s">
        <v>771</v>
      </c>
      <c r="C6" s="73">
        <v>19.2</v>
      </c>
      <c r="D6" s="526">
        <v>12</v>
      </c>
      <c r="E6" s="635">
        <v>19.100000000000001</v>
      </c>
      <c r="H6" s="82" t="s">
        <v>779</v>
      </c>
      <c r="I6" s="526">
        <v>87.7</v>
      </c>
      <c r="J6" s="526">
        <v>74.3</v>
      </c>
      <c r="K6" s="526">
        <v>91</v>
      </c>
      <c r="M6" s="649">
        <v>88</v>
      </c>
      <c r="N6" s="649">
        <v>87</v>
      </c>
      <c r="O6" s="651">
        <v>78</v>
      </c>
      <c r="Q6" s="640">
        <v>1965</v>
      </c>
      <c r="R6" s="642">
        <v>32.15</v>
      </c>
      <c r="S6" s="643"/>
      <c r="T6" s="642">
        <v>28.84</v>
      </c>
      <c r="U6" s="643"/>
      <c r="V6" s="642">
        <v>23.79</v>
      </c>
      <c r="W6" s="643"/>
      <c r="X6" s="642">
        <v>43.13</v>
      </c>
      <c r="Y6" s="643"/>
      <c r="Z6" s="642">
        <v>49.1</v>
      </c>
      <c r="AA6" s="643"/>
      <c r="AB6" s="642">
        <v>56.37</v>
      </c>
      <c r="AC6" s="643"/>
      <c r="AD6" s="642">
        <v>63.18</v>
      </c>
      <c r="AE6" s="643"/>
      <c r="AF6" s="642">
        <v>60.27</v>
      </c>
      <c r="AG6" s="643"/>
      <c r="AH6" s="642">
        <v>49.25</v>
      </c>
      <c r="AI6" s="643"/>
      <c r="AJ6" s="642">
        <v>48.21</v>
      </c>
      <c r="AK6" s="643"/>
      <c r="AL6" s="642">
        <v>39.82</v>
      </c>
      <c r="AM6" s="643"/>
      <c r="AN6" s="642">
        <v>33.06</v>
      </c>
      <c r="AO6" s="643"/>
      <c r="AP6" s="642">
        <v>43.93</v>
      </c>
    </row>
    <row r="7" spans="1:43" ht="13" x14ac:dyDescent="0.3">
      <c r="A7" s="636"/>
      <c r="B7" s="91" t="s">
        <v>770</v>
      </c>
      <c r="C7" s="73">
        <v>19.3</v>
      </c>
      <c r="D7" s="633" t="s">
        <v>774</v>
      </c>
      <c r="E7" s="635">
        <v>19.2</v>
      </c>
      <c r="H7" s="82" t="s">
        <v>780</v>
      </c>
      <c r="I7" s="526">
        <v>84</v>
      </c>
      <c r="J7" s="526">
        <v>71.3</v>
      </c>
      <c r="K7" s="526">
        <v>87.4</v>
      </c>
      <c r="M7" s="649">
        <v>71</v>
      </c>
      <c r="N7" s="649">
        <v>86</v>
      </c>
      <c r="O7" s="651">
        <v>78</v>
      </c>
      <c r="Q7" s="640">
        <v>1966</v>
      </c>
      <c r="R7" s="642">
        <v>27.1</v>
      </c>
      <c r="S7" s="643"/>
      <c r="T7" s="642">
        <v>23.54</v>
      </c>
      <c r="U7" s="643"/>
      <c r="V7" s="642">
        <v>37.270000000000003</v>
      </c>
      <c r="W7" s="643"/>
      <c r="X7" s="642">
        <v>41.25</v>
      </c>
      <c r="Y7" s="643"/>
      <c r="Z7" s="642">
        <v>51.9</v>
      </c>
      <c r="AA7" s="643"/>
      <c r="AB7" s="642">
        <v>58.15</v>
      </c>
      <c r="AC7" s="643"/>
      <c r="AD7" s="642">
        <v>67.45</v>
      </c>
      <c r="AE7" s="643"/>
      <c r="AF7" s="642">
        <v>61.77</v>
      </c>
      <c r="AG7" s="643"/>
      <c r="AH7" s="642">
        <v>56.58</v>
      </c>
      <c r="AI7" s="643"/>
      <c r="AJ7" s="642">
        <v>45.74</v>
      </c>
      <c r="AK7" s="643"/>
      <c r="AL7" s="642">
        <v>38.200000000000003</v>
      </c>
      <c r="AM7" s="643"/>
      <c r="AN7" s="642">
        <v>28.44</v>
      </c>
      <c r="AO7" s="643"/>
      <c r="AP7" s="642">
        <v>44.78</v>
      </c>
    </row>
    <row r="8" spans="1:43" ht="13" x14ac:dyDescent="0.3">
      <c r="A8" s="636"/>
      <c r="B8" s="91" t="s">
        <v>772</v>
      </c>
      <c r="C8" s="73">
        <v>18.899999999999999</v>
      </c>
      <c r="D8" s="633">
        <v>14</v>
      </c>
      <c r="E8" s="635">
        <v>19.2</v>
      </c>
      <c r="M8" s="649">
        <v>80</v>
      </c>
      <c r="N8" s="649">
        <v>78</v>
      </c>
      <c r="O8" s="651">
        <v>75</v>
      </c>
      <c r="Q8" s="640">
        <v>1967</v>
      </c>
      <c r="R8" s="642">
        <v>30.5</v>
      </c>
      <c r="S8" s="643"/>
      <c r="T8" s="642">
        <v>29.64</v>
      </c>
      <c r="U8" s="643"/>
      <c r="V8" s="642">
        <v>38.18</v>
      </c>
      <c r="W8" s="643"/>
      <c r="X8" s="642">
        <v>40.82</v>
      </c>
      <c r="Y8" s="643"/>
      <c r="Z8" s="642">
        <v>46.39</v>
      </c>
      <c r="AA8" s="643"/>
      <c r="AB8" s="642">
        <v>54.33</v>
      </c>
      <c r="AC8" s="643"/>
      <c r="AD8" s="642">
        <v>62.76</v>
      </c>
      <c r="AE8" s="643"/>
      <c r="AF8" s="642">
        <v>59.48</v>
      </c>
      <c r="AG8" s="643"/>
      <c r="AH8" s="642">
        <v>54.38</v>
      </c>
      <c r="AI8" s="643"/>
      <c r="AJ8" s="642">
        <v>46.5</v>
      </c>
      <c r="AK8" s="643"/>
      <c r="AL8" s="642" t="s">
        <v>795</v>
      </c>
      <c r="AM8" s="644" t="s">
        <v>796</v>
      </c>
      <c r="AN8" s="642">
        <v>23.15</v>
      </c>
      <c r="AO8" s="643"/>
      <c r="AP8" s="642">
        <v>44.19</v>
      </c>
    </row>
    <row r="9" spans="1:43" ht="13" x14ac:dyDescent="0.3">
      <c r="A9" s="636">
        <v>9</v>
      </c>
      <c r="B9" s="91" t="s">
        <v>771</v>
      </c>
      <c r="C9" s="73">
        <v>19</v>
      </c>
      <c r="H9" s="923" t="s">
        <v>811</v>
      </c>
      <c r="I9" s="923"/>
      <c r="J9" s="923"/>
      <c r="M9" s="653">
        <f>AVERAGE(M2:M8)</f>
        <v>84.428571428571431</v>
      </c>
      <c r="N9" s="653">
        <f>AVERAGE(N2:N8)</f>
        <v>81.428571428571431</v>
      </c>
      <c r="O9" s="653">
        <f>AVERAGE(O2:O8)</f>
        <v>79.428571428571431</v>
      </c>
      <c r="Q9" s="640">
        <v>1968</v>
      </c>
      <c r="R9" s="642">
        <v>27.42</v>
      </c>
      <c r="S9" s="643"/>
      <c r="T9" s="642">
        <v>29.91</v>
      </c>
      <c r="U9" s="643"/>
      <c r="V9" s="642">
        <v>33.92</v>
      </c>
      <c r="W9" s="643"/>
      <c r="X9" s="642">
        <v>36.770000000000003</v>
      </c>
      <c r="Y9" s="643"/>
      <c r="Z9" s="642">
        <v>46.42</v>
      </c>
      <c r="AA9" s="643"/>
      <c r="AB9" s="642">
        <v>57.78</v>
      </c>
      <c r="AC9" s="643"/>
      <c r="AD9" s="642">
        <v>61.19</v>
      </c>
      <c r="AE9" s="643"/>
      <c r="AF9" s="642">
        <v>59.85</v>
      </c>
      <c r="AG9" s="643"/>
      <c r="AH9" s="642">
        <v>52.5</v>
      </c>
      <c r="AI9" s="643"/>
      <c r="AJ9" s="642">
        <v>45.77</v>
      </c>
      <c r="AK9" s="643"/>
      <c r="AL9" s="642">
        <v>30.57</v>
      </c>
      <c r="AM9" s="643"/>
      <c r="AN9" s="642">
        <v>26.95</v>
      </c>
      <c r="AO9" s="643"/>
      <c r="AP9" s="642">
        <v>42.42</v>
      </c>
    </row>
    <row r="10" spans="1:43" ht="13" x14ac:dyDescent="0.3">
      <c r="A10" s="636"/>
      <c r="B10" s="91" t="s">
        <v>770</v>
      </c>
      <c r="C10" s="637">
        <v>19.399999999999999</v>
      </c>
      <c r="H10" s="267"/>
      <c r="I10" s="274" t="s">
        <v>812</v>
      </c>
      <c r="J10" s="267" t="s">
        <v>777</v>
      </c>
      <c r="M10" s="648"/>
      <c r="Q10" s="640">
        <v>1969</v>
      </c>
      <c r="R10" s="642">
        <v>30.76</v>
      </c>
      <c r="S10" s="643"/>
      <c r="T10" s="642">
        <v>29.32</v>
      </c>
      <c r="U10" s="643"/>
      <c r="V10" s="642">
        <v>26.5</v>
      </c>
      <c r="W10" s="643"/>
      <c r="X10" s="642">
        <v>44.12</v>
      </c>
      <c r="Y10" s="643"/>
      <c r="Z10" s="642">
        <v>49.98</v>
      </c>
      <c r="AA10" s="643"/>
      <c r="AB10" s="642">
        <v>53.02</v>
      </c>
      <c r="AC10" s="643"/>
      <c r="AD10" s="642">
        <v>64.06</v>
      </c>
      <c r="AE10" s="643"/>
      <c r="AF10" s="642">
        <v>63.97</v>
      </c>
      <c r="AG10" s="643"/>
      <c r="AH10" s="642">
        <v>55.12</v>
      </c>
      <c r="AI10" s="643"/>
      <c r="AJ10" s="642">
        <v>36.42</v>
      </c>
      <c r="AK10" s="643"/>
      <c r="AL10" s="642">
        <v>33.78</v>
      </c>
      <c r="AM10" s="643"/>
      <c r="AN10" s="642">
        <v>28.77</v>
      </c>
      <c r="AO10" s="643"/>
      <c r="AP10" s="642">
        <v>42.99</v>
      </c>
    </row>
    <row r="11" spans="1:43" ht="13" x14ac:dyDescent="0.3">
      <c r="A11" s="636"/>
      <c r="B11" s="91" t="s">
        <v>772</v>
      </c>
      <c r="C11" s="73">
        <v>18.100000000000001</v>
      </c>
      <c r="H11" s="82" t="s">
        <v>771</v>
      </c>
      <c r="I11" s="526">
        <v>92</v>
      </c>
      <c r="J11" s="526">
        <v>84.4</v>
      </c>
      <c r="L11" s="89"/>
      <c r="M11" s="647"/>
      <c r="N11" s="89"/>
      <c r="Q11" s="640">
        <v>1970</v>
      </c>
      <c r="R11" s="642">
        <v>28.05</v>
      </c>
      <c r="S11" s="643"/>
      <c r="T11" s="642">
        <v>33.75</v>
      </c>
      <c r="U11" s="643"/>
      <c r="V11" s="642">
        <v>29.11</v>
      </c>
      <c r="W11" s="643"/>
      <c r="X11" s="642">
        <v>35.979999999999997</v>
      </c>
      <c r="Y11" s="643"/>
      <c r="Z11" s="642">
        <v>50.5</v>
      </c>
      <c r="AA11" s="643"/>
      <c r="AB11" s="642">
        <v>56.67</v>
      </c>
      <c r="AC11" s="643"/>
      <c r="AD11" s="642">
        <v>63.29</v>
      </c>
      <c r="AE11" s="643"/>
      <c r="AF11" s="642">
        <v>63.85</v>
      </c>
      <c r="AG11" s="643"/>
      <c r="AH11" s="642">
        <v>52.88</v>
      </c>
      <c r="AI11" s="643"/>
      <c r="AJ11" s="642">
        <v>40.21</v>
      </c>
      <c r="AK11" s="643"/>
      <c r="AL11" s="642">
        <v>34.049999999999997</v>
      </c>
      <c r="AM11" s="643"/>
      <c r="AN11" s="642">
        <v>29.44</v>
      </c>
      <c r="AO11" s="643"/>
      <c r="AP11" s="642">
        <v>43.15</v>
      </c>
    </row>
    <row r="12" spans="1:43" ht="13" x14ac:dyDescent="0.3">
      <c r="A12" s="636">
        <v>12</v>
      </c>
      <c r="B12" s="91" t="s">
        <v>771</v>
      </c>
      <c r="C12" s="73">
        <v>18.8</v>
      </c>
      <c r="H12" s="82" t="s">
        <v>770</v>
      </c>
      <c r="I12" s="526">
        <v>86</v>
      </c>
      <c r="J12" s="526">
        <v>81.400000000000006</v>
      </c>
      <c r="L12" s="89"/>
      <c r="M12" s="647"/>
      <c r="N12" s="89"/>
      <c r="Q12" s="640">
        <v>1971</v>
      </c>
      <c r="R12" s="642">
        <v>28.23</v>
      </c>
      <c r="S12" s="643"/>
      <c r="T12" s="642">
        <v>26.66</v>
      </c>
      <c r="U12" s="643"/>
      <c r="V12" s="642">
        <v>32.74</v>
      </c>
      <c r="W12" s="643"/>
      <c r="X12" s="642">
        <v>40.869999999999997</v>
      </c>
      <c r="Y12" s="643"/>
      <c r="Z12" s="642">
        <v>46.34</v>
      </c>
      <c r="AA12" s="643"/>
      <c r="AB12" s="642">
        <v>58.52</v>
      </c>
      <c r="AC12" s="643"/>
      <c r="AD12" s="642">
        <v>61.69</v>
      </c>
      <c r="AE12" s="643"/>
      <c r="AF12" s="642">
        <v>62.31</v>
      </c>
      <c r="AG12" s="643"/>
      <c r="AH12" s="642">
        <v>52.08</v>
      </c>
      <c r="AI12" s="643"/>
      <c r="AJ12" s="642">
        <v>43.92</v>
      </c>
      <c r="AK12" s="643"/>
      <c r="AL12" s="642">
        <v>34.58</v>
      </c>
      <c r="AM12" s="643"/>
      <c r="AN12" s="642">
        <v>26.76</v>
      </c>
      <c r="AO12" s="643"/>
      <c r="AP12" s="642">
        <v>42.89</v>
      </c>
    </row>
    <row r="13" spans="1:43" ht="13" x14ac:dyDescent="0.3">
      <c r="A13" s="636"/>
      <c r="B13" s="91" t="s">
        <v>770</v>
      </c>
      <c r="C13" s="73">
        <v>19.100000000000001</v>
      </c>
      <c r="H13" s="82" t="s">
        <v>772</v>
      </c>
      <c r="I13" s="526">
        <v>89</v>
      </c>
      <c r="J13" s="526">
        <v>79.400000000000006</v>
      </c>
      <c r="L13" s="89"/>
      <c r="M13" s="647"/>
      <c r="N13" s="89"/>
      <c r="Q13" s="640">
        <v>1972</v>
      </c>
      <c r="R13" s="642">
        <v>28.1</v>
      </c>
      <c r="S13" s="643"/>
      <c r="T13" s="642">
        <v>30.57</v>
      </c>
      <c r="U13" s="643"/>
      <c r="V13" s="642" t="s">
        <v>795</v>
      </c>
      <c r="W13" s="644" t="s">
        <v>796</v>
      </c>
      <c r="X13" s="642" t="s">
        <v>795</v>
      </c>
      <c r="Y13" s="644" t="s">
        <v>796</v>
      </c>
      <c r="Z13" s="642" t="s">
        <v>795</v>
      </c>
      <c r="AA13" s="644" t="s">
        <v>796</v>
      </c>
      <c r="AB13" s="642">
        <v>58.85</v>
      </c>
      <c r="AC13" s="643"/>
      <c r="AD13" s="642">
        <v>62.03</v>
      </c>
      <c r="AE13" s="643"/>
      <c r="AF13" s="642">
        <v>62.03</v>
      </c>
      <c r="AG13" s="643"/>
      <c r="AH13" s="642" t="s">
        <v>795</v>
      </c>
      <c r="AI13" s="644" t="s">
        <v>796</v>
      </c>
      <c r="AJ13" s="642">
        <v>44.87</v>
      </c>
      <c r="AK13" s="643"/>
      <c r="AL13" s="642">
        <v>27.18</v>
      </c>
      <c r="AM13" s="643"/>
      <c r="AN13" s="642">
        <v>22.48</v>
      </c>
      <c r="AO13" s="643"/>
      <c r="AP13" s="642">
        <v>42.01</v>
      </c>
    </row>
    <row r="14" spans="1:43" ht="13" x14ac:dyDescent="0.3">
      <c r="A14" s="636"/>
      <c r="B14" s="91" t="s">
        <v>772</v>
      </c>
      <c r="C14" s="73">
        <v>18.8</v>
      </c>
      <c r="H14" s="179" t="s">
        <v>779</v>
      </c>
      <c r="I14" s="526">
        <v>92</v>
      </c>
      <c r="J14" s="526">
        <v>82</v>
      </c>
      <c r="L14" s="89"/>
      <c r="M14" s="647"/>
      <c r="N14" s="89"/>
      <c r="Q14" s="640">
        <v>1973</v>
      </c>
      <c r="R14" s="642">
        <v>22.63</v>
      </c>
      <c r="S14" s="644" t="s">
        <v>798</v>
      </c>
      <c r="T14" s="642">
        <v>26.88</v>
      </c>
      <c r="U14" s="643"/>
      <c r="V14" s="642">
        <v>30.92</v>
      </c>
      <c r="W14" s="643"/>
      <c r="X14" s="642">
        <v>33.93</v>
      </c>
      <c r="Y14" s="643"/>
      <c r="Z14" s="642">
        <v>46.61</v>
      </c>
      <c r="AA14" s="643"/>
      <c r="AB14" s="642">
        <v>57.62</v>
      </c>
      <c r="AC14" s="644" t="s">
        <v>798</v>
      </c>
      <c r="AD14" s="642">
        <v>61.11</v>
      </c>
      <c r="AE14" s="643"/>
      <c r="AF14" s="642">
        <v>62.98</v>
      </c>
      <c r="AG14" s="644" t="s">
        <v>798</v>
      </c>
      <c r="AH14" s="642">
        <v>52.45</v>
      </c>
      <c r="AI14" s="643"/>
      <c r="AJ14" s="642">
        <v>45.37</v>
      </c>
      <c r="AK14" s="643"/>
      <c r="AL14" s="642">
        <v>34.79</v>
      </c>
      <c r="AM14" s="644" t="s">
        <v>798</v>
      </c>
      <c r="AN14" s="642">
        <v>26.82</v>
      </c>
      <c r="AO14" s="644" t="s">
        <v>798</v>
      </c>
      <c r="AP14" s="642">
        <v>41.84</v>
      </c>
    </row>
    <row r="15" spans="1:43" ht="13" x14ac:dyDescent="0.3">
      <c r="A15" s="636" t="s">
        <v>774</v>
      </c>
      <c r="B15" s="91" t="s">
        <v>771</v>
      </c>
      <c r="C15" s="73">
        <v>19</v>
      </c>
      <c r="H15" s="179" t="s">
        <v>780</v>
      </c>
      <c r="I15" s="526">
        <v>88</v>
      </c>
      <c r="J15" s="526">
        <v>80</v>
      </c>
      <c r="L15" s="89"/>
      <c r="M15" s="647"/>
      <c r="N15" s="89"/>
      <c r="Q15" s="640">
        <v>1974</v>
      </c>
      <c r="R15" s="642">
        <v>25.1</v>
      </c>
      <c r="S15" s="644" t="s">
        <v>798</v>
      </c>
      <c r="T15" s="642">
        <v>28.98</v>
      </c>
      <c r="U15" s="644" t="s">
        <v>798</v>
      </c>
      <c r="V15" s="642">
        <v>38.049999999999997</v>
      </c>
      <c r="W15" s="644" t="s">
        <v>798</v>
      </c>
      <c r="X15" s="642">
        <v>39.880000000000003</v>
      </c>
      <c r="Y15" s="643"/>
      <c r="Z15" s="642">
        <v>53.11</v>
      </c>
      <c r="AA15" s="643"/>
      <c r="AB15" s="642">
        <v>60.02</v>
      </c>
      <c r="AC15" s="643"/>
      <c r="AD15" s="642">
        <v>63.74</v>
      </c>
      <c r="AE15" s="643"/>
      <c r="AF15" s="642">
        <v>59.15</v>
      </c>
      <c r="AG15" s="643"/>
      <c r="AH15" s="642">
        <v>50.28</v>
      </c>
      <c r="AI15" s="643"/>
      <c r="AJ15" s="642">
        <v>45.4</v>
      </c>
      <c r="AK15" s="644" t="s">
        <v>798</v>
      </c>
      <c r="AL15" s="642">
        <v>33.880000000000003</v>
      </c>
      <c r="AM15" s="643"/>
      <c r="AN15" s="642">
        <v>24.9</v>
      </c>
      <c r="AO15" s="643"/>
      <c r="AP15" s="642">
        <v>43.54</v>
      </c>
    </row>
    <row r="16" spans="1:43" ht="14" x14ac:dyDescent="0.3">
      <c r="A16" s="636"/>
      <c r="B16" s="91" t="s">
        <v>770</v>
      </c>
      <c r="C16" s="73">
        <v>19.2</v>
      </c>
      <c r="L16" s="1011" t="s">
        <v>843</v>
      </c>
      <c r="M16" s="1011"/>
      <c r="N16" s="1011"/>
      <c r="O16" s="1011"/>
      <c r="Q16" s="640">
        <v>1975</v>
      </c>
      <c r="R16" s="642">
        <v>26.94</v>
      </c>
      <c r="S16" s="643"/>
      <c r="T16" s="642">
        <v>25.82</v>
      </c>
      <c r="U16" s="643"/>
      <c r="V16" s="642">
        <v>31.45</v>
      </c>
      <c r="W16" s="643"/>
      <c r="X16" s="642">
        <v>37.72</v>
      </c>
      <c r="Y16" s="643"/>
      <c r="Z16" s="642">
        <v>45.84</v>
      </c>
      <c r="AA16" s="643"/>
      <c r="AB16" s="642">
        <v>55.88</v>
      </c>
      <c r="AC16" s="644" t="s">
        <v>798</v>
      </c>
      <c r="AD16" s="642">
        <v>63.62</v>
      </c>
      <c r="AE16" s="644" t="s">
        <v>799</v>
      </c>
      <c r="AF16" s="642">
        <v>61.35</v>
      </c>
      <c r="AG16" s="643"/>
      <c r="AH16" s="642">
        <v>52.1</v>
      </c>
      <c r="AI16" s="643"/>
      <c r="AJ16" s="642">
        <v>45.78</v>
      </c>
      <c r="AK16" s="644" t="s">
        <v>798</v>
      </c>
      <c r="AL16" s="642">
        <v>32.82</v>
      </c>
      <c r="AM16" s="643"/>
      <c r="AN16" s="642">
        <v>32.11</v>
      </c>
      <c r="AO16" s="643"/>
      <c r="AP16" s="642">
        <v>42.62</v>
      </c>
    </row>
    <row r="17" spans="1:42" ht="52" x14ac:dyDescent="0.3">
      <c r="A17" s="636"/>
      <c r="B17" s="91" t="s">
        <v>772</v>
      </c>
      <c r="C17" s="73">
        <v>19</v>
      </c>
      <c r="L17" s="274"/>
      <c r="M17" s="663" t="s">
        <v>844</v>
      </c>
      <c r="N17" s="664" t="s">
        <v>845</v>
      </c>
      <c r="O17" s="665" t="s">
        <v>848</v>
      </c>
      <c r="Q17" s="640">
        <v>1976</v>
      </c>
      <c r="R17" s="642">
        <v>27.84</v>
      </c>
      <c r="S17" s="643"/>
      <c r="T17" s="642">
        <v>33.479999999999997</v>
      </c>
      <c r="U17" s="643"/>
      <c r="V17" s="642">
        <v>31.47</v>
      </c>
      <c r="W17" s="643"/>
      <c r="X17" s="642">
        <v>41.35</v>
      </c>
      <c r="Y17" s="643"/>
      <c r="Z17" s="642">
        <v>48.42</v>
      </c>
      <c r="AA17" s="643"/>
      <c r="AB17" s="642">
        <v>57.17</v>
      </c>
      <c r="AC17" s="643"/>
      <c r="AD17" s="642">
        <v>64.03</v>
      </c>
      <c r="AE17" s="643"/>
      <c r="AF17" s="642">
        <v>60.42</v>
      </c>
      <c r="AG17" s="643"/>
      <c r="AH17" s="642">
        <v>53.1</v>
      </c>
      <c r="AI17" s="643"/>
      <c r="AJ17" s="642">
        <v>40.450000000000003</v>
      </c>
      <c r="AK17" s="643"/>
      <c r="AL17" s="642">
        <v>32.799999999999997</v>
      </c>
      <c r="AM17" s="643"/>
      <c r="AN17" s="642">
        <v>29.13</v>
      </c>
      <c r="AO17" s="643"/>
      <c r="AP17" s="642">
        <v>43.3</v>
      </c>
    </row>
    <row r="18" spans="1:42" ht="13" x14ac:dyDescent="0.3">
      <c r="A18" s="636">
        <v>14</v>
      </c>
      <c r="B18" s="91" t="s">
        <v>771</v>
      </c>
      <c r="C18" s="73">
        <v>19.100000000000001</v>
      </c>
      <c r="L18" s="179" t="s">
        <v>833</v>
      </c>
      <c r="M18" s="662" t="s">
        <v>841</v>
      </c>
      <c r="N18" s="662" t="s">
        <v>847</v>
      </c>
      <c r="O18" s="82">
        <v>45</v>
      </c>
      <c r="Q18" s="640">
        <v>1977</v>
      </c>
      <c r="R18" s="642">
        <v>26.58</v>
      </c>
      <c r="S18" s="643"/>
      <c r="T18" s="642">
        <v>30.26</v>
      </c>
      <c r="U18" s="644" t="s">
        <v>798</v>
      </c>
      <c r="V18" s="642">
        <v>30.89</v>
      </c>
      <c r="W18" s="643"/>
      <c r="X18" s="642">
        <v>41.37</v>
      </c>
      <c r="Y18" s="643"/>
      <c r="Z18" s="642">
        <v>50.29</v>
      </c>
      <c r="AA18" s="643"/>
      <c r="AB18" s="642">
        <v>61.95</v>
      </c>
      <c r="AC18" s="643"/>
      <c r="AD18" s="642">
        <v>64.44</v>
      </c>
      <c r="AE18" s="643"/>
      <c r="AF18" s="642">
        <v>61.4</v>
      </c>
      <c r="AG18" s="643"/>
      <c r="AH18" s="642">
        <v>56.68</v>
      </c>
      <c r="AI18" s="643"/>
      <c r="AJ18" s="642">
        <v>45.02</v>
      </c>
      <c r="AK18" s="643"/>
      <c r="AL18" s="642">
        <v>36.020000000000003</v>
      </c>
      <c r="AM18" s="643"/>
      <c r="AN18" s="642" t="s">
        <v>795</v>
      </c>
      <c r="AO18" s="644" t="s">
        <v>796</v>
      </c>
      <c r="AP18" s="642">
        <v>45.9</v>
      </c>
    </row>
    <row r="19" spans="1:42" ht="13" x14ac:dyDescent="0.3">
      <c r="A19" s="636"/>
      <c r="B19" s="91" t="s">
        <v>770</v>
      </c>
      <c r="C19" s="73">
        <v>19.2</v>
      </c>
      <c r="L19" s="179" t="s">
        <v>779</v>
      </c>
      <c r="M19" s="662" t="s">
        <v>840</v>
      </c>
      <c r="N19" s="662" t="s">
        <v>846</v>
      </c>
      <c r="O19" s="82">
        <v>39</v>
      </c>
      <c r="Q19" s="640">
        <v>1978</v>
      </c>
      <c r="R19" s="642">
        <v>24.23</v>
      </c>
      <c r="S19" s="643"/>
      <c r="T19" s="642">
        <v>26.38</v>
      </c>
      <c r="U19" s="643"/>
      <c r="V19" s="642">
        <v>37.159999999999997</v>
      </c>
      <c r="W19" s="643"/>
      <c r="X19" s="642">
        <v>42.37</v>
      </c>
      <c r="Y19" s="643"/>
      <c r="Z19" s="642">
        <v>48.26</v>
      </c>
      <c r="AA19" s="643"/>
      <c r="AB19" s="642">
        <v>57.85</v>
      </c>
      <c r="AC19" s="643"/>
      <c r="AD19" s="642">
        <v>64.34</v>
      </c>
      <c r="AE19" s="643"/>
      <c r="AF19" s="642">
        <v>60.5</v>
      </c>
      <c r="AG19" s="643"/>
      <c r="AH19" s="642">
        <v>55.03</v>
      </c>
      <c r="AI19" s="643"/>
      <c r="AJ19" s="642">
        <v>45.2</v>
      </c>
      <c r="AK19" s="644" t="s">
        <v>798</v>
      </c>
      <c r="AL19" s="642">
        <v>34.85</v>
      </c>
      <c r="AM19" s="643"/>
      <c r="AN19" s="642">
        <v>21.02</v>
      </c>
      <c r="AO19" s="643"/>
      <c r="AP19" s="642">
        <v>43.1</v>
      </c>
    </row>
    <row r="20" spans="1:42" ht="13" x14ac:dyDescent="0.3">
      <c r="A20" s="636"/>
      <c r="B20" s="91" t="s">
        <v>772</v>
      </c>
      <c r="C20" s="73">
        <v>19.2</v>
      </c>
      <c r="L20" s="179" t="s">
        <v>780</v>
      </c>
      <c r="M20" s="662" t="s">
        <v>842</v>
      </c>
      <c r="N20" s="662" t="s">
        <v>849</v>
      </c>
      <c r="O20" s="82">
        <v>100</v>
      </c>
      <c r="Q20" s="640">
        <v>1979</v>
      </c>
      <c r="R20" s="642">
        <v>17.75</v>
      </c>
      <c r="S20" s="644" t="s">
        <v>798</v>
      </c>
      <c r="T20" s="642">
        <v>28.04</v>
      </c>
      <c r="U20" s="643"/>
      <c r="V20" s="642">
        <v>33.770000000000003</v>
      </c>
      <c r="W20" s="643"/>
      <c r="X20" s="642" t="s">
        <v>795</v>
      </c>
      <c r="Y20" s="644" t="s">
        <v>796</v>
      </c>
      <c r="Z20" s="642">
        <v>46.35</v>
      </c>
      <c r="AA20" s="643"/>
      <c r="AB20" s="642">
        <v>55.68</v>
      </c>
      <c r="AC20" s="643"/>
      <c r="AD20" s="642">
        <v>63.55</v>
      </c>
      <c r="AE20" s="643"/>
      <c r="AF20" s="642" t="s">
        <v>795</v>
      </c>
      <c r="AG20" s="644" t="s">
        <v>796</v>
      </c>
      <c r="AH20" s="642">
        <v>56.43</v>
      </c>
      <c r="AI20" s="644" t="s">
        <v>798</v>
      </c>
      <c r="AJ20" s="642">
        <v>45.94</v>
      </c>
      <c r="AK20" s="643"/>
      <c r="AL20" s="642">
        <v>28.55</v>
      </c>
      <c r="AM20" s="644" t="s">
        <v>799</v>
      </c>
      <c r="AN20" s="642">
        <v>30.73</v>
      </c>
      <c r="AO20" s="644" t="s">
        <v>798</v>
      </c>
      <c r="AP20" s="642">
        <v>40.68</v>
      </c>
    </row>
    <row r="21" spans="1:42" x14ac:dyDescent="0.25">
      <c r="L21" s="1012" t="s">
        <v>850</v>
      </c>
      <c r="M21" s="1013"/>
      <c r="N21" s="1013"/>
      <c r="O21" s="1013"/>
      <c r="Q21" s="640">
        <v>1980</v>
      </c>
      <c r="R21" s="642">
        <v>24.55</v>
      </c>
      <c r="S21" s="644" t="s">
        <v>798</v>
      </c>
      <c r="T21" s="642">
        <v>31.32</v>
      </c>
      <c r="U21" s="644" t="s">
        <v>798</v>
      </c>
      <c r="V21" s="642">
        <v>31.42</v>
      </c>
      <c r="W21" s="643"/>
      <c r="X21" s="642">
        <v>38.07</v>
      </c>
      <c r="Y21" s="643"/>
      <c r="Z21" s="642">
        <v>46.88</v>
      </c>
      <c r="AA21" s="644" t="s">
        <v>799</v>
      </c>
      <c r="AB21" s="642">
        <v>60.62</v>
      </c>
      <c r="AC21" s="644" t="s">
        <v>799</v>
      </c>
      <c r="AD21" s="642">
        <v>65.44</v>
      </c>
      <c r="AE21" s="643"/>
      <c r="AF21" s="642">
        <v>62.48</v>
      </c>
      <c r="AG21" s="643"/>
      <c r="AH21" s="642">
        <v>56.8</v>
      </c>
      <c r="AI21" s="643"/>
      <c r="AJ21" s="642">
        <v>41.47</v>
      </c>
      <c r="AK21" s="643"/>
      <c r="AL21" s="642">
        <v>35.03</v>
      </c>
      <c r="AM21" s="644" t="s">
        <v>798</v>
      </c>
      <c r="AN21" s="642">
        <v>35.9</v>
      </c>
      <c r="AO21" s="643"/>
      <c r="AP21" s="642">
        <v>44.17</v>
      </c>
    </row>
    <row r="22" spans="1:42" x14ac:dyDescent="0.25">
      <c r="Q22" s="640">
        <v>1981</v>
      </c>
      <c r="R22" s="642">
        <v>30.55</v>
      </c>
      <c r="S22" s="644" t="s">
        <v>798</v>
      </c>
      <c r="T22" s="642">
        <v>31.21</v>
      </c>
      <c r="U22" s="643"/>
      <c r="V22" s="642">
        <v>32.43</v>
      </c>
      <c r="W22" s="644" t="s">
        <v>798</v>
      </c>
      <c r="X22" s="642">
        <v>45.67</v>
      </c>
      <c r="Y22" s="643"/>
      <c r="Z22" s="642">
        <v>47.76</v>
      </c>
      <c r="AA22" s="643"/>
      <c r="AB22" s="642">
        <v>60.8</v>
      </c>
      <c r="AC22" s="643"/>
      <c r="AD22" s="642">
        <v>64.38</v>
      </c>
      <c r="AE22" s="644" t="s">
        <v>798</v>
      </c>
      <c r="AF22" s="642">
        <v>61.19</v>
      </c>
      <c r="AG22" s="643"/>
      <c r="AH22" s="642">
        <v>56.77</v>
      </c>
      <c r="AI22" s="643"/>
      <c r="AJ22" s="642">
        <v>44.61</v>
      </c>
      <c r="AK22" s="644" t="s">
        <v>800</v>
      </c>
      <c r="AL22" s="642">
        <v>38.03</v>
      </c>
      <c r="AM22" s="643"/>
      <c r="AN22" s="642">
        <v>28.87</v>
      </c>
      <c r="AO22" s="643"/>
      <c r="AP22" s="642">
        <v>45.19</v>
      </c>
    </row>
    <row r="23" spans="1:42" x14ac:dyDescent="0.25">
      <c r="Q23" s="640">
        <v>1982</v>
      </c>
      <c r="R23" s="642">
        <v>28.44</v>
      </c>
      <c r="S23" s="643"/>
      <c r="T23" s="642">
        <v>28.39</v>
      </c>
      <c r="U23" s="643"/>
      <c r="V23" s="642">
        <v>36.03</v>
      </c>
      <c r="W23" s="643"/>
      <c r="X23" s="642">
        <v>41.13</v>
      </c>
      <c r="Y23" s="643"/>
      <c r="Z23" s="642">
        <v>47.9</v>
      </c>
      <c r="AA23" s="643"/>
      <c r="AB23" s="642">
        <v>54.45</v>
      </c>
      <c r="AC23" s="643"/>
      <c r="AD23" s="642">
        <v>61.66</v>
      </c>
      <c r="AE23" s="644" t="s">
        <v>799</v>
      </c>
      <c r="AF23" s="642">
        <v>63.82</v>
      </c>
      <c r="AG23" s="643"/>
      <c r="AH23" s="642">
        <v>53.42</v>
      </c>
      <c r="AI23" s="643"/>
      <c r="AJ23" s="642">
        <v>41.08</v>
      </c>
      <c r="AK23" s="643"/>
      <c r="AL23" s="642">
        <v>30.3</v>
      </c>
      <c r="AM23" s="643"/>
      <c r="AN23" s="642">
        <v>26.5</v>
      </c>
      <c r="AO23" s="643"/>
      <c r="AP23" s="642">
        <v>42.76</v>
      </c>
    </row>
    <row r="24" spans="1:42" x14ac:dyDescent="0.25">
      <c r="Q24" s="640">
        <v>1983</v>
      </c>
      <c r="R24" s="642">
        <v>29.34</v>
      </c>
      <c r="S24" s="643"/>
      <c r="T24" s="642">
        <v>29.8</v>
      </c>
      <c r="U24" s="643"/>
      <c r="V24" s="642">
        <v>30.9</v>
      </c>
      <c r="W24" s="643"/>
      <c r="X24" s="642">
        <v>33.28</v>
      </c>
      <c r="Y24" s="643"/>
      <c r="Z24" s="642">
        <v>43.45</v>
      </c>
      <c r="AA24" s="643"/>
      <c r="AB24" s="642">
        <v>54.58</v>
      </c>
      <c r="AC24" s="643"/>
      <c r="AD24" s="642">
        <v>63.84</v>
      </c>
      <c r="AE24" s="643"/>
      <c r="AF24" s="642">
        <v>65.11</v>
      </c>
      <c r="AG24" s="643"/>
      <c r="AH24" s="642">
        <v>58.37</v>
      </c>
      <c r="AI24" s="643"/>
      <c r="AJ24" s="642">
        <v>46.16</v>
      </c>
      <c r="AK24" s="643"/>
      <c r="AL24" s="642">
        <v>34.020000000000003</v>
      </c>
      <c r="AM24" s="643"/>
      <c r="AN24" s="642" t="s">
        <v>795</v>
      </c>
      <c r="AO24" s="644" t="s">
        <v>796</v>
      </c>
      <c r="AP24" s="642">
        <v>44.44</v>
      </c>
    </row>
    <row r="25" spans="1:42" x14ac:dyDescent="0.25">
      <c r="Q25" s="640">
        <v>1984</v>
      </c>
      <c r="R25" s="642" t="s">
        <v>795</v>
      </c>
      <c r="S25" s="644" t="s">
        <v>796</v>
      </c>
      <c r="T25" s="642" t="s">
        <v>795</v>
      </c>
      <c r="U25" s="644" t="s">
        <v>796</v>
      </c>
      <c r="V25" s="642" t="s">
        <v>795</v>
      </c>
      <c r="W25" s="644" t="s">
        <v>796</v>
      </c>
      <c r="X25" s="642" t="s">
        <v>795</v>
      </c>
      <c r="Y25" s="644" t="s">
        <v>796</v>
      </c>
      <c r="Z25" s="642" t="s">
        <v>795</v>
      </c>
      <c r="AA25" s="644" t="s">
        <v>796</v>
      </c>
      <c r="AB25" s="642" t="s">
        <v>795</v>
      </c>
      <c r="AC25" s="644" t="s">
        <v>796</v>
      </c>
      <c r="AD25" s="642">
        <v>65.37</v>
      </c>
      <c r="AE25" s="643"/>
      <c r="AF25" s="642">
        <v>62.77</v>
      </c>
      <c r="AG25" s="643"/>
      <c r="AH25" s="642" t="s">
        <v>795</v>
      </c>
      <c r="AI25" s="644" t="s">
        <v>796</v>
      </c>
      <c r="AJ25" s="642">
        <v>38.29</v>
      </c>
      <c r="AK25" s="643"/>
      <c r="AL25" s="642">
        <v>35.869999999999997</v>
      </c>
      <c r="AM25" s="643"/>
      <c r="AN25" s="642">
        <v>30.19</v>
      </c>
      <c r="AO25" s="643"/>
      <c r="AP25" s="642">
        <v>46.5</v>
      </c>
    </row>
    <row r="26" spans="1:42" x14ac:dyDescent="0.25">
      <c r="Q26" s="640">
        <v>1985</v>
      </c>
      <c r="R26" s="642">
        <v>23.55</v>
      </c>
      <c r="S26" s="644" t="s">
        <v>798</v>
      </c>
      <c r="T26" s="642">
        <v>24.98</v>
      </c>
      <c r="U26" s="643"/>
      <c r="V26" s="642">
        <v>35.479999999999997</v>
      </c>
      <c r="W26" s="643"/>
      <c r="X26" s="642">
        <v>44.22</v>
      </c>
      <c r="Y26" s="643"/>
      <c r="Z26" s="642">
        <v>50.79</v>
      </c>
      <c r="AA26" s="643"/>
      <c r="AB26" s="642">
        <v>60.6</v>
      </c>
      <c r="AC26" s="643"/>
      <c r="AD26" s="642">
        <v>63.66</v>
      </c>
      <c r="AE26" s="643"/>
      <c r="AF26" s="642">
        <v>62.87</v>
      </c>
      <c r="AG26" s="643"/>
      <c r="AH26" s="642">
        <v>51.65</v>
      </c>
      <c r="AI26" s="643"/>
      <c r="AJ26" s="642">
        <v>45.48</v>
      </c>
      <c r="AK26" s="644" t="s">
        <v>799</v>
      </c>
      <c r="AL26" s="642">
        <v>30.72</v>
      </c>
      <c r="AM26" s="643"/>
      <c r="AN26" s="642">
        <v>29.29</v>
      </c>
      <c r="AO26" s="643"/>
      <c r="AP26" s="642">
        <v>43.61</v>
      </c>
    </row>
    <row r="27" spans="1:42" x14ac:dyDescent="0.25">
      <c r="Q27" s="640">
        <v>1986</v>
      </c>
      <c r="R27" s="642">
        <v>34.47</v>
      </c>
      <c r="S27" s="643"/>
      <c r="T27" s="642">
        <v>32.56</v>
      </c>
      <c r="U27" s="644" t="s">
        <v>798</v>
      </c>
      <c r="V27" s="642">
        <v>39.71</v>
      </c>
      <c r="W27" s="643"/>
      <c r="X27" s="642">
        <v>44.73</v>
      </c>
      <c r="Y27" s="643"/>
      <c r="Z27" s="642">
        <v>47.84</v>
      </c>
      <c r="AA27" s="643"/>
      <c r="AB27" s="642">
        <v>59.67</v>
      </c>
      <c r="AC27" s="643"/>
      <c r="AD27" s="642">
        <v>63</v>
      </c>
      <c r="AE27" s="643"/>
      <c r="AF27" s="642">
        <v>62.56</v>
      </c>
      <c r="AG27" s="643"/>
      <c r="AH27" s="642">
        <v>52.17</v>
      </c>
      <c r="AI27" s="643"/>
      <c r="AJ27" s="642">
        <v>42.77</v>
      </c>
      <c r="AK27" s="643"/>
      <c r="AL27" s="642">
        <v>33.78</v>
      </c>
      <c r="AM27" s="643"/>
      <c r="AN27" s="642">
        <v>27.18</v>
      </c>
      <c r="AO27" s="643"/>
      <c r="AP27" s="642">
        <v>45.04</v>
      </c>
    </row>
    <row r="28" spans="1:42" x14ac:dyDescent="0.25">
      <c r="Q28" s="640">
        <v>1987</v>
      </c>
      <c r="R28" s="642">
        <v>26.73</v>
      </c>
      <c r="S28" s="643"/>
      <c r="T28" s="642">
        <v>29.3</v>
      </c>
      <c r="U28" s="644" t="s">
        <v>798</v>
      </c>
      <c r="V28" s="642">
        <v>31.71</v>
      </c>
      <c r="W28" s="643"/>
      <c r="X28" s="642">
        <v>42.77</v>
      </c>
      <c r="Y28" s="643"/>
      <c r="Z28" s="642">
        <v>50.68</v>
      </c>
      <c r="AA28" s="643"/>
      <c r="AB28" s="642">
        <v>58.9</v>
      </c>
      <c r="AC28" s="643"/>
      <c r="AD28" s="642">
        <v>64.2</v>
      </c>
      <c r="AE28" s="644" t="s">
        <v>798</v>
      </c>
      <c r="AF28" s="642">
        <v>61.23</v>
      </c>
      <c r="AG28" s="643"/>
      <c r="AH28" s="642">
        <v>53.58</v>
      </c>
      <c r="AI28" s="643"/>
      <c r="AJ28" s="642">
        <v>45.37</v>
      </c>
      <c r="AK28" s="643"/>
      <c r="AL28" s="642">
        <v>34.17</v>
      </c>
      <c r="AM28" s="643"/>
      <c r="AN28" s="642">
        <v>24.89</v>
      </c>
      <c r="AO28" s="643"/>
      <c r="AP28" s="642">
        <v>43.63</v>
      </c>
    </row>
    <row r="29" spans="1:42" x14ac:dyDescent="0.25">
      <c r="Q29" s="640">
        <v>1988</v>
      </c>
      <c r="R29" s="642">
        <v>22.56</v>
      </c>
      <c r="S29" s="643"/>
      <c r="T29" s="642">
        <v>29.31</v>
      </c>
      <c r="U29" s="643"/>
      <c r="V29" s="642">
        <v>31.37</v>
      </c>
      <c r="W29" s="643"/>
      <c r="X29" s="642">
        <v>43.18</v>
      </c>
      <c r="Y29" s="643"/>
      <c r="Z29" s="642">
        <v>50.1</v>
      </c>
      <c r="AA29" s="643"/>
      <c r="AB29" s="642">
        <v>61.52</v>
      </c>
      <c r="AC29" s="643"/>
      <c r="AD29" s="642">
        <v>63.81</v>
      </c>
      <c r="AE29" s="643"/>
      <c r="AF29" s="642">
        <v>64.150000000000006</v>
      </c>
      <c r="AG29" s="643"/>
      <c r="AH29" s="642">
        <v>53.02</v>
      </c>
      <c r="AI29" s="643"/>
      <c r="AJ29" s="642">
        <v>48.05</v>
      </c>
      <c r="AK29" s="643"/>
      <c r="AL29" s="642">
        <v>35.28</v>
      </c>
      <c r="AM29" s="643"/>
      <c r="AN29" s="642">
        <v>25.97</v>
      </c>
      <c r="AO29" s="643"/>
      <c r="AP29" s="642">
        <v>44.03</v>
      </c>
    </row>
    <row r="30" spans="1:42" x14ac:dyDescent="0.25">
      <c r="Q30" s="640">
        <v>1989</v>
      </c>
      <c r="R30" s="642">
        <v>26.87</v>
      </c>
      <c r="S30" s="644" t="s">
        <v>798</v>
      </c>
      <c r="T30" s="642">
        <v>20.95</v>
      </c>
      <c r="U30" s="643"/>
      <c r="V30" s="642">
        <v>39.5</v>
      </c>
      <c r="W30" s="643"/>
      <c r="X30" s="642">
        <v>43.62</v>
      </c>
      <c r="Y30" s="643"/>
      <c r="Z30" s="642">
        <v>50.6</v>
      </c>
      <c r="AA30" s="643"/>
      <c r="AB30" s="642">
        <v>55.95</v>
      </c>
      <c r="AC30" s="643"/>
      <c r="AD30" s="642">
        <v>64.319999999999993</v>
      </c>
      <c r="AE30" s="643"/>
      <c r="AF30" s="642">
        <v>61.05</v>
      </c>
      <c r="AG30" s="643"/>
      <c r="AH30" s="642">
        <v>54.27</v>
      </c>
      <c r="AI30" s="643"/>
      <c r="AJ30" s="642">
        <v>43.55</v>
      </c>
      <c r="AK30" s="643"/>
      <c r="AL30" s="642">
        <v>37.86</v>
      </c>
      <c r="AM30" s="644" t="s">
        <v>799</v>
      </c>
      <c r="AN30" s="642">
        <v>25.6</v>
      </c>
      <c r="AO30" s="644" t="s">
        <v>799</v>
      </c>
      <c r="AP30" s="642">
        <v>43.68</v>
      </c>
    </row>
    <row r="31" spans="1:42" x14ac:dyDescent="0.25">
      <c r="Q31" s="640">
        <v>1990</v>
      </c>
      <c r="R31" s="642">
        <v>29.38</v>
      </c>
      <c r="S31" s="644" t="s">
        <v>801</v>
      </c>
      <c r="T31" s="642">
        <v>28.3</v>
      </c>
      <c r="U31" s="643"/>
      <c r="V31" s="642">
        <v>34.31</v>
      </c>
      <c r="W31" s="643"/>
      <c r="X31" s="642">
        <v>42.2</v>
      </c>
      <c r="Y31" s="643"/>
      <c r="Z31" s="642">
        <v>47.65</v>
      </c>
      <c r="AA31" s="643"/>
      <c r="AB31" s="642">
        <v>60.72</v>
      </c>
      <c r="AC31" s="643"/>
      <c r="AD31" s="642">
        <v>61.6</v>
      </c>
      <c r="AE31" s="643"/>
      <c r="AF31" s="642">
        <v>60.98</v>
      </c>
      <c r="AG31" s="643"/>
      <c r="AH31" s="642">
        <v>57.85</v>
      </c>
      <c r="AI31" s="643"/>
      <c r="AJ31" s="642">
        <v>45.56</v>
      </c>
      <c r="AK31" s="643"/>
      <c r="AL31" s="642">
        <v>37.950000000000003</v>
      </c>
      <c r="AM31" s="643"/>
      <c r="AN31" s="642">
        <v>21.9</v>
      </c>
      <c r="AO31" s="643"/>
      <c r="AP31" s="642">
        <v>44.03</v>
      </c>
    </row>
    <row r="32" spans="1:42" x14ac:dyDescent="0.25">
      <c r="B32" s="20" t="s">
        <v>818</v>
      </c>
      <c r="C32" s="20" t="s">
        <v>303</v>
      </c>
      <c r="D32" s="20" t="s">
        <v>819</v>
      </c>
      <c r="Q32" s="640">
        <v>1991</v>
      </c>
      <c r="R32" s="642">
        <v>24.19</v>
      </c>
      <c r="S32" s="643"/>
      <c r="T32" s="642">
        <v>32.200000000000003</v>
      </c>
      <c r="U32" s="643"/>
      <c r="V32" s="642">
        <v>35.9</v>
      </c>
      <c r="W32" s="643"/>
      <c r="X32" s="642">
        <v>40.78</v>
      </c>
      <c r="Y32" s="643"/>
      <c r="Z32" s="642">
        <v>50.63</v>
      </c>
      <c r="AA32" s="643"/>
      <c r="AB32" s="642">
        <v>59.6</v>
      </c>
      <c r="AC32" s="643"/>
      <c r="AD32" s="642">
        <v>62.47</v>
      </c>
      <c r="AE32" s="643"/>
      <c r="AF32" s="642">
        <v>61.81</v>
      </c>
      <c r="AG32" s="643"/>
      <c r="AH32" s="642">
        <v>54.77</v>
      </c>
      <c r="AI32" s="643"/>
      <c r="AJ32" s="642">
        <v>44.34</v>
      </c>
      <c r="AK32" s="643"/>
      <c r="AL32" s="642">
        <v>31.67</v>
      </c>
      <c r="AM32" s="643"/>
      <c r="AN32" s="642">
        <v>29.71</v>
      </c>
      <c r="AO32" s="643"/>
      <c r="AP32" s="642">
        <v>44.01</v>
      </c>
    </row>
    <row r="33" spans="1:42" x14ac:dyDescent="0.25">
      <c r="A33" s="20" t="s">
        <v>108</v>
      </c>
      <c r="Q33" s="640">
        <v>1992</v>
      </c>
      <c r="R33" s="642">
        <v>28.19</v>
      </c>
      <c r="S33" s="643"/>
      <c r="T33" s="642">
        <v>32.29</v>
      </c>
      <c r="U33" s="643"/>
      <c r="V33" s="642">
        <v>36.26</v>
      </c>
      <c r="W33" s="643"/>
      <c r="X33" s="642">
        <v>46.15</v>
      </c>
      <c r="Y33" s="643"/>
      <c r="Z33" s="642">
        <v>51.79</v>
      </c>
      <c r="AA33" s="643"/>
      <c r="AB33" s="642">
        <v>56.13</v>
      </c>
      <c r="AC33" s="643"/>
      <c r="AD33" s="642">
        <v>61.45</v>
      </c>
      <c r="AE33" s="643"/>
      <c r="AF33" s="642">
        <v>59.5</v>
      </c>
      <c r="AG33" s="644" t="s">
        <v>798</v>
      </c>
      <c r="AH33" s="642">
        <v>56.7</v>
      </c>
      <c r="AI33" s="643"/>
      <c r="AJ33" s="642">
        <v>47.79</v>
      </c>
      <c r="AK33" s="643"/>
      <c r="AL33" s="642">
        <v>28.82</v>
      </c>
      <c r="AM33" s="643"/>
      <c r="AN33" s="642">
        <v>26.13</v>
      </c>
      <c r="AO33" s="643"/>
      <c r="AP33" s="642">
        <v>44.27</v>
      </c>
    </row>
    <row r="34" spans="1:42" x14ac:dyDescent="0.25">
      <c r="A34" s="20">
        <v>2011</v>
      </c>
      <c r="B34">
        <v>410000</v>
      </c>
      <c r="C34">
        <v>81000</v>
      </c>
      <c r="Q34" s="640"/>
      <c r="R34" s="642"/>
      <c r="S34" s="643"/>
      <c r="T34" s="642"/>
      <c r="U34" s="643"/>
      <c r="V34" s="642"/>
      <c r="W34" s="643"/>
      <c r="X34" s="642"/>
      <c r="Y34" s="643"/>
      <c r="Z34" s="642"/>
      <c r="AA34" s="643"/>
      <c r="AB34" s="642"/>
      <c r="AC34" s="643"/>
      <c r="AD34" s="642"/>
      <c r="AE34" s="643"/>
      <c r="AF34" s="642"/>
      <c r="AG34" s="644"/>
      <c r="AH34" s="642"/>
      <c r="AI34" s="643"/>
      <c r="AJ34" s="642"/>
      <c r="AK34" s="643"/>
      <c r="AL34" s="642"/>
      <c r="AM34" s="643"/>
      <c r="AN34" s="642"/>
      <c r="AO34" s="643"/>
      <c r="AP34" s="642"/>
    </row>
    <row r="35" spans="1:42" x14ac:dyDescent="0.25">
      <c r="A35">
        <v>2010</v>
      </c>
      <c r="B35">
        <v>396613</v>
      </c>
      <c r="C35">
        <v>80985</v>
      </c>
      <c r="D35">
        <v>448</v>
      </c>
      <c r="E35" s="656">
        <f>D35/C44</f>
        <v>1.1342518748069493E-3</v>
      </c>
      <c r="Q35" s="640">
        <v>1993</v>
      </c>
      <c r="R35" s="642">
        <v>25.98</v>
      </c>
      <c r="S35" s="643"/>
      <c r="T35" s="642">
        <v>26.09</v>
      </c>
      <c r="U35" s="643"/>
      <c r="V35" s="642">
        <v>37.049999999999997</v>
      </c>
      <c r="W35" s="643"/>
      <c r="X35" s="642">
        <v>40.53</v>
      </c>
      <c r="Y35" s="643"/>
      <c r="Z35" s="642">
        <v>49.61</v>
      </c>
      <c r="AA35" s="643"/>
      <c r="AB35" s="642">
        <v>57.27</v>
      </c>
      <c r="AC35" s="643"/>
      <c r="AD35" s="642">
        <v>62.31</v>
      </c>
      <c r="AE35" s="643"/>
      <c r="AF35" s="642">
        <v>60.56</v>
      </c>
      <c r="AG35" s="643"/>
      <c r="AH35" s="642">
        <v>52.68</v>
      </c>
      <c r="AI35" s="643"/>
      <c r="AJ35" s="642">
        <v>42.05</v>
      </c>
      <c r="AK35" s="643"/>
      <c r="AL35" s="642">
        <v>31.02</v>
      </c>
      <c r="AM35" s="643"/>
      <c r="AN35" s="642">
        <v>29.44</v>
      </c>
      <c r="AO35" s="643"/>
      <c r="AP35" s="642">
        <v>42.88</v>
      </c>
    </row>
    <row r="36" spans="1:42" x14ac:dyDescent="0.25">
      <c r="A36">
        <v>2009</v>
      </c>
      <c r="B36">
        <f>169573+36000</f>
        <v>205573</v>
      </c>
      <c r="C36">
        <v>70844</v>
      </c>
      <c r="D36">
        <v>0</v>
      </c>
      <c r="Q36" s="640">
        <v>1994</v>
      </c>
      <c r="R36" s="642">
        <v>30.19</v>
      </c>
      <c r="S36" s="643"/>
      <c r="T36" s="642">
        <v>27.55</v>
      </c>
      <c r="U36" s="643"/>
      <c r="V36" s="642">
        <v>37.32</v>
      </c>
      <c r="W36" s="643"/>
      <c r="X36" s="642">
        <v>41.15</v>
      </c>
      <c r="Y36" s="643"/>
      <c r="Z36" s="642">
        <v>53.84</v>
      </c>
      <c r="AA36" s="643"/>
      <c r="AB36" s="642">
        <v>62.52</v>
      </c>
      <c r="AC36" s="643"/>
      <c r="AD36" s="642">
        <v>64.03</v>
      </c>
      <c r="AE36" s="643"/>
      <c r="AF36" s="642">
        <v>64.5</v>
      </c>
      <c r="AG36" s="643"/>
      <c r="AH36" s="642">
        <v>57.02</v>
      </c>
      <c r="AI36" s="643"/>
      <c r="AJ36" s="642">
        <v>43.84</v>
      </c>
      <c r="AK36" s="643"/>
      <c r="AL36" s="642">
        <v>33.47</v>
      </c>
      <c r="AM36" s="643"/>
      <c r="AN36" s="642">
        <v>31.53</v>
      </c>
      <c r="AO36" s="643"/>
      <c r="AP36" s="642">
        <v>45.58</v>
      </c>
    </row>
    <row r="37" spans="1:42" x14ac:dyDescent="0.25">
      <c r="A37">
        <v>2008</v>
      </c>
      <c r="B37">
        <f>163819+36000</f>
        <v>199819</v>
      </c>
      <c r="C37">
        <f>61482+18250</f>
        <v>79732</v>
      </c>
      <c r="D37">
        <v>0</v>
      </c>
      <c r="Q37" s="640">
        <v>1995</v>
      </c>
      <c r="R37" s="642">
        <v>26.89</v>
      </c>
      <c r="S37" s="643"/>
      <c r="T37" s="642">
        <v>33.25</v>
      </c>
      <c r="U37" s="643"/>
      <c r="V37" s="642">
        <v>35.53</v>
      </c>
      <c r="W37" s="643"/>
      <c r="X37" s="642">
        <v>37.520000000000003</v>
      </c>
      <c r="Y37" s="643"/>
      <c r="Z37" s="642">
        <v>44.66</v>
      </c>
      <c r="AA37" s="643"/>
      <c r="AB37" s="642">
        <v>55.55</v>
      </c>
      <c r="AC37" s="643"/>
      <c r="AD37" s="642">
        <v>62.37</v>
      </c>
      <c r="AE37" s="643"/>
      <c r="AF37" s="642">
        <v>65.84</v>
      </c>
      <c r="AG37" s="643"/>
      <c r="AH37" s="642">
        <v>54.42</v>
      </c>
      <c r="AI37" s="643"/>
      <c r="AJ37" s="642">
        <v>44.74</v>
      </c>
      <c r="AK37" s="643"/>
      <c r="AL37" s="642">
        <v>38.32</v>
      </c>
      <c r="AM37" s="643"/>
      <c r="AN37" s="642">
        <v>29.9</v>
      </c>
      <c r="AO37" s="643"/>
      <c r="AP37" s="642">
        <v>44.08</v>
      </c>
    </row>
    <row r="38" spans="1:42" ht="13" x14ac:dyDescent="0.3">
      <c r="A38">
        <v>2007</v>
      </c>
      <c r="B38">
        <v>205000</v>
      </c>
      <c r="C38">
        <v>82413</v>
      </c>
      <c r="D38">
        <v>0</v>
      </c>
      <c r="H38" s="1009"/>
      <c r="I38" s="923" t="s">
        <v>839</v>
      </c>
      <c r="J38" s="923"/>
      <c r="K38" s="189" t="s">
        <v>821</v>
      </c>
      <c r="L38" s="189" t="s">
        <v>303</v>
      </c>
      <c r="M38" s="20"/>
      <c r="Q38" s="640">
        <v>1996</v>
      </c>
      <c r="R38" s="642">
        <v>24.94</v>
      </c>
      <c r="S38" s="643"/>
      <c r="T38" s="642">
        <v>29.28</v>
      </c>
      <c r="U38" s="643"/>
      <c r="V38" s="642">
        <v>32.18</v>
      </c>
      <c r="W38" s="643"/>
      <c r="X38" s="642">
        <v>41.62</v>
      </c>
      <c r="Y38" s="643"/>
      <c r="Z38" s="642">
        <v>52.92</v>
      </c>
      <c r="AA38" s="643"/>
      <c r="AB38" s="642">
        <v>60.4</v>
      </c>
      <c r="AC38" s="643"/>
      <c r="AD38" s="642">
        <v>65</v>
      </c>
      <c r="AE38" s="643"/>
      <c r="AF38" s="642">
        <v>62.84</v>
      </c>
      <c r="AG38" s="643"/>
      <c r="AH38" s="642">
        <v>53.12</v>
      </c>
      <c r="AI38" s="643"/>
      <c r="AJ38" s="642">
        <v>45.63</v>
      </c>
      <c r="AK38" s="643"/>
      <c r="AL38" s="642">
        <v>36.049999999999997</v>
      </c>
      <c r="AM38" s="643"/>
      <c r="AN38" s="642">
        <v>29.53</v>
      </c>
      <c r="AO38" s="643"/>
      <c r="AP38" s="642">
        <v>44.46</v>
      </c>
    </row>
    <row r="39" spans="1:42" ht="13" x14ac:dyDescent="0.3">
      <c r="A39">
        <v>2006</v>
      </c>
      <c r="B39">
        <v>200000</v>
      </c>
      <c r="C39">
        <v>64800</v>
      </c>
      <c r="D39">
        <v>268</v>
      </c>
      <c r="H39" s="1010"/>
      <c r="I39" s="189" t="s">
        <v>818</v>
      </c>
      <c r="J39" s="189" t="s">
        <v>303</v>
      </c>
      <c r="K39" s="659" t="s">
        <v>836</v>
      </c>
      <c r="L39" s="659" t="s">
        <v>837</v>
      </c>
      <c r="M39" s="657"/>
      <c r="Q39" s="640">
        <v>1997</v>
      </c>
      <c r="R39" s="642">
        <v>25.66</v>
      </c>
      <c r="S39" s="643"/>
      <c r="T39" s="642">
        <v>26.29</v>
      </c>
      <c r="U39" s="643"/>
      <c r="V39" s="642">
        <v>37.08</v>
      </c>
      <c r="W39" s="643"/>
      <c r="X39" s="642">
        <v>36.229999999999997</v>
      </c>
      <c r="Y39" s="643"/>
      <c r="Z39" s="642">
        <v>50.21</v>
      </c>
      <c r="AA39" s="643"/>
      <c r="AB39" s="642">
        <v>59.34</v>
      </c>
      <c r="AC39" s="644" t="s">
        <v>798</v>
      </c>
      <c r="AD39" s="642">
        <v>62.9</v>
      </c>
      <c r="AE39" s="643"/>
      <c r="AF39" s="642">
        <v>62.27</v>
      </c>
      <c r="AG39" s="643"/>
      <c r="AH39" s="642">
        <v>57.77</v>
      </c>
      <c r="AI39" s="643"/>
      <c r="AJ39" s="642">
        <v>45.23</v>
      </c>
      <c r="AK39" s="643"/>
      <c r="AL39" s="642">
        <v>32.65</v>
      </c>
      <c r="AM39" s="643"/>
      <c r="AN39" s="642">
        <v>25.48</v>
      </c>
      <c r="AO39" s="643"/>
      <c r="AP39" s="642">
        <v>43.43</v>
      </c>
    </row>
    <row r="40" spans="1:42" x14ac:dyDescent="0.25">
      <c r="A40">
        <v>2005</v>
      </c>
      <c r="B40">
        <v>200000</v>
      </c>
      <c r="C40">
        <v>64800</v>
      </c>
      <c r="D40">
        <v>0</v>
      </c>
      <c r="H40" s="179" t="s">
        <v>835</v>
      </c>
      <c r="I40" s="658">
        <v>1417000</v>
      </c>
      <c r="J40" s="658">
        <v>394975</v>
      </c>
      <c r="K40" s="540">
        <v>448</v>
      </c>
      <c r="L40" s="660">
        <f>K40/J40</f>
        <v>1.1342490031014622E-3</v>
      </c>
      <c r="M40" s="656"/>
      <c r="Q40" s="640">
        <v>1998</v>
      </c>
      <c r="R40" s="642">
        <v>31.37</v>
      </c>
      <c r="S40" s="643"/>
      <c r="T40" s="642">
        <v>29.14</v>
      </c>
      <c r="U40" s="643"/>
      <c r="V40" s="642">
        <v>33.049999999999997</v>
      </c>
      <c r="W40" s="643"/>
      <c r="X40" s="642">
        <v>38.67</v>
      </c>
      <c r="Y40" s="643"/>
      <c r="Z40" s="642">
        <v>51.81</v>
      </c>
      <c r="AA40" s="643"/>
      <c r="AB40" s="642">
        <v>56.18</v>
      </c>
      <c r="AC40" s="643"/>
      <c r="AD40" s="642">
        <v>65.81</v>
      </c>
      <c r="AE40" s="643"/>
      <c r="AF40" s="642">
        <v>63.69</v>
      </c>
      <c r="AG40" s="643"/>
      <c r="AH40" s="642">
        <v>59.4</v>
      </c>
      <c r="AI40" s="643"/>
      <c r="AJ40" s="642">
        <v>45.44</v>
      </c>
      <c r="AK40" s="643"/>
      <c r="AL40" s="642">
        <v>36.78</v>
      </c>
      <c r="AM40" s="643"/>
      <c r="AN40" s="642">
        <v>25.68</v>
      </c>
      <c r="AO40" s="643"/>
      <c r="AP40" s="642">
        <v>44.75</v>
      </c>
    </row>
    <row r="41" spans="1:42" x14ac:dyDescent="0.25">
      <c r="A41">
        <v>2004</v>
      </c>
      <c r="B41">
        <v>190000</v>
      </c>
      <c r="C41">
        <v>63000</v>
      </c>
      <c r="D41">
        <v>0</v>
      </c>
      <c r="H41" s="179" t="s">
        <v>838</v>
      </c>
      <c r="I41" s="658">
        <v>911000</v>
      </c>
      <c r="J41" s="658">
        <v>312600</v>
      </c>
      <c r="K41" s="540">
        <v>268</v>
      </c>
      <c r="L41" s="660">
        <f>K41/J41</f>
        <v>8.5732565579014716E-4</v>
      </c>
      <c r="Q41" s="640">
        <v>1999</v>
      </c>
      <c r="R41" s="642">
        <v>30.74</v>
      </c>
      <c r="S41" s="643"/>
      <c r="T41" s="642">
        <v>34.04</v>
      </c>
      <c r="U41" s="643"/>
      <c r="V41" s="642">
        <v>39.11</v>
      </c>
      <c r="W41" s="643"/>
      <c r="X41" s="642">
        <v>37.53</v>
      </c>
      <c r="Y41" s="643"/>
      <c r="Z41" s="642">
        <v>49.58</v>
      </c>
      <c r="AA41" s="643"/>
      <c r="AB41" s="642">
        <v>57.63</v>
      </c>
      <c r="AC41" s="643"/>
      <c r="AD41" s="642">
        <v>66.53</v>
      </c>
      <c r="AE41" s="644" t="s">
        <v>798</v>
      </c>
      <c r="AF41" s="642">
        <v>62.74</v>
      </c>
      <c r="AG41" s="643"/>
      <c r="AH41" s="642">
        <v>52.68</v>
      </c>
      <c r="AI41" s="644" t="s">
        <v>799</v>
      </c>
      <c r="AJ41" s="642">
        <v>45.05</v>
      </c>
      <c r="AK41" s="643"/>
      <c r="AL41" s="642">
        <v>41.42</v>
      </c>
      <c r="AM41" s="643"/>
      <c r="AN41" s="642">
        <v>29.24</v>
      </c>
      <c r="AO41" s="643"/>
      <c r="AP41" s="642">
        <v>45.52</v>
      </c>
    </row>
    <row r="42" spans="1:42" ht="13" x14ac:dyDescent="0.3">
      <c r="A42">
        <v>2003</v>
      </c>
      <c r="B42">
        <v>165000</v>
      </c>
      <c r="C42">
        <v>62000</v>
      </c>
      <c r="D42">
        <v>0</v>
      </c>
      <c r="H42" s="91" t="s">
        <v>501</v>
      </c>
      <c r="I42" s="661">
        <f>SUM(I40:I41)</f>
        <v>2328000</v>
      </c>
      <c r="J42" s="661">
        <f>SUM(J40:J41)</f>
        <v>707575</v>
      </c>
      <c r="K42" s="540">
        <f>SUM(K40:K41)</f>
        <v>716</v>
      </c>
      <c r="L42" s="660">
        <f>K42/J42</f>
        <v>1.0119068649966435E-3</v>
      </c>
      <c r="Q42" s="640">
        <v>2000</v>
      </c>
      <c r="R42" s="642">
        <v>30.55</v>
      </c>
      <c r="S42" s="643"/>
      <c r="T42" s="642">
        <v>34.32</v>
      </c>
      <c r="U42" s="644" t="s">
        <v>798</v>
      </c>
      <c r="V42" s="642">
        <v>36.22</v>
      </c>
      <c r="W42" s="644" t="s">
        <v>798</v>
      </c>
      <c r="X42" s="642">
        <v>44.9</v>
      </c>
      <c r="Y42" s="643"/>
      <c r="Z42" s="642">
        <v>53.42</v>
      </c>
      <c r="AA42" s="643"/>
      <c r="AB42" s="642">
        <v>59.77</v>
      </c>
      <c r="AC42" s="643"/>
      <c r="AD42" s="642">
        <v>67.209999999999994</v>
      </c>
      <c r="AE42" s="643"/>
      <c r="AF42" s="642">
        <v>66.56</v>
      </c>
      <c r="AG42" s="643"/>
      <c r="AH42" s="642">
        <v>55.88</v>
      </c>
      <c r="AI42" s="643"/>
      <c r="AJ42" s="642">
        <v>43.79</v>
      </c>
      <c r="AK42" s="643"/>
      <c r="AL42" s="642">
        <v>26.6</v>
      </c>
      <c r="AM42" s="643"/>
      <c r="AN42" s="642">
        <v>26.11</v>
      </c>
      <c r="AO42" s="643"/>
      <c r="AP42" s="642">
        <v>45.44</v>
      </c>
    </row>
    <row r="43" spans="1:42" x14ac:dyDescent="0.25">
      <c r="A43">
        <v>2002</v>
      </c>
      <c r="B43">
        <v>156000</v>
      </c>
      <c r="C43">
        <v>58000</v>
      </c>
      <c r="Q43" s="645"/>
      <c r="R43" s="642"/>
      <c r="S43" s="643"/>
      <c r="T43" s="642"/>
      <c r="U43" s="644"/>
      <c r="V43" s="642"/>
      <c r="W43" s="644"/>
      <c r="X43" s="642"/>
      <c r="Y43" s="643"/>
      <c r="Z43" s="642"/>
      <c r="AA43" s="643"/>
      <c r="AB43" s="642"/>
      <c r="AC43" s="643"/>
      <c r="AD43" s="642"/>
      <c r="AE43" s="643"/>
      <c r="AF43" s="642"/>
      <c r="AG43" s="643"/>
      <c r="AH43" s="642"/>
      <c r="AI43" s="643"/>
      <c r="AJ43" s="642"/>
      <c r="AK43" s="643"/>
      <c r="AL43" s="642"/>
      <c r="AM43" s="643"/>
      <c r="AN43" s="642"/>
      <c r="AO43" s="643"/>
      <c r="AP43" s="642"/>
    </row>
    <row r="44" spans="1:42" x14ac:dyDescent="0.25">
      <c r="B44">
        <f>SUM(B34:B38)</f>
        <v>1417005</v>
      </c>
      <c r="C44">
        <f>SUM(C34:C38)</f>
        <v>394974</v>
      </c>
      <c r="D44">
        <f>SUM(D34:D42)</f>
        <v>716</v>
      </c>
      <c r="E44" s="656">
        <f>D44/C44</f>
        <v>1.8127775499146778E-3</v>
      </c>
      <c r="Q44" s="640">
        <v>2002</v>
      </c>
      <c r="R44" s="642">
        <v>27.1</v>
      </c>
      <c r="S44" s="643"/>
      <c r="T44" s="642">
        <v>26.66</v>
      </c>
      <c r="U44" s="643"/>
      <c r="V44" s="642">
        <v>30.84</v>
      </c>
      <c r="W44" s="643"/>
      <c r="X44" s="642">
        <v>43.77</v>
      </c>
      <c r="Y44" s="643"/>
      <c r="Z44" s="642">
        <v>48.94</v>
      </c>
      <c r="AA44" s="643"/>
      <c r="AB44" s="642">
        <v>62.18</v>
      </c>
      <c r="AC44" s="643"/>
      <c r="AD44" s="642">
        <v>67.87</v>
      </c>
      <c r="AE44" s="643"/>
      <c r="AF44" s="642">
        <v>63.48</v>
      </c>
      <c r="AG44" s="643"/>
      <c r="AH44" s="642">
        <v>55.5</v>
      </c>
      <c r="AI44" s="643"/>
      <c r="AJ44" s="642">
        <v>39.82</v>
      </c>
      <c r="AK44" s="643"/>
      <c r="AL44" s="642">
        <v>33</v>
      </c>
      <c r="AM44" s="643"/>
      <c r="AN44" s="642">
        <v>30.27</v>
      </c>
      <c r="AO44" s="643"/>
      <c r="AP44" s="642">
        <v>44.12</v>
      </c>
    </row>
    <row r="45" spans="1:42" x14ac:dyDescent="0.25">
      <c r="Q45" s="640">
        <v>2003</v>
      </c>
      <c r="R45" s="642">
        <v>33.18</v>
      </c>
      <c r="S45" s="643"/>
      <c r="T45" s="642">
        <v>24.61</v>
      </c>
      <c r="U45" s="643"/>
      <c r="V45" s="642">
        <v>34.29</v>
      </c>
      <c r="W45" s="643"/>
      <c r="X45" s="642">
        <v>43.77</v>
      </c>
      <c r="Y45" s="643"/>
      <c r="Z45" s="642">
        <v>50.15</v>
      </c>
      <c r="AA45" s="643"/>
      <c r="AB45" s="642">
        <v>56.52</v>
      </c>
      <c r="AC45" s="643"/>
      <c r="AD45" s="642">
        <v>67.849999999999994</v>
      </c>
      <c r="AE45" s="643"/>
      <c r="AF45" s="642">
        <v>65.819999999999993</v>
      </c>
      <c r="AG45" s="643"/>
      <c r="AH45" s="642">
        <v>54.25</v>
      </c>
      <c r="AI45" s="643"/>
      <c r="AJ45" s="642">
        <v>48.81</v>
      </c>
      <c r="AK45" s="643"/>
      <c r="AL45" s="642">
        <v>32.75</v>
      </c>
      <c r="AM45" s="643"/>
      <c r="AN45" s="642">
        <v>31.21</v>
      </c>
      <c r="AO45" s="643"/>
      <c r="AP45" s="642">
        <v>45.27</v>
      </c>
    </row>
    <row r="46" spans="1:42" x14ac:dyDescent="0.25">
      <c r="Q46" s="640">
        <v>2004</v>
      </c>
      <c r="R46" s="642">
        <v>28.48</v>
      </c>
      <c r="S46" s="643"/>
      <c r="T46" s="642">
        <v>25.4</v>
      </c>
      <c r="U46" s="643"/>
      <c r="V46" s="642">
        <v>41.48</v>
      </c>
      <c r="W46" s="643"/>
      <c r="X46" s="642">
        <v>42.6</v>
      </c>
      <c r="Y46" s="643"/>
      <c r="Z46" s="642">
        <v>51.77</v>
      </c>
      <c r="AA46" s="643"/>
      <c r="AB46" s="642">
        <v>56.93</v>
      </c>
      <c r="AC46" s="643"/>
      <c r="AD46" s="642">
        <v>62.15</v>
      </c>
      <c r="AE46" s="643"/>
      <c r="AF46" s="642">
        <v>59.84</v>
      </c>
      <c r="AG46" s="643"/>
      <c r="AH46" s="642">
        <v>55.22</v>
      </c>
      <c r="AI46" s="643"/>
      <c r="AJ46" s="642">
        <v>46.02</v>
      </c>
      <c r="AK46" s="643"/>
      <c r="AL46" s="642">
        <v>34.5</v>
      </c>
      <c r="AM46" s="643"/>
      <c r="AN46" s="642">
        <v>31.21</v>
      </c>
      <c r="AO46" s="643"/>
      <c r="AP46" s="642">
        <v>44.63</v>
      </c>
    </row>
    <row r="47" spans="1:42" x14ac:dyDescent="0.25">
      <c r="Q47" s="640">
        <v>2005</v>
      </c>
      <c r="R47" s="642">
        <v>32.840000000000003</v>
      </c>
      <c r="S47" s="643"/>
      <c r="T47" s="642">
        <v>31.46</v>
      </c>
      <c r="U47" s="643"/>
      <c r="V47" s="642">
        <v>34.450000000000003</v>
      </c>
      <c r="W47" s="643"/>
      <c r="X47" s="642">
        <v>39.950000000000003</v>
      </c>
      <c r="Y47" s="643"/>
      <c r="Z47" s="642">
        <v>49.31</v>
      </c>
      <c r="AA47" s="643"/>
      <c r="AB47" s="642">
        <v>58.42</v>
      </c>
      <c r="AC47" s="643"/>
      <c r="AD47" s="642">
        <v>67.02</v>
      </c>
      <c r="AE47" s="643"/>
      <c r="AF47" s="642">
        <v>61.68</v>
      </c>
      <c r="AG47" s="643"/>
      <c r="AH47" s="642">
        <v>57.12</v>
      </c>
      <c r="AI47" s="643"/>
      <c r="AJ47" s="642">
        <v>45.73</v>
      </c>
      <c r="AK47" s="643"/>
      <c r="AL47" s="642">
        <v>38.369999999999997</v>
      </c>
      <c r="AM47" s="643"/>
      <c r="AN47" s="642">
        <v>26.94</v>
      </c>
      <c r="AO47" s="643"/>
      <c r="AP47" s="642">
        <v>45.27</v>
      </c>
    </row>
    <row r="48" spans="1:42" x14ac:dyDescent="0.25">
      <c r="Q48" s="640">
        <v>2006</v>
      </c>
      <c r="R48" s="642">
        <v>32.369999999999997</v>
      </c>
      <c r="S48" s="643"/>
      <c r="T48" s="642">
        <v>27.5</v>
      </c>
      <c r="U48" s="643"/>
      <c r="V48" s="642">
        <v>33.229999999999997</v>
      </c>
      <c r="W48" s="643"/>
      <c r="X48" s="642">
        <v>45.37</v>
      </c>
      <c r="Y48" s="643"/>
      <c r="Z48" s="642">
        <v>52.1</v>
      </c>
      <c r="AA48" s="643"/>
      <c r="AB48" s="642">
        <v>61.83</v>
      </c>
      <c r="AC48" s="644" t="s">
        <v>801</v>
      </c>
      <c r="AD48" s="642">
        <v>65.290000000000006</v>
      </c>
      <c r="AE48" s="644" t="s">
        <v>802</v>
      </c>
      <c r="AF48" s="642" t="s">
        <v>795</v>
      </c>
      <c r="AG48" s="644" t="s">
        <v>796</v>
      </c>
      <c r="AH48" s="642" t="s">
        <v>795</v>
      </c>
      <c r="AI48" s="644" t="s">
        <v>796</v>
      </c>
      <c r="AJ48" s="642" t="s">
        <v>795</v>
      </c>
      <c r="AK48" s="644" t="s">
        <v>796</v>
      </c>
      <c r="AL48" s="642" t="s">
        <v>795</v>
      </c>
      <c r="AM48" s="644" t="s">
        <v>796</v>
      </c>
      <c r="AN48" s="642" t="s">
        <v>795</v>
      </c>
      <c r="AO48" s="644" t="s">
        <v>796</v>
      </c>
      <c r="AP48" s="642">
        <v>42.07</v>
      </c>
    </row>
    <row r="49" spans="17:43" x14ac:dyDescent="0.25">
      <c r="Q49" s="640">
        <v>2007</v>
      </c>
      <c r="R49" s="642"/>
      <c r="S49" s="643"/>
      <c r="T49" s="642"/>
      <c r="U49" s="643"/>
      <c r="V49" s="642"/>
      <c r="W49" s="643"/>
      <c r="X49" s="642"/>
      <c r="Y49" s="643"/>
      <c r="Z49" s="642"/>
      <c r="AA49" s="643"/>
      <c r="AB49" s="642"/>
      <c r="AC49" s="644"/>
      <c r="AD49" s="642"/>
      <c r="AE49" s="644"/>
      <c r="AF49" s="642"/>
      <c r="AG49" s="644"/>
      <c r="AH49" s="642"/>
      <c r="AI49" s="644"/>
      <c r="AJ49" s="642"/>
      <c r="AK49" s="644"/>
      <c r="AL49" s="642"/>
      <c r="AM49" s="644"/>
      <c r="AN49" s="642"/>
      <c r="AO49" s="644"/>
      <c r="AP49" s="642"/>
    </row>
    <row r="50" spans="17:43" x14ac:dyDescent="0.25">
      <c r="Q50" s="640">
        <v>2008</v>
      </c>
      <c r="R50" s="642"/>
      <c r="S50" s="643"/>
      <c r="T50" s="642"/>
      <c r="U50" s="643"/>
      <c r="V50" s="642"/>
      <c r="W50" s="643"/>
      <c r="X50" s="642"/>
      <c r="Y50" s="643"/>
      <c r="Z50" s="642"/>
      <c r="AA50" s="643"/>
      <c r="AB50" s="642"/>
      <c r="AC50" s="644"/>
      <c r="AD50" s="642"/>
      <c r="AE50" s="644"/>
      <c r="AF50" s="642"/>
      <c r="AG50" s="644"/>
      <c r="AH50" s="642"/>
      <c r="AI50" s="644"/>
      <c r="AJ50" s="642"/>
      <c r="AK50" s="644"/>
      <c r="AL50" s="642"/>
      <c r="AM50" s="644"/>
      <c r="AN50" s="642"/>
      <c r="AO50" s="644"/>
      <c r="AP50" s="642"/>
    </row>
    <row r="51" spans="17:43" x14ac:dyDescent="0.25">
      <c r="Q51" s="640">
        <v>2009</v>
      </c>
      <c r="R51" s="642"/>
      <c r="S51" s="643"/>
      <c r="T51" s="642"/>
      <c r="U51" s="643"/>
      <c r="V51" s="642"/>
      <c r="W51" s="643"/>
      <c r="X51" s="642"/>
      <c r="Y51" s="643"/>
      <c r="Z51" s="642"/>
      <c r="AA51" s="643"/>
      <c r="AB51" s="642"/>
      <c r="AC51" s="644"/>
      <c r="AD51" s="642"/>
      <c r="AE51" s="644"/>
      <c r="AF51" s="642"/>
      <c r="AG51" s="644"/>
      <c r="AH51" s="642"/>
      <c r="AI51" s="644"/>
      <c r="AJ51" s="642"/>
      <c r="AK51" s="644"/>
      <c r="AL51" s="642"/>
      <c r="AM51" s="644"/>
      <c r="AN51" s="642"/>
      <c r="AO51" s="644"/>
      <c r="AP51" s="642"/>
    </row>
    <row r="52" spans="17:43" x14ac:dyDescent="0.25">
      <c r="Q52" s="639">
        <v>2010</v>
      </c>
      <c r="R52" s="641"/>
      <c r="S52" s="643"/>
      <c r="T52" s="641"/>
      <c r="U52" s="643"/>
      <c r="V52" s="641"/>
      <c r="W52" s="643"/>
      <c r="X52" s="641"/>
      <c r="Y52" s="643"/>
      <c r="Z52" s="641"/>
      <c r="AA52" s="643"/>
      <c r="AB52" s="641"/>
      <c r="AC52" s="643"/>
      <c r="AG52" s="643"/>
      <c r="AH52" s="641"/>
      <c r="AI52" s="643"/>
      <c r="AJ52" s="641"/>
      <c r="AK52" s="643"/>
      <c r="AL52" s="641"/>
      <c r="AM52" s="643"/>
      <c r="AN52" s="641"/>
      <c r="AO52" s="643"/>
      <c r="AP52" s="641"/>
    </row>
    <row r="53" spans="17:43" x14ac:dyDescent="0.25">
      <c r="Q53" s="639"/>
      <c r="R53" s="641"/>
      <c r="S53" s="643"/>
      <c r="T53" s="641"/>
      <c r="U53" s="643"/>
      <c r="V53" s="641"/>
      <c r="W53" s="643"/>
      <c r="X53" s="641"/>
      <c r="Y53" s="643"/>
      <c r="Z53" s="641"/>
      <c r="AA53" s="643"/>
      <c r="AB53" s="641"/>
      <c r="AC53" s="643"/>
      <c r="AD53" s="641">
        <f>PERCENTILE(AD2:AD48,0.9)</f>
        <v>66.823999999999998</v>
      </c>
      <c r="AE53" s="643"/>
      <c r="AF53" s="641">
        <f>PERCENTILE(AF2:AF48,0.9)</f>
        <v>64.465000000000003</v>
      </c>
      <c r="AG53" s="643"/>
      <c r="AH53" s="641"/>
      <c r="AI53" s="643"/>
      <c r="AJ53" s="641"/>
      <c r="AK53" s="643"/>
      <c r="AL53" s="641"/>
      <c r="AM53" s="643"/>
      <c r="AN53" s="641"/>
      <c r="AO53" s="643"/>
      <c r="AP53" s="641"/>
    </row>
    <row r="54" spans="17:43" ht="13.25" customHeight="1" x14ac:dyDescent="0.25">
      <c r="Q54" s="1004" t="s">
        <v>803</v>
      </c>
      <c r="R54" s="1004"/>
      <c r="S54" s="1004"/>
      <c r="T54" s="1004"/>
      <c r="U54" s="1004"/>
      <c r="V54" s="1004"/>
      <c r="W54" s="1004"/>
      <c r="X54" s="1004"/>
      <c r="Y54" s="1004"/>
      <c r="Z54" s="1004"/>
      <c r="AA54" s="1004"/>
      <c r="AB54" s="1004"/>
      <c r="AC54" s="1004"/>
      <c r="AD54" s="1004"/>
      <c r="AE54" s="1004"/>
      <c r="AF54" s="1004"/>
      <c r="AG54" s="1004"/>
      <c r="AH54" s="1004"/>
      <c r="AI54" s="1004"/>
      <c r="AJ54" s="1004"/>
      <c r="AK54" s="1004"/>
      <c r="AL54" s="1004"/>
      <c r="AM54" s="1004"/>
      <c r="AN54" s="1004"/>
      <c r="AO54" s="1004"/>
      <c r="AP54" s="1004"/>
    </row>
    <row r="55" spans="17:43" x14ac:dyDescent="0.25">
      <c r="Q55" s="640" t="s">
        <v>804</v>
      </c>
      <c r="R55" s="642">
        <v>27.4</v>
      </c>
      <c r="S55" s="643"/>
      <c r="T55" s="642">
        <v>28.92</v>
      </c>
      <c r="U55" s="643"/>
      <c r="V55" s="642">
        <v>33.92</v>
      </c>
      <c r="W55" s="643"/>
      <c r="X55" s="642">
        <v>41.2</v>
      </c>
      <c r="Y55" s="643"/>
      <c r="Z55" s="642">
        <v>49.54</v>
      </c>
      <c r="AA55" s="643"/>
      <c r="AB55" s="642">
        <v>58.24</v>
      </c>
      <c r="AC55" s="643"/>
      <c r="AD55" s="642">
        <v>64.09</v>
      </c>
      <c r="AE55" s="643"/>
      <c r="AF55" s="642">
        <v>62.36</v>
      </c>
      <c r="AG55" s="643"/>
      <c r="AH55" s="642">
        <v>54.63</v>
      </c>
      <c r="AI55" s="643"/>
      <c r="AJ55" s="642">
        <v>44.65</v>
      </c>
      <c r="AK55" s="643"/>
      <c r="AL55" s="642">
        <v>34.340000000000003</v>
      </c>
      <c r="AM55" s="643"/>
      <c r="AN55" s="642">
        <v>28.03</v>
      </c>
      <c r="AO55" s="643"/>
      <c r="AP55" s="642">
        <v>44.02</v>
      </c>
    </row>
    <row r="56" spans="17:43" x14ac:dyDescent="0.25">
      <c r="Q56" s="640" t="s">
        <v>805</v>
      </c>
      <c r="R56" s="642">
        <v>3.55</v>
      </c>
      <c r="S56" s="643"/>
      <c r="T56" s="642">
        <v>3.14</v>
      </c>
      <c r="U56" s="643"/>
      <c r="V56" s="642">
        <v>3.64</v>
      </c>
      <c r="W56" s="643"/>
      <c r="X56" s="642">
        <v>3.16</v>
      </c>
      <c r="Y56" s="643"/>
      <c r="Z56" s="642">
        <v>2.5</v>
      </c>
      <c r="AA56" s="643"/>
      <c r="AB56" s="642">
        <v>2.34</v>
      </c>
      <c r="AC56" s="643"/>
      <c r="AD56" s="642">
        <v>1.91</v>
      </c>
      <c r="AE56" s="643"/>
      <c r="AF56" s="642">
        <v>1.97</v>
      </c>
      <c r="AG56" s="643"/>
      <c r="AH56" s="642">
        <v>2.5499999999999998</v>
      </c>
      <c r="AI56" s="643"/>
      <c r="AJ56" s="642">
        <v>2.72</v>
      </c>
      <c r="AK56" s="643"/>
      <c r="AL56" s="642">
        <v>3.35</v>
      </c>
      <c r="AM56" s="643"/>
      <c r="AN56" s="642">
        <v>3.12</v>
      </c>
      <c r="AO56" s="643"/>
      <c r="AP56" s="642">
        <v>1.02</v>
      </c>
    </row>
    <row r="57" spans="17:43" x14ac:dyDescent="0.25">
      <c r="Q57" s="640" t="s">
        <v>806</v>
      </c>
      <c r="R57" s="642">
        <v>-0.35</v>
      </c>
      <c r="S57" s="643"/>
      <c r="T57" s="642">
        <v>-0.21</v>
      </c>
      <c r="U57" s="643"/>
      <c r="V57" s="642">
        <v>-0.33</v>
      </c>
      <c r="W57" s="643"/>
      <c r="X57" s="642">
        <v>-0.66</v>
      </c>
      <c r="Y57" s="643"/>
      <c r="Z57" s="642">
        <v>-0.34</v>
      </c>
      <c r="AA57" s="643"/>
      <c r="AB57" s="642">
        <v>-0.06</v>
      </c>
      <c r="AC57" s="643"/>
      <c r="AD57" s="642">
        <v>0.44</v>
      </c>
      <c r="AE57" s="643"/>
      <c r="AF57" s="642">
        <v>0.63</v>
      </c>
      <c r="AG57" s="643"/>
      <c r="AH57" s="642">
        <v>-7.0000000000000007E-2</v>
      </c>
      <c r="AI57" s="643"/>
      <c r="AJ57" s="642">
        <v>-0.84</v>
      </c>
      <c r="AK57" s="643"/>
      <c r="AL57" s="642">
        <v>-0.27</v>
      </c>
      <c r="AM57" s="643"/>
      <c r="AN57" s="642">
        <v>-0.12</v>
      </c>
      <c r="AO57" s="643"/>
      <c r="AP57" s="642">
        <v>-0.02</v>
      </c>
    </row>
    <row r="58" spans="17:43" x14ac:dyDescent="0.25">
      <c r="Q58" s="640" t="s">
        <v>807</v>
      </c>
      <c r="R58" s="642">
        <v>34.47</v>
      </c>
      <c r="S58" s="643"/>
      <c r="T58" s="642">
        <v>34.32</v>
      </c>
      <c r="U58" s="643"/>
      <c r="V58" s="642">
        <v>41.48</v>
      </c>
      <c r="W58" s="643"/>
      <c r="X58" s="642">
        <v>46.15</v>
      </c>
      <c r="Y58" s="643"/>
      <c r="Z58" s="642">
        <v>53.84</v>
      </c>
      <c r="AA58" s="643"/>
      <c r="AB58" s="642">
        <v>62.52</v>
      </c>
      <c r="AC58" s="643"/>
      <c r="AD58" s="642">
        <v>67.87</v>
      </c>
      <c r="AE58" s="643"/>
      <c r="AF58" s="642">
        <v>67.58</v>
      </c>
      <c r="AG58" s="643"/>
      <c r="AH58" s="642">
        <v>59.78</v>
      </c>
      <c r="AI58" s="643"/>
      <c r="AJ58" s="642">
        <v>50.5</v>
      </c>
      <c r="AK58" s="643"/>
      <c r="AL58" s="642">
        <v>41.42</v>
      </c>
      <c r="AM58" s="643"/>
      <c r="AN58" s="642">
        <v>35.9</v>
      </c>
      <c r="AO58" s="643"/>
      <c r="AP58" s="642">
        <v>45.72</v>
      </c>
    </row>
    <row r="59" spans="17:43" x14ac:dyDescent="0.25">
      <c r="Q59" s="640" t="s">
        <v>808</v>
      </c>
      <c r="R59" s="642">
        <v>17.75</v>
      </c>
      <c r="S59" s="643"/>
      <c r="T59" s="642">
        <v>20.95</v>
      </c>
      <c r="U59" s="643"/>
      <c r="V59" s="642">
        <v>23.79</v>
      </c>
      <c r="W59" s="643"/>
      <c r="X59" s="642">
        <v>33.28</v>
      </c>
      <c r="Y59" s="643"/>
      <c r="Z59" s="642">
        <v>43.45</v>
      </c>
      <c r="AA59" s="643"/>
      <c r="AB59" s="642">
        <v>53.02</v>
      </c>
      <c r="AC59" s="643"/>
      <c r="AD59" s="642">
        <v>61.11</v>
      </c>
      <c r="AE59" s="643"/>
      <c r="AF59" s="642">
        <v>59.15</v>
      </c>
      <c r="AG59" s="643"/>
      <c r="AH59" s="642">
        <v>49.25</v>
      </c>
      <c r="AI59" s="643"/>
      <c r="AJ59" s="642">
        <v>36.42</v>
      </c>
      <c r="AK59" s="643"/>
      <c r="AL59" s="642">
        <v>26.6</v>
      </c>
      <c r="AM59" s="643"/>
      <c r="AN59" s="642">
        <v>21.02</v>
      </c>
      <c r="AO59" s="643"/>
      <c r="AP59" s="642">
        <v>41.84</v>
      </c>
    </row>
    <row r="60" spans="17:43" x14ac:dyDescent="0.25">
      <c r="Q60" s="640" t="s">
        <v>809</v>
      </c>
      <c r="R60" s="642">
        <v>44</v>
      </c>
      <c r="S60" s="643"/>
      <c r="T60" s="642">
        <v>44</v>
      </c>
      <c r="U60" s="643"/>
      <c r="V60" s="642">
        <v>43</v>
      </c>
      <c r="W60" s="643"/>
      <c r="X60" s="642">
        <v>42</v>
      </c>
      <c r="Y60" s="643"/>
      <c r="Z60" s="642">
        <v>43</v>
      </c>
      <c r="AA60" s="643"/>
      <c r="AB60" s="642">
        <v>45</v>
      </c>
      <c r="AC60" s="643"/>
      <c r="AD60" s="642">
        <v>45</v>
      </c>
      <c r="AE60" s="643"/>
      <c r="AF60" s="642">
        <v>43</v>
      </c>
      <c r="AG60" s="643"/>
      <c r="AH60" s="642">
        <v>42</v>
      </c>
      <c r="AI60" s="643"/>
      <c r="AJ60" s="642">
        <v>45</v>
      </c>
      <c r="AK60" s="643"/>
      <c r="AL60" s="642">
        <v>44</v>
      </c>
      <c r="AM60" s="643"/>
      <c r="AN60" s="642">
        <v>43</v>
      </c>
      <c r="AO60" s="643"/>
      <c r="AP60" s="642">
        <v>37</v>
      </c>
    </row>
    <row r="63" spans="17:43" ht="13.25" customHeight="1" x14ac:dyDescent="0.25">
      <c r="Q63" s="638" t="s">
        <v>781</v>
      </c>
      <c r="R63" s="1004" t="s">
        <v>782</v>
      </c>
      <c r="S63" s="1004"/>
      <c r="T63" s="1004" t="s">
        <v>783</v>
      </c>
      <c r="U63" s="1004"/>
      <c r="V63" s="1004" t="s">
        <v>784</v>
      </c>
      <c r="W63" s="1004"/>
      <c r="X63" s="1004" t="s">
        <v>785</v>
      </c>
      <c r="Y63" s="1004"/>
      <c r="Z63" s="1004" t="s">
        <v>786</v>
      </c>
      <c r="AA63" s="1004"/>
      <c r="AB63" s="1004" t="s">
        <v>787</v>
      </c>
      <c r="AC63" s="1004"/>
      <c r="AD63" s="1004" t="s">
        <v>788</v>
      </c>
      <c r="AE63" s="1004"/>
      <c r="AF63" s="1004" t="s">
        <v>789</v>
      </c>
      <c r="AG63" s="1004"/>
      <c r="AH63" s="1004" t="s">
        <v>790</v>
      </c>
      <c r="AI63" s="1004"/>
      <c r="AJ63" s="1004" t="s">
        <v>791</v>
      </c>
      <c r="AK63" s="1004"/>
      <c r="AL63" s="1004" t="s">
        <v>792</v>
      </c>
      <c r="AM63" s="1004"/>
      <c r="AN63" s="1004" t="s">
        <v>793</v>
      </c>
      <c r="AO63" s="1004"/>
      <c r="AP63" s="1004" t="s">
        <v>794</v>
      </c>
      <c r="AQ63" s="1004"/>
    </row>
    <row r="64" spans="17:43" x14ac:dyDescent="0.25">
      <c r="Q64" s="640">
        <v>1961</v>
      </c>
      <c r="R64" s="642" t="s">
        <v>795</v>
      </c>
      <c r="S64" s="644" t="s">
        <v>796</v>
      </c>
      <c r="T64" s="642" t="s">
        <v>795</v>
      </c>
      <c r="U64" s="644" t="s">
        <v>796</v>
      </c>
      <c r="V64" s="642" t="s">
        <v>795</v>
      </c>
      <c r="W64" s="644" t="s">
        <v>796</v>
      </c>
      <c r="X64" s="642" t="s">
        <v>795</v>
      </c>
      <c r="Y64" s="644" t="s">
        <v>796</v>
      </c>
      <c r="Z64" s="642">
        <v>78.569999999999993</v>
      </c>
      <c r="AA64" s="644" t="s">
        <v>797</v>
      </c>
      <c r="AB64" s="642">
        <v>76.930000000000007</v>
      </c>
      <c r="AC64" s="643"/>
      <c r="AD64" s="642">
        <v>80.900000000000006</v>
      </c>
      <c r="AE64" s="643"/>
      <c r="AF64" s="642">
        <v>78.42</v>
      </c>
      <c r="AG64" s="643"/>
      <c r="AH64" s="642">
        <v>65.33</v>
      </c>
      <c r="AI64" s="643"/>
      <c r="AJ64" s="642">
        <v>62.61</v>
      </c>
      <c r="AK64" s="643"/>
      <c r="AL64" s="642">
        <v>48.67</v>
      </c>
      <c r="AM64" s="643"/>
      <c r="AN64" s="642">
        <v>40.74</v>
      </c>
      <c r="AO64" s="643"/>
      <c r="AP64" s="642">
        <v>64.8</v>
      </c>
    </row>
    <row r="65" spans="17:42" x14ac:dyDescent="0.25">
      <c r="Q65" s="640">
        <v>1962</v>
      </c>
      <c r="R65" s="642">
        <v>42.26</v>
      </c>
      <c r="S65" s="643"/>
      <c r="T65" s="642">
        <v>47.36</v>
      </c>
      <c r="U65" s="643"/>
      <c r="V65" s="642">
        <v>49.35</v>
      </c>
      <c r="W65" s="643"/>
      <c r="X65" s="642">
        <v>63.57</v>
      </c>
      <c r="Y65" s="643"/>
      <c r="Z65" s="642">
        <v>72.84</v>
      </c>
      <c r="AA65" s="643"/>
      <c r="AB65" s="642">
        <v>77.099999999999994</v>
      </c>
      <c r="AC65" s="643"/>
      <c r="AD65" s="642">
        <v>86.77</v>
      </c>
      <c r="AE65" s="643"/>
      <c r="AF65" s="642"/>
      <c r="AG65" s="644" t="s">
        <v>796</v>
      </c>
      <c r="AH65" s="642" t="s">
        <v>795</v>
      </c>
      <c r="AI65" s="644" t="s">
        <v>796</v>
      </c>
      <c r="AJ65" s="642">
        <v>68.87</v>
      </c>
      <c r="AK65" s="643"/>
      <c r="AL65" s="642">
        <v>57.23</v>
      </c>
      <c r="AM65" s="643"/>
      <c r="AN65" s="642">
        <v>50.61</v>
      </c>
      <c r="AO65" s="643"/>
      <c r="AP65" s="642">
        <v>61.6</v>
      </c>
    </row>
    <row r="66" spans="17:42" x14ac:dyDescent="0.25">
      <c r="Q66" s="640">
        <v>1963</v>
      </c>
      <c r="R66" s="642">
        <v>41.03</v>
      </c>
      <c r="S66" s="643"/>
      <c r="T66" s="642">
        <v>50.14</v>
      </c>
      <c r="U66" s="643"/>
      <c r="V66" s="642">
        <v>50.13</v>
      </c>
      <c r="W66" s="643"/>
      <c r="X66" s="642">
        <v>60.63</v>
      </c>
      <c r="Y66" s="643"/>
      <c r="Z66" s="642">
        <v>72.290000000000006</v>
      </c>
      <c r="AA66" s="643"/>
      <c r="AB66" s="642">
        <v>78.83</v>
      </c>
      <c r="AC66" s="643"/>
      <c r="AD66" s="642">
        <v>85.1</v>
      </c>
      <c r="AE66" s="643"/>
      <c r="AF66" s="642">
        <v>78.39</v>
      </c>
      <c r="AG66" s="643"/>
      <c r="AH66" s="642">
        <v>77.53</v>
      </c>
      <c r="AI66" s="643"/>
      <c r="AJ66" s="642">
        <v>69.81</v>
      </c>
      <c r="AK66" s="643"/>
      <c r="AL66" s="642">
        <v>57.67</v>
      </c>
      <c r="AM66" s="643"/>
      <c r="AN66" s="642">
        <v>46.19</v>
      </c>
      <c r="AO66" s="643"/>
      <c r="AP66" s="642">
        <v>63.98</v>
      </c>
    </row>
    <row r="67" spans="17:42" x14ac:dyDescent="0.25">
      <c r="Q67" s="640">
        <v>1964</v>
      </c>
      <c r="R67" s="642">
        <v>44.9</v>
      </c>
      <c r="S67" s="643"/>
      <c r="T67" s="642">
        <v>41.48</v>
      </c>
      <c r="U67" s="643"/>
      <c r="V67" s="642">
        <v>44.61</v>
      </c>
      <c r="W67" s="643"/>
      <c r="X67" s="642">
        <v>56.1</v>
      </c>
      <c r="Y67" s="643"/>
      <c r="Z67" s="642">
        <v>67.58</v>
      </c>
      <c r="AA67" s="643"/>
      <c r="AB67" s="642">
        <v>73.099999999999994</v>
      </c>
      <c r="AC67" s="643"/>
      <c r="AD67" s="642">
        <v>84.03</v>
      </c>
      <c r="AE67" s="643"/>
      <c r="AF67" s="642">
        <v>78.55</v>
      </c>
      <c r="AG67" s="643"/>
      <c r="AH67" s="642">
        <v>73.8</v>
      </c>
      <c r="AI67" s="643"/>
      <c r="AJ67" s="642">
        <v>67.319999999999993</v>
      </c>
      <c r="AK67" s="643"/>
      <c r="AL67" s="642">
        <v>52.47</v>
      </c>
      <c r="AM67" s="643"/>
      <c r="AN67" s="642">
        <v>46.55</v>
      </c>
      <c r="AO67" s="643"/>
      <c r="AP67" s="642">
        <v>60.87</v>
      </c>
    </row>
    <row r="68" spans="17:42" x14ac:dyDescent="0.25">
      <c r="Q68" s="640">
        <v>1965</v>
      </c>
      <c r="R68" s="642">
        <v>47.71</v>
      </c>
      <c r="S68" s="643"/>
      <c r="T68" s="642">
        <v>47.18</v>
      </c>
      <c r="U68" s="643"/>
      <c r="V68" s="642">
        <v>40.1</v>
      </c>
      <c r="W68" s="643"/>
      <c r="X68" s="642">
        <v>58.9</v>
      </c>
      <c r="Y68" s="643"/>
      <c r="Z68" s="642">
        <v>65</v>
      </c>
      <c r="AA68" s="643"/>
      <c r="AB68" s="642">
        <v>72</v>
      </c>
      <c r="AC68" s="643"/>
      <c r="AD68" s="642">
        <v>79.52</v>
      </c>
      <c r="AE68" s="643"/>
      <c r="AF68" s="642">
        <v>77.290000000000006</v>
      </c>
      <c r="AG68" s="643"/>
      <c r="AH68" s="642">
        <v>64.7</v>
      </c>
      <c r="AI68" s="643"/>
      <c r="AJ68" s="642">
        <v>68.680000000000007</v>
      </c>
      <c r="AK68" s="643"/>
      <c r="AL68" s="642">
        <v>58.5</v>
      </c>
      <c r="AM68" s="643"/>
      <c r="AN68" s="642">
        <v>51.19</v>
      </c>
      <c r="AO68" s="643"/>
      <c r="AP68" s="642">
        <v>60.9</v>
      </c>
    </row>
    <row r="69" spans="17:42" x14ac:dyDescent="0.25">
      <c r="Q69" s="640">
        <v>1966</v>
      </c>
      <c r="R69" s="642">
        <v>44.74</v>
      </c>
      <c r="S69" s="643"/>
      <c r="T69" s="642">
        <v>42.54</v>
      </c>
      <c r="U69" s="643"/>
      <c r="V69" s="642">
        <v>55.84</v>
      </c>
      <c r="W69" s="643"/>
      <c r="X69" s="642">
        <v>57.67</v>
      </c>
      <c r="Y69" s="643"/>
      <c r="Z69" s="642">
        <v>70.55</v>
      </c>
      <c r="AA69" s="643"/>
      <c r="AB69" s="642">
        <v>75.63</v>
      </c>
      <c r="AC69" s="643"/>
      <c r="AD69" s="642">
        <v>85.23</v>
      </c>
      <c r="AE69" s="643"/>
      <c r="AF69" s="642">
        <v>78.709999999999994</v>
      </c>
      <c r="AG69" s="643"/>
      <c r="AH69" s="642">
        <v>74.97</v>
      </c>
      <c r="AI69" s="643"/>
      <c r="AJ69" s="642">
        <v>65.680000000000007</v>
      </c>
      <c r="AK69" s="643"/>
      <c r="AL69" s="642">
        <v>56.4</v>
      </c>
      <c r="AM69" s="643"/>
      <c r="AN69" s="642">
        <v>46.68</v>
      </c>
      <c r="AO69" s="643"/>
      <c r="AP69" s="642">
        <v>62.89</v>
      </c>
    </row>
    <row r="70" spans="17:42" x14ac:dyDescent="0.25">
      <c r="Q70" s="640">
        <v>1967</v>
      </c>
      <c r="R70" s="642">
        <v>47.94</v>
      </c>
      <c r="S70" s="643"/>
      <c r="T70" s="642">
        <v>46.43</v>
      </c>
      <c r="U70" s="643"/>
      <c r="V70" s="642">
        <v>55.77</v>
      </c>
      <c r="W70" s="643"/>
      <c r="X70" s="642">
        <v>57.17</v>
      </c>
      <c r="Y70" s="643"/>
      <c r="Z70" s="642">
        <v>60.87</v>
      </c>
      <c r="AA70" s="643"/>
      <c r="AB70" s="642">
        <v>69.099999999999994</v>
      </c>
      <c r="AC70" s="643"/>
      <c r="AD70" s="642">
        <v>79.06</v>
      </c>
      <c r="AE70" s="643"/>
      <c r="AF70" s="642">
        <v>77</v>
      </c>
      <c r="AG70" s="643"/>
      <c r="AH70" s="642">
        <v>72.87</v>
      </c>
      <c r="AI70" s="643"/>
      <c r="AJ70" s="642">
        <v>66.39</v>
      </c>
      <c r="AK70" s="643"/>
      <c r="AL70" s="642" t="s">
        <v>795</v>
      </c>
      <c r="AM70" s="644" t="s">
        <v>796</v>
      </c>
      <c r="AN70" s="642">
        <v>40.32</v>
      </c>
      <c r="AO70" s="643"/>
      <c r="AP70" s="642">
        <v>61.17</v>
      </c>
    </row>
    <row r="71" spans="17:42" x14ac:dyDescent="0.25">
      <c r="Q71" s="640">
        <v>1968</v>
      </c>
      <c r="R71" s="642">
        <v>47.26</v>
      </c>
      <c r="S71" s="643"/>
      <c r="T71" s="642">
        <v>46.07</v>
      </c>
      <c r="U71" s="643"/>
      <c r="V71" s="642">
        <v>51.84</v>
      </c>
      <c r="W71" s="643"/>
      <c r="X71" s="642">
        <v>53.07</v>
      </c>
      <c r="Y71" s="643"/>
      <c r="Z71" s="642">
        <v>62</v>
      </c>
      <c r="AA71" s="643"/>
      <c r="AB71" s="642">
        <v>76.97</v>
      </c>
      <c r="AC71" s="643"/>
      <c r="AD71" s="642">
        <v>79.58</v>
      </c>
      <c r="AE71" s="643"/>
      <c r="AF71" s="642">
        <v>77.03</v>
      </c>
      <c r="AG71" s="643"/>
      <c r="AH71" s="642">
        <v>72.5</v>
      </c>
      <c r="AI71" s="643"/>
      <c r="AJ71" s="642">
        <v>65.42</v>
      </c>
      <c r="AK71" s="643"/>
      <c r="AL71" s="642">
        <v>46.87</v>
      </c>
      <c r="AM71" s="643"/>
      <c r="AN71" s="642">
        <v>44.74</v>
      </c>
      <c r="AO71" s="643"/>
      <c r="AP71" s="642">
        <v>60.28</v>
      </c>
    </row>
    <row r="72" spans="17:42" x14ac:dyDescent="0.25">
      <c r="Q72" s="640">
        <v>1969</v>
      </c>
      <c r="R72" s="642">
        <v>48.06</v>
      </c>
      <c r="S72" s="643"/>
      <c r="T72" s="642">
        <v>47.04</v>
      </c>
      <c r="U72" s="643"/>
      <c r="V72" s="642">
        <v>44.26</v>
      </c>
      <c r="W72" s="643"/>
      <c r="X72" s="642">
        <v>60.8</v>
      </c>
      <c r="Y72" s="643"/>
      <c r="Z72" s="642">
        <v>66.87</v>
      </c>
      <c r="AA72" s="643"/>
      <c r="AB72" s="642">
        <v>67.37</v>
      </c>
      <c r="AC72" s="643"/>
      <c r="AD72" s="642">
        <v>81.87</v>
      </c>
      <c r="AE72" s="643"/>
      <c r="AF72" s="642">
        <v>82.84</v>
      </c>
      <c r="AG72" s="643"/>
      <c r="AH72" s="642">
        <v>73.930000000000007</v>
      </c>
      <c r="AI72" s="643"/>
      <c r="AJ72" s="642">
        <v>52.45</v>
      </c>
      <c r="AK72" s="643"/>
      <c r="AL72" s="642">
        <v>51.9</v>
      </c>
      <c r="AM72" s="643"/>
      <c r="AN72" s="642">
        <v>45.77</v>
      </c>
      <c r="AO72" s="643"/>
      <c r="AP72" s="642">
        <v>60.26</v>
      </c>
    </row>
    <row r="73" spans="17:42" x14ac:dyDescent="0.25">
      <c r="Q73" s="640">
        <v>1970</v>
      </c>
      <c r="R73" s="642">
        <v>44.03</v>
      </c>
      <c r="S73" s="643"/>
      <c r="T73" s="642">
        <v>50.75</v>
      </c>
      <c r="U73" s="643"/>
      <c r="V73" s="642">
        <v>43.87</v>
      </c>
      <c r="W73" s="643"/>
      <c r="X73" s="642">
        <v>52.73</v>
      </c>
      <c r="Y73" s="643"/>
      <c r="Z73" s="642">
        <v>69.23</v>
      </c>
      <c r="AA73" s="643"/>
      <c r="AB73" s="642">
        <v>74.67</v>
      </c>
      <c r="AC73" s="643"/>
      <c r="AD73" s="642">
        <v>81.19</v>
      </c>
      <c r="AE73" s="643"/>
      <c r="AF73" s="642">
        <v>82.16</v>
      </c>
      <c r="AG73" s="643"/>
      <c r="AH73" s="642">
        <v>72.069999999999993</v>
      </c>
      <c r="AI73" s="643"/>
      <c r="AJ73" s="642">
        <v>57.16</v>
      </c>
      <c r="AK73" s="643"/>
      <c r="AL73" s="642">
        <v>50.37</v>
      </c>
      <c r="AM73" s="643"/>
      <c r="AN73" s="642">
        <v>47.42</v>
      </c>
      <c r="AO73" s="643"/>
      <c r="AP73" s="642">
        <v>60.47</v>
      </c>
    </row>
    <row r="74" spans="17:42" x14ac:dyDescent="0.25">
      <c r="Q74" s="640">
        <v>1971</v>
      </c>
      <c r="R74" s="642">
        <v>45.13</v>
      </c>
      <c r="S74" s="643"/>
      <c r="T74" s="642">
        <v>42.89</v>
      </c>
      <c r="U74" s="643"/>
      <c r="V74" s="642">
        <v>50.9</v>
      </c>
      <c r="W74" s="643"/>
      <c r="X74" s="642">
        <v>57.2</v>
      </c>
      <c r="Y74" s="643"/>
      <c r="Z74" s="642">
        <v>63.23</v>
      </c>
      <c r="AA74" s="643"/>
      <c r="AB74" s="642">
        <v>78.77</v>
      </c>
      <c r="AC74" s="643"/>
      <c r="AD74" s="642">
        <v>79.55</v>
      </c>
      <c r="AE74" s="643"/>
      <c r="AF74" s="642">
        <v>81.19</v>
      </c>
      <c r="AG74" s="643"/>
      <c r="AH74" s="642">
        <v>71.069999999999993</v>
      </c>
      <c r="AI74" s="643"/>
      <c r="AJ74" s="642">
        <v>62.68</v>
      </c>
      <c r="AK74" s="643"/>
      <c r="AL74" s="642">
        <v>51.43</v>
      </c>
      <c r="AM74" s="643"/>
      <c r="AN74" s="642">
        <v>45.16</v>
      </c>
      <c r="AO74" s="643"/>
      <c r="AP74" s="642">
        <v>60.77</v>
      </c>
    </row>
    <row r="75" spans="17:42" x14ac:dyDescent="0.25">
      <c r="Q75" s="640">
        <v>1972</v>
      </c>
      <c r="R75" s="642">
        <v>46.84</v>
      </c>
      <c r="S75" s="643"/>
      <c r="T75" s="642">
        <v>48.59</v>
      </c>
      <c r="U75" s="643"/>
      <c r="V75" s="642" t="s">
        <v>795</v>
      </c>
      <c r="W75" s="644" t="s">
        <v>796</v>
      </c>
      <c r="X75" s="642" t="s">
        <v>795</v>
      </c>
      <c r="Y75" s="644" t="s">
        <v>796</v>
      </c>
      <c r="Z75" s="642" t="s">
        <v>795</v>
      </c>
      <c r="AA75" s="644" t="s">
        <v>796</v>
      </c>
      <c r="AB75" s="642">
        <v>78.5</v>
      </c>
      <c r="AC75" s="643"/>
      <c r="AD75" s="642">
        <v>82.45</v>
      </c>
      <c r="AE75" s="643"/>
      <c r="AF75" s="642">
        <v>80.319999999999993</v>
      </c>
      <c r="AG75" s="643"/>
      <c r="AH75" s="642" t="s">
        <v>795</v>
      </c>
      <c r="AI75" s="644" t="s">
        <v>796</v>
      </c>
      <c r="AJ75" s="642">
        <v>60.32</v>
      </c>
      <c r="AK75" s="643"/>
      <c r="AL75" s="642">
        <v>43.47</v>
      </c>
      <c r="AM75" s="643"/>
      <c r="AN75" s="642">
        <v>41.71</v>
      </c>
      <c r="AO75" s="643"/>
      <c r="AP75" s="642">
        <v>60.27</v>
      </c>
    </row>
    <row r="76" spans="17:42" x14ac:dyDescent="0.25">
      <c r="Q76" s="640">
        <v>1973</v>
      </c>
      <c r="R76" s="642">
        <v>41.97</v>
      </c>
      <c r="S76" s="644" t="s">
        <v>798</v>
      </c>
      <c r="T76" s="642">
        <v>44.89</v>
      </c>
      <c r="U76" s="643"/>
      <c r="V76" s="642">
        <v>44.42</v>
      </c>
      <c r="W76" s="643"/>
      <c r="X76" s="642">
        <v>48.2</v>
      </c>
      <c r="Y76" s="643"/>
      <c r="Z76" s="642">
        <v>61.32</v>
      </c>
      <c r="AA76" s="643"/>
      <c r="AB76" s="642">
        <v>75.97</v>
      </c>
      <c r="AC76" s="644" t="s">
        <v>798</v>
      </c>
      <c r="AD76" s="642">
        <v>78</v>
      </c>
      <c r="AE76" s="643"/>
      <c r="AF76" s="642">
        <v>81.97</v>
      </c>
      <c r="AG76" s="644" t="s">
        <v>798</v>
      </c>
      <c r="AH76" s="642">
        <v>69.3</v>
      </c>
      <c r="AI76" s="643"/>
      <c r="AJ76" s="642">
        <v>64.680000000000007</v>
      </c>
      <c r="AK76" s="643"/>
      <c r="AL76" s="642">
        <v>51.72</v>
      </c>
      <c r="AM76" s="644" t="s">
        <v>798</v>
      </c>
      <c r="AN76" s="642">
        <v>44.23</v>
      </c>
      <c r="AO76" s="644" t="s">
        <v>798</v>
      </c>
      <c r="AP76" s="642">
        <v>58.89</v>
      </c>
    </row>
    <row r="77" spans="17:42" x14ac:dyDescent="0.25">
      <c r="Q77" s="640">
        <v>1974</v>
      </c>
      <c r="R77" s="642">
        <v>44.3</v>
      </c>
      <c r="S77" s="644" t="s">
        <v>798</v>
      </c>
      <c r="T77" s="642">
        <v>48.26</v>
      </c>
      <c r="U77" s="644" t="s">
        <v>798</v>
      </c>
      <c r="V77" s="642">
        <v>55.37</v>
      </c>
      <c r="W77" s="644" t="s">
        <v>798</v>
      </c>
      <c r="X77" s="642">
        <v>56.23</v>
      </c>
      <c r="Y77" s="643"/>
      <c r="Z77" s="642">
        <v>72.349999999999994</v>
      </c>
      <c r="AA77" s="643"/>
      <c r="AB77" s="642">
        <v>78.400000000000006</v>
      </c>
      <c r="AC77" s="643"/>
      <c r="AD77" s="642">
        <v>82.42</v>
      </c>
      <c r="AE77" s="643"/>
      <c r="AF77" s="642">
        <v>78.290000000000006</v>
      </c>
      <c r="AG77" s="643"/>
      <c r="AH77" s="642">
        <v>67.430000000000007</v>
      </c>
      <c r="AI77" s="643"/>
      <c r="AJ77" s="642">
        <v>61.33</v>
      </c>
      <c r="AK77" s="644" t="s">
        <v>798</v>
      </c>
      <c r="AL77" s="642">
        <v>48.83</v>
      </c>
      <c r="AM77" s="643"/>
      <c r="AN77" s="642">
        <v>40.32</v>
      </c>
      <c r="AO77" s="643"/>
      <c r="AP77" s="642">
        <v>61.13</v>
      </c>
    </row>
    <row r="78" spans="17:42" x14ac:dyDescent="0.25">
      <c r="Q78" s="640">
        <v>1975</v>
      </c>
      <c r="R78" s="642">
        <v>42.19</v>
      </c>
      <c r="S78" s="643"/>
      <c r="T78" s="642">
        <v>42.14</v>
      </c>
      <c r="U78" s="643"/>
      <c r="V78" s="642">
        <v>45.29</v>
      </c>
      <c r="W78" s="643"/>
      <c r="X78" s="642">
        <v>51.87</v>
      </c>
      <c r="Y78" s="643"/>
      <c r="Z78" s="642">
        <v>59.32</v>
      </c>
      <c r="AA78" s="643"/>
      <c r="AB78" s="642">
        <v>72.790000000000006</v>
      </c>
      <c r="AC78" s="644" t="s">
        <v>798</v>
      </c>
      <c r="AD78" s="642">
        <v>80.45</v>
      </c>
      <c r="AE78" s="644" t="s">
        <v>799</v>
      </c>
      <c r="AF78" s="642">
        <v>79.97</v>
      </c>
      <c r="AG78" s="643"/>
      <c r="AH78" s="642">
        <v>68.2</v>
      </c>
      <c r="AI78" s="643"/>
      <c r="AJ78" s="642">
        <v>65.53</v>
      </c>
      <c r="AK78" s="644" t="s">
        <v>798</v>
      </c>
      <c r="AL78" s="642">
        <v>49.73</v>
      </c>
      <c r="AM78" s="643"/>
      <c r="AN78" s="642">
        <v>47.84</v>
      </c>
      <c r="AO78" s="643"/>
      <c r="AP78" s="642">
        <v>58.78</v>
      </c>
    </row>
    <row r="79" spans="17:42" x14ac:dyDescent="0.25">
      <c r="Q79" s="640">
        <v>1976</v>
      </c>
      <c r="R79" s="642">
        <v>44.9</v>
      </c>
      <c r="S79" s="643"/>
      <c r="T79" s="642">
        <v>49.03</v>
      </c>
      <c r="U79" s="643"/>
      <c r="V79" s="642">
        <v>46.55</v>
      </c>
      <c r="W79" s="643"/>
      <c r="X79" s="642">
        <v>55.37</v>
      </c>
      <c r="Y79" s="643"/>
      <c r="Z79" s="642">
        <v>62.06</v>
      </c>
      <c r="AA79" s="643"/>
      <c r="AB79" s="642">
        <v>74.67</v>
      </c>
      <c r="AC79" s="643"/>
      <c r="AD79" s="642">
        <v>81.13</v>
      </c>
      <c r="AE79" s="643"/>
      <c r="AF79" s="642">
        <v>77.87</v>
      </c>
      <c r="AG79" s="643"/>
      <c r="AH79" s="642">
        <v>67.7</v>
      </c>
      <c r="AI79" s="643"/>
      <c r="AJ79" s="642">
        <v>57.9</v>
      </c>
      <c r="AK79" s="643"/>
      <c r="AL79" s="642">
        <v>49.1</v>
      </c>
      <c r="AM79" s="643"/>
      <c r="AN79" s="642">
        <v>46.48</v>
      </c>
      <c r="AO79" s="643"/>
      <c r="AP79" s="642">
        <v>59.4</v>
      </c>
    </row>
    <row r="80" spans="17:42" x14ac:dyDescent="0.25">
      <c r="Q80" s="640">
        <v>1977</v>
      </c>
      <c r="R80" s="642">
        <v>42.87</v>
      </c>
      <c r="S80" s="643"/>
      <c r="T80" s="642">
        <v>45.57</v>
      </c>
      <c r="U80" s="643"/>
      <c r="V80" s="642">
        <v>47.52</v>
      </c>
      <c r="W80" s="643"/>
      <c r="X80" s="642">
        <v>55.27</v>
      </c>
      <c r="Y80" s="643"/>
      <c r="Z80" s="642">
        <v>66.709999999999994</v>
      </c>
      <c r="AA80" s="643"/>
      <c r="AB80" s="642">
        <v>78.67</v>
      </c>
      <c r="AC80" s="643"/>
      <c r="AD80" s="642">
        <v>81</v>
      </c>
      <c r="AE80" s="643"/>
      <c r="AF80" s="642">
        <v>76.48</v>
      </c>
      <c r="AG80" s="643"/>
      <c r="AH80" s="642">
        <v>75.47</v>
      </c>
      <c r="AI80" s="643"/>
      <c r="AJ80" s="642">
        <v>63.77</v>
      </c>
      <c r="AK80" s="643"/>
      <c r="AL80" s="642">
        <v>51.1</v>
      </c>
      <c r="AM80" s="643"/>
      <c r="AN80" s="642" t="s">
        <v>795</v>
      </c>
      <c r="AO80" s="644" t="s">
        <v>796</v>
      </c>
      <c r="AP80" s="642">
        <v>62.22</v>
      </c>
    </row>
    <row r="81" spans="17:42" x14ac:dyDescent="0.25">
      <c r="Q81" s="640">
        <v>1978</v>
      </c>
      <c r="R81" s="642">
        <v>39.1</v>
      </c>
      <c r="S81" s="643"/>
      <c r="T81" s="642">
        <v>42.54</v>
      </c>
      <c r="U81" s="643"/>
      <c r="V81" s="642">
        <v>52.06</v>
      </c>
      <c r="W81" s="643"/>
      <c r="X81" s="642">
        <v>56.93</v>
      </c>
      <c r="Y81" s="643"/>
      <c r="Z81" s="642">
        <v>62.39</v>
      </c>
      <c r="AA81" s="643"/>
      <c r="AB81" s="642">
        <v>73.47</v>
      </c>
      <c r="AC81" s="643"/>
      <c r="AD81" s="642">
        <v>82.29</v>
      </c>
      <c r="AE81" s="643"/>
      <c r="AF81" s="642">
        <v>77.290000000000006</v>
      </c>
      <c r="AG81" s="643"/>
      <c r="AH81" s="642">
        <v>73.569999999999993</v>
      </c>
      <c r="AI81" s="643"/>
      <c r="AJ81" s="642">
        <v>63.03</v>
      </c>
      <c r="AK81" s="644" t="s">
        <v>798</v>
      </c>
      <c r="AL81" s="642">
        <v>51.4</v>
      </c>
      <c r="AM81" s="643"/>
      <c r="AN81" s="642">
        <v>37.26</v>
      </c>
      <c r="AO81" s="643"/>
      <c r="AP81" s="642">
        <v>59.28</v>
      </c>
    </row>
    <row r="82" spans="17:42" x14ac:dyDescent="0.25">
      <c r="Q82" s="640">
        <v>1979</v>
      </c>
      <c r="R82" s="642">
        <v>33.630000000000003</v>
      </c>
      <c r="S82" s="644" t="s">
        <v>798</v>
      </c>
      <c r="T82" s="642">
        <v>44.18</v>
      </c>
      <c r="U82" s="643"/>
      <c r="V82" s="642">
        <v>47.71</v>
      </c>
      <c r="W82" s="643"/>
      <c r="X82" s="642" t="s">
        <v>795</v>
      </c>
      <c r="Y82" s="644" t="s">
        <v>796</v>
      </c>
      <c r="Z82" s="642">
        <v>60.1</v>
      </c>
      <c r="AA82" s="643"/>
      <c r="AB82" s="642">
        <v>71.73</v>
      </c>
      <c r="AC82" s="643"/>
      <c r="AD82" s="642">
        <v>81.55</v>
      </c>
      <c r="AE82" s="643"/>
      <c r="AF82" s="642"/>
      <c r="AG82" s="644" t="s">
        <v>796</v>
      </c>
      <c r="AH82" s="642">
        <v>75.14</v>
      </c>
      <c r="AI82" s="644" t="s">
        <v>798</v>
      </c>
      <c r="AJ82" s="642">
        <v>62.81</v>
      </c>
      <c r="AK82" s="643"/>
      <c r="AL82" s="642">
        <v>44.76</v>
      </c>
      <c r="AM82" s="644" t="s">
        <v>798</v>
      </c>
      <c r="AN82" s="642">
        <v>49.73</v>
      </c>
      <c r="AO82" s="644" t="s">
        <v>798</v>
      </c>
      <c r="AP82" s="642">
        <v>57.13</v>
      </c>
    </row>
    <row r="83" spans="17:42" x14ac:dyDescent="0.25">
      <c r="Q83" s="640">
        <v>1980</v>
      </c>
      <c r="R83" s="642">
        <v>40</v>
      </c>
      <c r="S83" s="643"/>
      <c r="T83" s="642">
        <v>47.21</v>
      </c>
      <c r="U83" s="643"/>
      <c r="V83" s="642">
        <v>46.61</v>
      </c>
      <c r="W83" s="643"/>
      <c r="X83" s="642">
        <v>52.63</v>
      </c>
      <c r="Y83" s="643"/>
      <c r="Z83" s="642">
        <v>60.83</v>
      </c>
      <c r="AA83" s="644" t="s">
        <v>799</v>
      </c>
      <c r="AB83" s="642">
        <v>80.569999999999993</v>
      </c>
      <c r="AC83" s="644" t="s">
        <v>799</v>
      </c>
      <c r="AD83" s="642">
        <v>82.61</v>
      </c>
      <c r="AE83" s="643"/>
      <c r="AF83" s="642">
        <v>79.709999999999994</v>
      </c>
      <c r="AG83" s="643"/>
      <c r="AH83" s="642">
        <v>75.87</v>
      </c>
      <c r="AI83" s="643"/>
      <c r="AJ83" s="642">
        <v>58.23</v>
      </c>
      <c r="AK83" s="643"/>
      <c r="AL83" s="642">
        <v>51.97</v>
      </c>
      <c r="AM83" s="644" t="s">
        <v>798</v>
      </c>
      <c r="AN83" s="642">
        <v>53.19</v>
      </c>
      <c r="AO83" s="643"/>
      <c r="AP83" s="642">
        <v>60.79</v>
      </c>
    </row>
    <row r="84" spans="17:42" x14ac:dyDescent="0.25">
      <c r="Q84" s="640">
        <v>1981</v>
      </c>
      <c r="R84" s="642">
        <v>48.6</v>
      </c>
      <c r="S84" s="644" t="s">
        <v>798</v>
      </c>
      <c r="T84" s="642">
        <v>49.11</v>
      </c>
      <c r="U84" s="643"/>
      <c r="V84" s="642">
        <v>46.63</v>
      </c>
      <c r="W84" s="644" t="s">
        <v>798</v>
      </c>
      <c r="X84" s="642">
        <v>62.07</v>
      </c>
      <c r="Y84" s="643"/>
      <c r="Z84" s="642">
        <v>60.39</v>
      </c>
      <c r="AA84" s="643"/>
      <c r="AB84" s="642">
        <v>78.3</v>
      </c>
      <c r="AC84" s="643"/>
      <c r="AD84" s="642">
        <v>79.73</v>
      </c>
      <c r="AE84" s="644" t="s">
        <v>798</v>
      </c>
      <c r="AF84" s="642">
        <v>75.650000000000006</v>
      </c>
      <c r="AG84" s="643"/>
      <c r="AH84" s="642">
        <v>73.47</v>
      </c>
      <c r="AI84" s="643"/>
      <c r="AJ84" s="642">
        <v>60.07</v>
      </c>
      <c r="AK84" s="644" t="s">
        <v>800</v>
      </c>
      <c r="AL84" s="642">
        <v>54.4</v>
      </c>
      <c r="AM84" s="643"/>
      <c r="AN84" s="642">
        <v>43.87</v>
      </c>
      <c r="AO84" s="643"/>
      <c r="AP84" s="642">
        <v>61.02</v>
      </c>
    </row>
    <row r="85" spans="17:42" x14ac:dyDescent="0.25">
      <c r="Q85" s="640">
        <v>1982</v>
      </c>
      <c r="R85" s="642">
        <v>45.06</v>
      </c>
      <c r="S85" s="643"/>
      <c r="T85" s="642">
        <v>46.86</v>
      </c>
      <c r="U85" s="643"/>
      <c r="V85" s="642">
        <v>51</v>
      </c>
      <c r="W85" s="643"/>
      <c r="X85" s="642">
        <v>57.77</v>
      </c>
      <c r="Y85" s="643"/>
      <c r="Z85" s="642">
        <v>62.74</v>
      </c>
      <c r="AA85" s="643"/>
      <c r="AB85" s="642">
        <v>70.03</v>
      </c>
      <c r="AC85" s="643"/>
      <c r="AD85" s="642">
        <v>79.33</v>
      </c>
      <c r="AE85" s="644" t="s">
        <v>798</v>
      </c>
      <c r="AF85" s="642">
        <v>79.16</v>
      </c>
      <c r="AG85" s="643"/>
      <c r="AH85" s="642">
        <v>67.930000000000007</v>
      </c>
      <c r="AI85" s="643"/>
      <c r="AJ85" s="642">
        <v>58.35</v>
      </c>
      <c r="AK85" s="643"/>
      <c r="AL85" s="642">
        <v>46.57</v>
      </c>
      <c r="AM85" s="643"/>
      <c r="AN85" s="642">
        <v>42.45</v>
      </c>
      <c r="AO85" s="643"/>
      <c r="AP85" s="642">
        <v>58.94</v>
      </c>
    </row>
    <row r="86" spans="17:42" x14ac:dyDescent="0.25">
      <c r="Q86" s="640">
        <v>1983</v>
      </c>
      <c r="R86" s="642">
        <v>46.58</v>
      </c>
      <c r="S86" s="643"/>
      <c r="T86" s="642">
        <v>44.96</v>
      </c>
      <c r="U86" s="643"/>
      <c r="V86" s="642">
        <v>43.87</v>
      </c>
      <c r="W86" s="643"/>
      <c r="X86" s="642">
        <v>47.57</v>
      </c>
      <c r="Y86" s="643"/>
      <c r="Z86" s="642">
        <v>57.68</v>
      </c>
      <c r="AA86" s="643"/>
      <c r="AB86" s="642">
        <v>70.900000000000006</v>
      </c>
      <c r="AC86" s="643"/>
      <c r="AD86" s="642">
        <v>81</v>
      </c>
      <c r="AE86" s="643"/>
      <c r="AF86" s="642">
        <v>81.58</v>
      </c>
      <c r="AG86" s="643"/>
      <c r="AH86" s="642">
        <v>78.33</v>
      </c>
      <c r="AI86" s="643"/>
      <c r="AJ86" s="642">
        <v>64.099999999999994</v>
      </c>
      <c r="AK86" s="643"/>
      <c r="AL86" s="642">
        <v>49.57</v>
      </c>
      <c r="AM86" s="643"/>
      <c r="AN86" s="642" t="s">
        <v>795</v>
      </c>
      <c r="AO86" s="644" t="s">
        <v>796</v>
      </c>
      <c r="AP86" s="642">
        <v>60.56</v>
      </c>
    </row>
    <row r="87" spans="17:42" x14ac:dyDescent="0.25">
      <c r="Q87" s="640">
        <v>1984</v>
      </c>
      <c r="R87" s="642" t="s">
        <v>795</v>
      </c>
      <c r="S87" s="644" t="s">
        <v>796</v>
      </c>
      <c r="T87" s="642" t="s">
        <v>795</v>
      </c>
      <c r="U87" s="644" t="s">
        <v>796</v>
      </c>
      <c r="V87" s="642" t="s">
        <v>795</v>
      </c>
      <c r="W87" s="644" t="s">
        <v>796</v>
      </c>
      <c r="X87" s="642" t="s">
        <v>795</v>
      </c>
      <c r="Y87" s="644" t="s">
        <v>796</v>
      </c>
      <c r="Z87" s="642" t="s">
        <v>795</v>
      </c>
      <c r="AA87" s="644" t="s">
        <v>796</v>
      </c>
      <c r="AB87" s="642" t="s">
        <v>795</v>
      </c>
      <c r="AC87" s="644" t="s">
        <v>796</v>
      </c>
      <c r="AD87" s="642">
        <v>81.319999999999993</v>
      </c>
      <c r="AE87" s="643"/>
      <c r="AF87" s="642">
        <v>77.680000000000007</v>
      </c>
      <c r="AG87" s="643"/>
      <c r="AH87" s="642" t="s">
        <v>795</v>
      </c>
      <c r="AI87" s="644" t="s">
        <v>796</v>
      </c>
      <c r="AJ87" s="642">
        <v>52.03</v>
      </c>
      <c r="AK87" s="643"/>
      <c r="AL87" s="642">
        <v>51.73</v>
      </c>
      <c r="AM87" s="643"/>
      <c r="AN87" s="642">
        <v>46.55</v>
      </c>
      <c r="AO87" s="643"/>
      <c r="AP87" s="642">
        <v>61.86</v>
      </c>
    </row>
    <row r="88" spans="17:42" x14ac:dyDescent="0.25">
      <c r="Q88" s="640">
        <v>1985</v>
      </c>
      <c r="R88" s="642">
        <v>39.799999999999997</v>
      </c>
      <c r="S88" s="644" t="s">
        <v>798</v>
      </c>
      <c r="T88" s="642">
        <v>42.61</v>
      </c>
      <c r="U88" s="643"/>
      <c r="V88" s="642">
        <v>50.61</v>
      </c>
      <c r="W88" s="643"/>
      <c r="X88" s="642">
        <v>58.5</v>
      </c>
      <c r="Y88" s="643"/>
      <c r="Z88" s="642">
        <v>65.680000000000007</v>
      </c>
      <c r="AA88" s="643"/>
      <c r="AB88" s="642">
        <v>77.63</v>
      </c>
      <c r="AC88" s="643"/>
      <c r="AD88" s="642">
        <v>78.739999999999995</v>
      </c>
      <c r="AE88" s="643"/>
      <c r="AF88" s="642">
        <v>81.87</v>
      </c>
      <c r="AG88" s="643"/>
      <c r="AH88" s="642">
        <v>67.099999999999994</v>
      </c>
      <c r="AI88" s="643"/>
      <c r="AJ88" s="642">
        <v>63.21</v>
      </c>
      <c r="AK88" s="644" t="s">
        <v>799</v>
      </c>
      <c r="AL88" s="642">
        <v>45.47</v>
      </c>
      <c r="AM88" s="643"/>
      <c r="AN88" s="642">
        <v>45.39</v>
      </c>
      <c r="AO88" s="643"/>
      <c r="AP88" s="642">
        <v>59.72</v>
      </c>
    </row>
    <row r="89" spans="17:42" x14ac:dyDescent="0.25">
      <c r="Q89" s="640">
        <v>1986</v>
      </c>
      <c r="R89" s="642">
        <v>52.03</v>
      </c>
      <c r="S89" s="643"/>
      <c r="T89" s="642">
        <v>46.41</v>
      </c>
      <c r="U89" s="644" t="s">
        <v>798</v>
      </c>
      <c r="V89" s="642">
        <v>55.81</v>
      </c>
      <c r="W89" s="643"/>
      <c r="X89" s="642">
        <v>60.5</v>
      </c>
      <c r="Y89" s="643"/>
      <c r="Z89" s="642">
        <v>62.97</v>
      </c>
      <c r="AA89" s="643"/>
      <c r="AB89" s="642">
        <v>75.53</v>
      </c>
      <c r="AC89" s="643"/>
      <c r="AD89" s="642">
        <v>79.709999999999994</v>
      </c>
      <c r="AE89" s="643"/>
      <c r="AF89" s="642">
        <v>79.81</v>
      </c>
      <c r="AG89" s="643"/>
      <c r="AH89" s="642">
        <v>68.430000000000007</v>
      </c>
      <c r="AI89" s="643"/>
      <c r="AJ89" s="642">
        <v>58.77</v>
      </c>
      <c r="AK89" s="643"/>
      <c r="AL89" s="642">
        <v>48.4</v>
      </c>
      <c r="AM89" s="643"/>
      <c r="AN89" s="642">
        <v>45.13</v>
      </c>
      <c r="AO89" s="643"/>
      <c r="AP89" s="642">
        <v>61.12</v>
      </c>
    </row>
    <row r="90" spans="17:42" x14ac:dyDescent="0.25">
      <c r="Q90" s="640">
        <v>1987</v>
      </c>
      <c r="R90" s="642">
        <v>43.9</v>
      </c>
      <c r="S90" s="643"/>
      <c r="T90" s="642">
        <v>43.26</v>
      </c>
      <c r="U90" s="644" t="s">
        <v>798</v>
      </c>
      <c r="V90" s="642">
        <v>46.48</v>
      </c>
      <c r="W90" s="643"/>
      <c r="X90" s="642">
        <v>60.3</v>
      </c>
      <c r="Y90" s="643"/>
      <c r="Z90" s="642">
        <v>65.19</v>
      </c>
      <c r="AA90" s="643"/>
      <c r="AB90" s="642">
        <v>76.03</v>
      </c>
      <c r="AC90" s="643"/>
      <c r="AD90" s="642">
        <v>82.27</v>
      </c>
      <c r="AE90" s="644" t="s">
        <v>798</v>
      </c>
      <c r="AF90" s="642">
        <v>76.48</v>
      </c>
      <c r="AG90" s="643"/>
      <c r="AH90" s="642">
        <v>70.7</v>
      </c>
      <c r="AI90" s="643"/>
      <c r="AJ90" s="642">
        <v>62.48</v>
      </c>
      <c r="AK90" s="643"/>
      <c r="AL90" s="642">
        <v>48.93</v>
      </c>
      <c r="AM90" s="643"/>
      <c r="AN90" s="642">
        <v>40</v>
      </c>
      <c r="AO90" s="643"/>
      <c r="AP90" s="642">
        <v>59.67</v>
      </c>
    </row>
    <row r="91" spans="17:42" x14ac:dyDescent="0.25">
      <c r="Q91" s="640">
        <v>1988</v>
      </c>
      <c r="R91" s="642">
        <v>39.97</v>
      </c>
      <c r="S91" s="643"/>
      <c r="T91" s="642">
        <v>45.9</v>
      </c>
      <c r="U91" s="643"/>
      <c r="V91" s="642">
        <v>46.52</v>
      </c>
      <c r="W91" s="643"/>
      <c r="X91" s="642">
        <v>60.23</v>
      </c>
      <c r="Y91" s="643"/>
      <c r="Z91" s="642">
        <v>66.709999999999994</v>
      </c>
      <c r="AA91" s="643"/>
      <c r="AB91" s="642">
        <v>77.5</v>
      </c>
      <c r="AC91" s="643"/>
      <c r="AD91" s="642">
        <v>81.19</v>
      </c>
      <c r="AE91" s="643"/>
      <c r="AF91" s="642">
        <v>80.349999999999994</v>
      </c>
      <c r="AG91" s="643"/>
      <c r="AH91" s="642">
        <v>71.069999999999993</v>
      </c>
      <c r="AI91" s="643"/>
      <c r="AJ91" s="642">
        <v>65.900000000000006</v>
      </c>
      <c r="AK91" s="643"/>
      <c r="AL91" s="642">
        <v>50.23</v>
      </c>
      <c r="AM91" s="643"/>
      <c r="AN91" s="642">
        <v>43.81</v>
      </c>
      <c r="AO91" s="643"/>
      <c r="AP91" s="642">
        <v>60.78</v>
      </c>
    </row>
    <row r="92" spans="17:42" x14ac:dyDescent="0.25">
      <c r="Q92" s="640">
        <v>1989</v>
      </c>
      <c r="R92" s="642">
        <v>46</v>
      </c>
      <c r="S92" s="643"/>
      <c r="T92" s="642">
        <v>36.61</v>
      </c>
      <c r="U92" s="643"/>
      <c r="V92" s="642">
        <v>58.03</v>
      </c>
      <c r="W92" s="643"/>
      <c r="X92" s="642">
        <v>59.27</v>
      </c>
      <c r="Y92" s="643"/>
      <c r="Z92" s="642">
        <v>66.48</v>
      </c>
      <c r="AA92" s="643"/>
      <c r="AB92" s="642">
        <v>70.97</v>
      </c>
      <c r="AC92" s="643"/>
      <c r="AD92" s="642">
        <v>81.84</v>
      </c>
      <c r="AE92" s="643"/>
      <c r="AF92" s="642">
        <v>77.739999999999995</v>
      </c>
      <c r="AG92" s="643"/>
      <c r="AH92" s="642">
        <v>71.03</v>
      </c>
      <c r="AI92" s="643"/>
      <c r="AJ92" s="642">
        <v>60.94</v>
      </c>
      <c r="AK92" s="643"/>
      <c r="AL92" s="642">
        <v>55.17</v>
      </c>
      <c r="AM92" s="643"/>
      <c r="AN92" s="642">
        <v>42.66</v>
      </c>
      <c r="AO92" s="644" t="s">
        <v>799</v>
      </c>
      <c r="AP92" s="642">
        <v>60.56</v>
      </c>
    </row>
    <row r="93" spans="17:42" x14ac:dyDescent="0.25">
      <c r="Q93" s="640">
        <v>1990</v>
      </c>
      <c r="R93" s="642">
        <v>46.18</v>
      </c>
      <c r="S93" s="644" t="s">
        <v>801</v>
      </c>
      <c r="T93" s="642">
        <v>43.89</v>
      </c>
      <c r="U93" s="643"/>
      <c r="V93" s="642">
        <v>48.19</v>
      </c>
      <c r="W93" s="643"/>
      <c r="X93" s="642">
        <v>56.2</v>
      </c>
      <c r="Y93" s="643"/>
      <c r="Z93" s="642">
        <v>62.81</v>
      </c>
      <c r="AA93" s="643"/>
      <c r="AB93" s="642">
        <v>79.569999999999993</v>
      </c>
      <c r="AC93" s="643"/>
      <c r="AD93" s="642">
        <v>76.099999999999994</v>
      </c>
      <c r="AE93" s="643"/>
      <c r="AF93" s="642">
        <v>78.03</v>
      </c>
      <c r="AG93" s="643"/>
      <c r="AH93" s="642">
        <v>74.67</v>
      </c>
      <c r="AI93" s="643"/>
      <c r="AJ93" s="642">
        <v>63.81</v>
      </c>
      <c r="AK93" s="643"/>
      <c r="AL93" s="642">
        <v>54.8</v>
      </c>
      <c r="AM93" s="643"/>
      <c r="AN93" s="642">
        <v>39.130000000000003</v>
      </c>
      <c r="AO93" s="643"/>
      <c r="AP93" s="642">
        <v>60.28</v>
      </c>
    </row>
    <row r="94" spans="17:42" x14ac:dyDescent="0.25">
      <c r="Q94" s="640">
        <v>1991</v>
      </c>
      <c r="R94" s="642">
        <v>41.23</v>
      </c>
      <c r="S94" s="643"/>
      <c r="T94" s="642">
        <v>50.79</v>
      </c>
      <c r="U94" s="643"/>
      <c r="V94" s="642">
        <v>51.13</v>
      </c>
      <c r="W94" s="643"/>
      <c r="X94" s="642">
        <v>54.8</v>
      </c>
      <c r="Y94" s="643"/>
      <c r="Z94" s="642">
        <v>65.680000000000007</v>
      </c>
      <c r="AA94" s="643"/>
      <c r="AB94" s="642">
        <v>76.069999999999993</v>
      </c>
      <c r="AC94" s="643"/>
      <c r="AD94" s="642">
        <v>78.58</v>
      </c>
      <c r="AE94" s="643"/>
      <c r="AF94" s="642">
        <v>78.13</v>
      </c>
      <c r="AG94" s="643"/>
      <c r="AH94" s="642">
        <v>71.97</v>
      </c>
      <c r="AI94" s="643"/>
      <c r="AJ94" s="642">
        <v>62.65</v>
      </c>
      <c r="AK94" s="643"/>
      <c r="AL94" s="642">
        <v>45.43</v>
      </c>
      <c r="AM94" s="643"/>
      <c r="AN94" s="642">
        <v>46.26</v>
      </c>
      <c r="AO94" s="643"/>
      <c r="AP94" s="642">
        <v>60.22</v>
      </c>
    </row>
    <row r="95" spans="17:42" x14ac:dyDescent="0.25">
      <c r="Q95" s="640">
        <v>1992</v>
      </c>
      <c r="R95" s="642">
        <v>45.48</v>
      </c>
      <c r="S95" s="643"/>
      <c r="T95" s="642">
        <v>47.69</v>
      </c>
      <c r="U95" s="643"/>
      <c r="V95" s="642">
        <v>50.84</v>
      </c>
      <c r="W95" s="643"/>
      <c r="X95" s="642">
        <v>62.53</v>
      </c>
      <c r="Y95" s="643"/>
      <c r="Z95" s="642">
        <v>66.61</v>
      </c>
      <c r="AA95" s="643"/>
      <c r="AB95" s="642">
        <v>70.8</v>
      </c>
      <c r="AC95" s="643"/>
      <c r="AD95" s="642">
        <v>76.97</v>
      </c>
      <c r="AE95" s="643"/>
      <c r="AF95" s="642">
        <v>76.099999999999994</v>
      </c>
      <c r="AG95" s="644" t="s">
        <v>798</v>
      </c>
      <c r="AH95" s="642">
        <v>74.87</v>
      </c>
      <c r="AI95" s="643"/>
      <c r="AJ95" s="642">
        <v>65.739999999999995</v>
      </c>
      <c r="AK95" s="643"/>
      <c r="AL95" s="642">
        <v>42.53</v>
      </c>
      <c r="AM95" s="643"/>
      <c r="AN95" s="642">
        <v>43.1</v>
      </c>
      <c r="AO95" s="643"/>
      <c r="AP95" s="642">
        <v>60.27</v>
      </c>
    </row>
    <row r="96" spans="17:42" x14ac:dyDescent="0.25">
      <c r="Q96" s="640">
        <v>1993</v>
      </c>
      <c r="R96" s="642">
        <v>41.39</v>
      </c>
      <c r="S96" s="643"/>
      <c r="T96" s="642">
        <v>40.71</v>
      </c>
      <c r="U96" s="643"/>
      <c r="V96" s="642">
        <v>51.61</v>
      </c>
      <c r="W96" s="643"/>
      <c r="X96" s="642">
        <v>54.93</v>
      </c>
      <c r="Y96" s="643"/>
      <c r="Z96" s="642">
        <v>64.55</v>
      </c>
      <c r="AA96" s="643"/>
      <c r="AB96" s="642">
        <v>73.2</v>
      </c>
      <c r="AC96" s="643"/>
      <c r="AD96" s="642">
        <v>79.349999999999994</v>
      </c>
      <c r="AE96" s="643"/>
      <c r="AF96" s="642">
        <v>75.739999999999995</v>
      </c>
      <c r="AG96" s="643"/>
      <c r="AH96" s="642">
        <v>69.37</v>
      </c>
      <c r="AI96" s="643"/>
      <c r="AJ96" s="642">
        <v>57.97</v>
      </c>
      <c r="AK96" s="643"/>
      <c r="AL96" s="642">
        <v>46.63</v>
      </c>
      <c r="AM96" s="643"/>
      <c r="AN96" s="642">
        <v>46.32</v>
      </c>
      <c r="AO96" s="643"/>
      <c r="AP96" s="642">
        <v>58.48</v>
      </c>
    </row>
    <row r="97" spans="17:42" x14ac:dyDescent="0.25">
      <c r="Q97" s="640">
        <v>1994</v>
      </c>
      <c r="R97" s="642">
        <v>45.9</v>
      </c>
      <c r="S97" s="643"/>
      <c r="T97" s="642">
        <v>45.11</v>
      </c>
      <c r="U97" s="643"/>
      <c r="V97" s="642">
        <v>54.06</v>
      </c>
      <c r="W97" s="643"/>
      <c r="X97" s="642">
        <v>55.37</v>
      </c>
      <c r="Y97" s="643"/>
      <c r="Z97" s="642">
        <v>70.06</v>
      </c>
      <c r="AA97" s="643"/>
      <c r="AB97" s="642">
        <v>80.400000000000006</v>
      </c>
      <c r="AC97" s="643"/>
      <c r="AD97" s="642">
        <v>80.97</v>
      </c>
      <c r="AE97" s="643"/>
      <c r="AF97" s="642">
        <v>81.709999999999994</v>
      </c>
      <c r="AG97" s="643"/>
      <c r="AH97" s="642">
        <v>75.63</v>
      </c>
      <c r="AI97" s="643"/>
      <c r="AJ97" s="642">
        <v>59.42</v>
      </c>
      <c r="AK97" s="643"/>
      <c r="AL97" s="642">
        <v>49.7</v>
      </c>
      <c r="AM97" s="643"/>
      <c r="AN97" s="642">
        <v>49.71</v>
      </c>
      <c r="AO97" s="643"/>
      <c r="AP97" s="642">
        <v>62.34</v>
      </c>
    </row>
    <row r="98" spans="17:42" x14ac:dyDescent="0.25">
      <c r="Q98" s="640">
        <v>1995</v>
      </c>
      <c r="R98" s="642">
        <v>44.61</v>
      </c>
      <c r="S98" s="643"/>
      <c r="T98" s="642">
        <v>51.64</v>
      </c>
      <c r="U98" s="643"/>
      <c r="V98" s="642">
        <v>51.26</v>
      </c>
      <c r="W98" s="643"/>
      <c r="X98" s="642">
        <v>51.73</v>
      </c>
      <c r="Y98" s="643"/>
      <c r="Z98" s="642">
        <v>56.97</v>
      </c>
      <c r="AA98" s="643"/>
      <c r="AB98" s="642">
        <v>71.33</v>
      </c>
      <c r="AC98" s="643"/>
      <c r="AD98" s="642">
        <v>81.23</v>
      </c>
      <c r="AE98" s="643"/>
      <c r="AF98" s="642">
        <v>83.81</v>
      </c>
      <c r="AG98" s="643"/>
      <c r="AH98" s="642">
        <v>71.27</v>
      </c>
      <c r="AI98" s="643"/>
      <c r="AJ98" s="642">
        <v>64.87</v>
      </c>
      <c r="AK98" s="643"/>
      <c r="AL98" s="642">
        <v>55.93</v>
      </c>
      <c r="AM98" s="643"/>
      <c r="AN98" s="642">
        <v>47.77</v>
      </c>
      <c r="AO98" s="643"/>
      <c r="AP98" s="642">
        <v>61.04</v>
      </c>
    </row>
    <row r="99" spans="17:42" x14ac:dyDescent="0.25">
      <c r="Q99" s="640">
        <v>1996</v>
      </c>
      <c r="R99" s="642">
        <v>43.23</v>
      </c>
      <c r="S99" s="643"/>
      <c r="T99" s="642">
        <v>47.41</v>
      </c>
      <c r="U99" s="643"/>
      <c r="V99" s="642">
        <v>49.52</v>
      </c>
      <c r="W99" s="643"/>
      <c r="X99" s="642">
        <v>58.7</v>
      </c>
      <c r="Y99" s="643"/>
      <c r="Z99" s="642">
        <v>69.61</v>
      </c>
      <c r="AA99" s="643"/>
      <c r="AB99" s="642">
        <v>78.63</v>
      </c>
      <c r="AC99" s="643"/>
      <c r="AD99" s="642">
        <v>82.03</v>
      </c>
      <c r="AE99" s="643"/>
      <c r="AF99" s="642">
        <v>81.739999999999995</v>
      </c>
      <c r="AG99" s="643"/>
      <c r="AH99" s="642">
        <v>70.430000000000007</v>
      </c>
      <c r="AI99" s="643"/>
      <c r="AJ99" s="642">
        <v>63.35</v>
      </c>
      <c r="AK99" s="643"/>
      <c r="AL99" s="642">
        <v>52.6</v>
      </c>
      <c r="AM99" s="643"/>
      <c r="AN99" s="642">
        <v>45.71</v>
      </c>
      <c r="AO99" s="643"/>
      <c r="AP99" s="642">
        <v>61.91</v>
      </c>
    </row>
    <row r="100" spans="17:42" x14ac:dyDescent="0.25">
      <c r="Q100" s="640">
        <v>1997</v>
      </c>
      <c r="R100" s="642">
        <v>42.13</v>
      </c>
      <c r="S100" s="643"/>
      <c r="T100" s="642">
        <v>42.25</v>
      </c>
      <c r="U100" s="643"/>
      <c r="V100" s="642">
        <v>55.68</v>
      </c>
      <c r="W100" s="643"/>
      <c r="X100" s="642">
        <v>50.47</v>
      </c>
      <c r="Y100" s="643"/>
      <c r="Z100" s="642">
        <v>65.94</v>
      </c>
      <c r="AA100" s="643"/>
      <c r="AB100" s="642">
        <v>76.239999999999995</v>
      </c>
      <c r="AC100" s="644" t="s">
        <v>798</v>
      </c>
      <c r="AD100" s="642">
        <v>81.45</v>
      </c>
      <c r="AE100" s="643"/>
      <c r="AF100" s="642">
        <v>77.709999999999994</v>
      </c>
      <c r="AG100" s="643"/>
      <c r="AH100" s="642">
        <v>73.569999999999993</v>
      </c>
      <c r="AI100" s="643"/>
      <c r="AJ100" s="642">
        <v>63.61</v>
      </c>
      <c r="AK100" s="643"/>
      <c r="AL100" s="642">
        <v>47.93</v>
      </c>
      <c r="AM100" s="643"/>
      <c r="AN100" s="642">
        <v>41.87</v>
      </c>
      <c r="AO100" s="643"/>
      <c r="AP100" s="642">
        <v>59.9</v>
      </c>
    </row>
    <row r="101" spans="17:42" x14ac:dyDescent="0.25">
      <c r="Q101" s="640">
        <v>1998</v>
      </c>
      <c r="R101" s="642">
        <v>48.35</v>
      </c>
      <c r="S101" s="643"/>
      <c r="T101" s="642">
        <v>44.57</v>
      </c>
      <c r="U101" s="643"/>
      <c r="V101" s="642">
        <v>48.71</v>
      </c>
      <c r="W101" s="643"/>
      <c r="X101" s="642">
        <v>53.33</v>
      </c>
      <c r="Y101" s="643"/>
      <c r="Z101" s="642">
        <v>69.650000000000006</v>
      </c>
      <c r="AA101" s="643"/>
      <c r="AB101" s="642">
        <v>73.430000000000007</v>
      </c>
      <c r="AC101" s="643"/>
      <c r="AD101" s="642">
        <v>82.1</v>
      </c>
      <c r="AE101" s="643"/>
      <c r="AF101" s="642">
        <v>80.709999999999994</v>
      </c>
      <c r="AG101" s="643"/>
      <c r="AH101" s="642">
        <v>78.430000000000007</v>
      </c>
      <c r="AI101" s="643"/>
      <c r="AJ101" s="642">
        <v>62.16</v>
      </c>
      <c r="AK101" s="643"/>
      <c r="AL101" s="642">
        <v>53.07</v>
      </c>
      <c r="AM101" s="643"/>
      <c r="AN101" s="642">
        <v>43.48</v>
      </c>
      <c r="AO101" s="643"/>
      <c r="AP101" s="642">
        <v>61.5</v>
      </c>
    </row>
    <row r="102" spans="17:42" x14ac:dyDescent="0.25">
      <c r="Q102" s="640">
        <v>1999</v>
      </c>
      <c r="R102" s="642">
        <v>45.52</v>
      </c>
      <c r="S102" s="643"/>
      <c r="T102" s="642">
        <v>52.61</v>
      </c>
      <c r="U102" s="643"/>
      <c r="V102" s="642">
        <v>56.94</v>
      </c>
      <c r="W102" s="643"/>
      <c r="X102" s="642">
        <v>52.13</v>
      </c>
      <c r="Y102" s="643"/>
      <c r="Z102" s="642">
        <v>64.709999999999994</v>
      </c>
      <c r="AA102" s="643"/>
      <c r="AB102" s="642">
        <v>74.930000000000007</v>
      </c>
      <c r="AC102" s="643"/>
      <c r="AD102" s="642">
        <v>83.42</v>
      </c>
      <c r="AE102" s="643"/>
      <c r="AF102" s="642">
        <v>78.13</v>
      </c>
      <c r="AG102" s="643"/>
      <c r="AH102" s="642">
        <v>69.63</v>
      </c>
      <c r="AI102" s="643"/>
      <c r="AJ102" s="642">
        <v>65.23</v>
      </c>
      <c r="AK102" s="643"/>
      <c r="AL102" s="642">
        <v>62.07</v>
      </c>
      <c r="AM102" s="643"/>
      <c r="AN102" s="642">
        <v>46.39</v>
      </c>
      <c r="AO102" s="643"/>
      <c r="AP102" s="642">
        <v>62.64</v>
      </c>
    </row>
    <row r="103" spans="17:42" x14ac:dyDescent="0.25">
      <c r="Q103" s="640">
        <v>2000</v>
      </c>
      <c r="R103" s="642">
        <v>46.84</v>
      </c>
      <c r="S103" s="643"/>
      <c r="T103" s="642">
        <v>50</v>
      </c>
      <c r="U103" s="643"/>
      <c r="V103" s="642">
        <v>50.81</v>
      </c>
      <c r="W103" s="643"/>
      <c r="X103" s="642">
        <v>63.47</v>
      </c>
      <c r="Y103" s="643"/>
      <c r="Z103" s="642">
        <v>70.16</v>
      </c>
      <c r="AA103" s="643"/>
      <c r="AB103" s="642">
        <v>78.53</v>
      </c>
      <c r="AC103" s="643"/>
      <c r="AD103" s="642">
        <v>86.06</v>
      </c>
      <c r="AE103" s="643"/>
      <c r="AF103" s="642">
        <v>84</v>
      </c>
      <c r="AG103" s="643"/>
      <c r="AH103" s="642">
        <v>74</v>
      </c>
      <c r="AI103" s="643"/>
      <c r="AJ103" s="642">
        <v>61.32</v>
      </c>
      <c r="AK103" s="643"/>
      <c r="AL103" s="642">
        <v>41.97</v>
      </c>
      <c r="AM103" s="643"/>
      <c r="AN103" s="642">
        <v>44.23</v>
      </c>
      <c r="AO103" s="643"/>
      <c r="AP103" s="642">
        <v>62.62</v>
      </c>
    </row>
    <row r="104" spans="17:42" x14ac:dyDescent="0.25">
      <c r="Q104" s="640">
        <v>2001</v>
      </c>
      <c r="R104" s="642">
        <v>43.93</v>
      </c>
      <c r="S104" s="644" t="s">
        <v>798</v>
      </c>
      <c r="T104" s="642">
        <v>45.11</v>
      </c>
      <c r="U104" s="643"/>
      <c r="V104" s="642">
        <v>48.32</v>
      </c>
      <c r="W104" s="643"/>
      <c r="X104" s="642">
        <v>59.63</v>
      </c>
      <c r="Y104" s="643"/>
      <c r="Z104" s="642">
        <v>66.81</v>
      </c>
      <c r="AA104" s="643"/>
      <c r="AB104" s="642">
        <v>79.33</v>
      </c>
      <c r="AC104" s="643"/>
      <c r="AD104" s="642">
        <v>85.74</v>
      </c>
      <c r="AE104" s="643"/>
      <c r="AF104" s="642">
        <v>85.84</v>
      </c>
      <c r="AG104" s="643"/>
      <c r="AH104" s="642">
        <v>77.97</v>
      </c>
      <c r="AI104" s="643"/>
      <c r="AJ104" s="642">
        <v>63.84</v>
      </c>
      <c r="AK104" s="643"/>
      <c r="AL104" s="642">
        <v>55.73</v>
      </c>
      <c r="AM104" s="643"/>
      <c r="AN104" s="642">
        <v>45.97</v>
      </c>
      <c r="AO104" s="643"/>
      <c r="AP104" s="642">
        <v>63.19</v>
      </c>
    </row>
    <row r="105" spans="17:42" x14ac:dyDescent="0.25">
      <c r="Q105" s="640">
        <v>2002</v>
      </c>
      <c r="R105" s="642">
        <v>44.23</v>
      </c>
      <c r="S105" s="643"/>
      <c r="T105" s="642">
        <v>46.71</v>
      </c>
      <c r="U105" s="643"/>
      <c r="V105" s="642">
        <v>47.74</v>
      </c>
      <c r="W105" s="643"/>
      <c r="X105" s="642">
        <v>62.7</v>
      </c>
      <c r="Y105" s="643"/>
      <c r="Z105" s="642">
        <v>66.16</v>
      </c>
      <c r="AA105" s="643"/>
      <c r="AB105" s="642">
        <v>82.2</v>
      </c>
      <c r="AC105" s="643"/>
      <c r="AD105" s="642">
        <v>87.52</v>
      </c>
      <c r="AE105" s="643"/>
      <c r="AF105" s="642">
        <v>82.39</v>
      </c>
      <c r="AG105" s="643"/>
      <c r="AH105" s="642">
        <v>73.97</v>
      </c>
      <c r="AI105" s="643"/>
      <c r="AJ105" s="642">
        <v>56.94</v>
      </c>
      <c r="AK105" s="643"/>
      <c r="AL105" s="642">
        <v>49.4</v>
      </c>
      <c r="AM105" s="643"/>
      <c r="AN105" s="642">
        <v>47.23</v>
      </c>
      <c r="AO105" s="643"/>
      <c r="AP105" s="642">
        <v>62.26</v>
      </c>
    </row>
    <row r="106" spans="17:42" x14ac:dyDescent="0.25">
      <c r="Q106" s="640">
        <v>2003</v>
      </c>
      <c r="R106" s="642">
        <v>50.03</v>
      </c>
      <c r="S106" s="643"/>
      <c r="T106" s="642">
        <v>41.5</v>
      </c>
      <c r="U106" s="643"/>
      <c r="V106" s="642">
        <v>49.84</v>
      </c>
      <c r="W106" s="643"/>
      <c r="X106" s="642">
        <v>60.17</v>
      </c>
      <c r="Y106" s="643"/>
      <c r="Z106" s="642">
        <v>65.680000000000007</v>
      </c>
      <c r="AA106" s="643"/>
      <c r="AB106" s="642">
        <v>71.33</v>
      </c>
      <c r="AC106" s="643"/>
      <c r="AD106" s="642">
        <v>88.26</v>
      </c>
      <c r="AE106" s="643"/>
      <c r="AF106" s="642">
        <v>83.9</v>
      </c>
      <c r="AG106" s="643"/>
      <c r="AH106" s="642">
        <v>72.099999999999994</v>
      </c>
      <c r="AI106" s="643"/>
      <c r="AJ106" s="642">
        <v>68</v>
      </c>
      <c r="AK106" s="643"/>
      <c r="AL106" s="642">
        <v>49.43</v>
      </c>
      <c r="AM106" s="643"/>
      <c r="AN106" s="642">
        <v>48.39</v>
      </c>
      <c r="AO106" s="643"/>
      <c r="AP106" s="642">
        <v>62.39</v>
      </c>
    </row>
    <row r="107" spans="17:42" x14ac:dyDescent="0.25">
      <c r="Q107" s="640">
        <v>2004</v>
      </c>
      <c r="R107" s="642">
        <v>46.87</v>
      </c>
      <c r="S107" s="643"/>
      <c r="T107" s="642">
        <v>41.97</v>
      </c>
      <c r="U107" s="643"/>
      <c r="V107" s="642">
        <v>58.74</v>
      </c>
      <c r="W107" s="643"/>
      <c r="X107" s="642">
        <v>57.53</v>
      </c>
      <c r="Y107" s="643"/>
      <c r="Z107" s="642">
        <v>68.55</v>
      </c>
      <c r="AA107" s="643"/>
      <c r="AB107" s="642">
        <v>71.930000000000007</v>
      </c>
      <c r="AC107" s="643"/>
      <c r="AD107" s="642">
        <v>77.87</v>
      </c>
      <c r="AE107" s="643"/>
      <c r="AF107" s="642">
        <v>76.260000000000005</v>
      </c>
      <c r="AG107" s="643"/>
      <c r="AH107" s="642">
        <v>72.569999999999993</v>
      </c>
      <c r="AI107" s="643"/>
      <c r="AJ107" s="642">
        <v>61.97</v>
      </c>
      <c r="AK107" s="643"/>
      <c r="AL107" s="642">
        <v>48.1</v>
      </c>
      <c r="AM107" s="643"/>
      <c r="AN107" s="642">
        <v>48.39</v>
      </c>
      <c r="AO107" s="643"/>
      <c r="AP107" s="642">
        <v>60.9</v>
      </c>
    </row>
    <row r="108" spans="17:42" x14ac:dyDescent="0.25">
      <c r="Q108" s="640">
        <v>2005</v>
      </c>
      <c r="R108" s="642">
        <v>48.06</v>
      </c>
      <c r="S108" s="643"/>
      <c r="T108" s="642">
        <v>44.79</v>
      </c>
      <c r="U108" s="643"/>
      <c r="V108" s="642">
        <v>47.9</v>
      </c>
      <c r="W108" s="643"/>
      <c r="X108" s="642">
        <v>53.5</v>
      </c>
      <c r="Y108" s="643"/>
      <c r="Z108" s="642">
        <v>63.42</v>
      </c>
      <c r="AA108" s="643"/>
      <c r="AB108" s="642">
        <v>74.17</v>
      </c>
      <c r="AC108" s="643"/>
      <c r="AD108" s="642">
        <v>85.45</v>
      </c>
      <c r="AE108" s="643"/>
      <c r="AF108" s="642">
        <v>77.709999999999994</v>
      </c>
      <c r="AG108" s="643"/>
      <c r="AH108" s="642">
        <v>74.599999999999994</v>
      </c>
      <c r="AI108" s="643"/>
      <c r="AJ108" s="642">
        <v>62.13</v>
      </c>
      <c r="AK108" s="643"/>
      <c r="AL108" s="642">
        <v>54.97</v>
      </c>
      <c r="AM108" s="643"/>
      <c r="AN108" s="642">
        <v>42.71</v>
      </c>
      <c r="AO108" s="643"/>
      <c r="AP108" s="642">
        <v>60.78</v>
      </c>
    </row>
    <row r="109" spans="17:42" x14ac:dyDescent="0.25">
      <c r="Q109" s="640">
        <v>2006</v>
      </c>
      <c r="R109" s="642">
        <v>48.39</v>
      </c>
      <c r="S109" s="643"/>
      <c r="T109" s="642">
        <v>43.39</v>
      </c>
      <c r="U109" s="643"/>
      <c r="V109" s="642">
        <v>47.94</v>
      </c>
      <c r="W109" s="643"/>
      <c r="X109" s="642">
        <v>61.77</v>
      </c>
      <c r="Y109" s="643"/>
      <c r="Z109" s="642">
        <v>67.58</v>
      </c>
      <c r="AA109" s="643"/>
      <c r="AB109" s="642">
        <v>79.040000000000006</v>
      </c>
      <c r="AC109" s="644" t="s">
        <v>801</v>
      </c>
      <c r="AD109" s="642">
        <v>82</v>
      </c>
      <c r="AE109" s="644" t="s">
        <v>802</v>
      </c>
      <c r="AF109" s="642">
        <v>78</v>
      </c>
      <c r="AG109" s="644" t="s">
        <v>796</v>
      </c>
      <c r="AH109" s="642" t="s">
        <v>795</v>
      </c>
      <c r="AI109" s="644" t="s">
        <v>796</v>
      </c>
      <c r="AJ109" s="642" t="s">
        <v>795</v>
      </c>
      <c r="AK109" s="644" t="s">
        <v>796</v>
      </c>
      <c r="AL109" s="642" t="s">
        <v>795</v>
      </c>
      <c r="AM109" s="644" t="s">
        <v>796</v>
      </c>
      <c r="AN109" s="642" t="s">
        <v>795</v>
      </c>
      <c r="AO109" s="644" t="s">
        <v>796</v>
      </c>
      <c r="AP109" s="642">
        <v>58.02</v>
      </c>
    </row>
    <row r="110" spans="17:42" x14ac:dyDescent="0.25">
      <c r="Q110" s="640">
        <v>2007</v>
      </c>
      <c r="R110" s="642"/>
      <c r="S110" s="643"/>
      <c r="T110" s="642"/>
      <c r="U110" s="643"/>
      <c r="V110" s="642"/>
      <c r="W110" s="643"/>
      <c r="X110" s="642"/>
      <c r="Y110" s="643"/>
      <c r="Z110" s="642"/>
      <c r="AA110" s="643"/>
      <c r="AB110" s="642"/>
      <c r="AC110" s="644"/>
      <c r="AD110" s="642">
        <v>83</v>
      </c>
      <c r="AE110" s="644"/>
      <c r="AF110" s="642">
        <v>81</v>
      </c>
      <c r="AG110" s="644"/>
      <c r="AH110" s="642"/>
      <c r="AI110" s="644"/>
      <c r="AJ110" s="642"/>
      <c r="AK110" s="644"/>
      <c r="AL110" s="642"/>
      <c r="AM110" s="644"/>
      <c r="AN110" s="642"/>
      <c r="AO110" s="644"/>
      <c r="AP110" s="642"/>
    </row>
    <row r="111" spans="17:42" x14ac:dyDescent="0.25">
      <c r="Q111" s="640">
        <v>2008</v>
      </c>
      <c r="R111" s="642"/>
      <c r="S111" s="643"/>
      <c r="T111" s="642"/>
      <c r="U111" s="643"/>
      <c r="V111" s="642"/>
      <c r="W111" s="643"/>
      <c r="X111" s="642"/>
      <c r="Y111" s="643"/>
      <c r="Z111" s="642"/>
      <c r="AA111" s="643"/>
      <c r="AB111" s="642"/>
      <c r="AC111" s="644"/>
      <c r="AD111" s="642">
        <v>84</v>
      </c>
      <c r="AE111" s="644"/>
      <c r="AF111" s="642">
        <v>78</v>
      </c>
      <c r="AG111" s="644"/>
      <c r="AH111" s="642"/>
      <c r="AI111" s="644"/>
      <c r="AJ111" s="642"/>
      <c r="AK111" s="644"/>
      <c r="AL111" s="642"/>
      <c r="AM111" s="644"/>
      <c r="AN111" s="642"/>
      <c r="AO111" s="644"/>
      <c r="AP111" s="642"/>
    </row>
    <row r="112" spans="17:42" x14ac:dyDescent="0.25">
      <c r="Q112" s="640">
        <v>2009</v>
      </c>
      <c r="R112" s="642"/>
      <c r="S112" s="643"/>
      <c r="T112" s="642"/>
      <c r="U112" s="643"/>
      <c r="V112" s="642"/>
      <c r="W112" s="643"/>
      <c r="X112" s="642"/>
      <c r="Y112" s="643"/>
      <c r="Z112" s="642"/>
      <c r="AA112" s="643"/>
      <c r="AB112" s="642"/>
      <c r="AC112" s="644"/>
      <c r="AD112" s="642">
        <v>78</v>
      </c>
      <c r="AE112" s="644"/>
      <c r="AF112" s="642">
        <v>78</v>
      </c>
      <c r="AG112" s="644"/>
      <c r="AH112" s="642"/>
      <c r="AI112" s="644"/>
      <c r="AJ112" s="642"/>
      <c r="AK112" s="644"/>
      <c r="AL112" s="642"/>
      <c r="AM112" s="644"/>
      <c r="AN112" s="642"/>
      <c r="AO112" s="644"/>
      <c r="AP112" s="642"/>
    </row>
    <row r="113" spans="17:42" x14ac:dyDescent="0.25">
      <c r="Q113" s="640">
        <v>2010</v>
      </c>
      <c r="R113" s="642"/>
      <c r="S113" s="643"/>
      <c r="T113" s="642"/>
      <c r="U113" s="643"/>
      <c r="V113" s="642"/>
      <c r="W113" s="643"/>
      <c r="X113" s="642"/>
      <c r="Y113" s="643"/>
      <c r="Z113" s="642"/>
      <c r="AA113" s="643"/>
      <c r="AB113" s="642"/>
      <c r="AC113" s="644"/>
      <c r="AD113" s="642">
        <v>82</v>
      </c>
      <c r="AE113" s="644"/>
      <c r="AF113" s="642">
        <v>80</v>
      </c>
      <c r="AG113" s="644"/>
      <c r="AH113" s="642"/>
      <c r="AI113" s="644"/>
      <c r="AJ113" s="642"/>
      <c r="AK113" s="644"/>
      <c r="AL113" s="642"/>
      <c r="AM113" s="644"/>
      <c r="AN113" s="642"/>
      <c r="AO113" s="644"/>
      <c r="AP113" s="642"/>
    </row>
    <row r="114" spans="17:42" x14ac:dyDescent="0.25">
      <c r="Q114" s="639"/>
      <c r="R114" s="641"/>
      <c r="S114" s="643"/>
      <c r="T114" s="641"/>
      <c r="U114" s="643"/>
      <c r="V114" s="641"/>
      <c r="W114" s="643"/>
      <c r="X114" s="641"/>
      <c r="Y114" s="643"/>
      <c r="Z114" s="641"/>
      <c r="AA114" s="643"/>
      <c r="AB114" s="641"/>
      <c r="AC114" s="643"/>
      <c r="AD114" s="646">
        <f>PERCENTILE(AD64:AD113,0.9)</f>
        <v>85.478999999999999</v>
      </c>
      <c r="AE114" s="643"/>
      <c r="AF114" s="641">
        <f>PERCENTILE(AF64:AF109,0.9)</f>
        <v>82.704999999999998</v>
      </c>
      <c r="AG114" s="643"/>
      <c r="AH114" s="641"/>
      <c r="AI114" s="643"/>
      <c r="AJ114" s="641"/>
      <c r="AK114" s="643"/>
      <c r="AL114" s="641"/>
      <c r="AM114" s="643"/>
      <c r="AN114" s="641"/>
      <c r="AO114" s="643"/>
      <c r="AP114" s="641"/>
    </row>
    <row r="115" spans="17:42" x14ac:dyDescent="0.25">
      <c r="Q115" s="639"/>
      <c r="R115" s="641"/>
      <c r="S115" s="643"/>
      <c r="T115" s="641"/>
      <c r="U115" s="643"/>
      <c r="V115" s="641"/>
      <c r="W115" s="643"/>
      <c r="X115" s="641"/>
      <c r="Y115" s="643"/>
      <c r="Z115" s="641"/>
      <c r="AA115" s="643"/>
      <c r="AB115" s="641"/>
      <c r="AC115" s="643"/>
      <c r="AD115" s="641"/>
      <c r="AE115" s="643"/>
      <c r="AF115" s="641"/>
      <c r="AG115" s="643"/>
      <c r="AH115" s="641"/>
      <c r="AI115" s="643"/>
      <c r="AJ115" s="641"/>
      <c r="AK115" s="643"/>
      <c r="AL115" s="641"/>
      <c r="AM115" s="643"/>
      <c r="AN115" s="641"/>
      <c r="AO115" s="643"/>
      <c r="AP115" s="641"/>
    </row>
    <row r="116" spans="17:42" ht="13.25" customHeight="1" x14ac:dyDescent="0.25">
      <c r="Q116" s="1004" t="s">
        <v>803</v>
      </c>
      <c r="R116" s="1004"/>
      <c r="S116" s="1004"/>
      <c r="T116" s="1004"/>
      <c r="U116" s="1004"/>
      <c r="V116" s="1004"/>
      <c r="W116" s="1004"/>
      <c r="X116" s="1004"/>
      <c r="Y116" s="1004"/>
      <c r="Z116" s="1004"/>
      <c r="AA116" s="1004"/>
      <c r="AB116" s="1004"/>
      <c r="AC116" s="1004"/>
      <c r="AD116" s="1004"/>
      <c r="AE116" s="1004"/>
      <c r="AF116" s="1004"/>
      <c r="AG116" s="1004"/>
      <c r="AH116" s="1004"/>
      <c r="AI116" s="1004"/>
      <c r="AJ116" s="1004"/>
      <c r="AK116" s="1004"/>
      <c r="AL116" s="1004"/>
      <c r="AM116" s="1004"/>
      <c r="AN116" s="1004"/>
      <c r="AO116" s="1004"/>
      <c r="AP116" s="1004"/>
    </row>
    <row r="117" spans="17:42" x14ac:dyDescent="0.25">
      <c r="Q117" s="640" t="s">
        <v>804</v>
      </c>
      <c r="R117" s="642">
        <v>44.62</v>
      </c>
      <c r="S117" s="643"/>
      <c r="T117" s="642">
        <v>45.68</v>
      </c>
      <c r="U117" s="643"/>
      <c r="V117" s="642">
        <v>49.78</v>
      </c>
      <c r="W117" s="643"/>
      <c r="X117" s="642">
        <v>56.89</v>
      </c>
      <c r="Y117" s="643"/>
      <c r="Z117" s="642">
        <v>65.31</v>
      </c>
      <c r="AA117" s="643"/>
      <c r="AB117" s="642">
        <v>75.41</v>
      </c>
      <c r="AC117" s="643"/>
      <c r="AD117" s="642">
        <v>81.62</v>
      </c>
      <c r="AE117" s="643"/>
      <c r="AF117" s="642">
        <v>79.44</v>
      </c>
      <c r="AG117" s="643"/>
      <c r="AH117" s="642">
        <v>72.25</v>
      </c>
      <c r="AI117" s="643"/>
      <c r="AJ117" s="642">
        <v>62.52</v>
      </c>
      <c r="AK117" s="643"/>
      <c r="AL117" s="642">
        <v>50.78</v>
      </c>
      <c r="AM117" s="643"/>
      <c r="AN117" s="642">
        <v>45.18</v>
      </c>
      <c r="AO117" s="643"/>
      <c r="AP117" s="642">
        <v>60.84</v>
      </c>
    </row>
    <row r="118" spans="17:42" x14ac:dyDescent="0.25">
      <c r="Q118" s="640" t="s">
        <v>805</v>
      </c>
      <c r="R118" s="642">
        <v>3.38</v>
      </c>
      <c r="S118" s="643"/>
      <c r="T118" s="642">
        <v>3.3</v>
      </c>
      <c r="U118" s="643"/>
      <c r="V118" s="642">
        <v>4.26</v>
      </c>
      <c r="W118" s="643"/>
      <c r="X118" s="642">
        <v>4.0599999999999996</v>
      </c>
      <c r="Y118" s="643"/>
      <c r="Z118" s="642">
        <v>3.91</v>
      </c>
      <c r="AA118" s="643"/>
      <c r="AB118" s="642">
        <v>3.49</v>
      </c>
      <c r="AC118" s="643"/>
      <c r="AD118" s="642">
        <v>2.75</v>
      </c>
      <c r="AE118" s="643"/>
      <c r="AF118" s="642">
        <v>2.56</v>
      </c>
      <c r="AG118" s="643"/>
      <c r="AH118" s="642">
        <v>3.43</v>
      </c>
      <c r="AI118" s="643"/>
      <c r="AJ118" s="642">
        <v>3.89</v>
      </c>
      <c r="AK118" s="643"/>
      <c r="AL118" s="642">
        <v>4.3899999999999997</v>
      </c>
      <c r="AM118" s="643"/>
      <c r="AN118" s="642">
        <v>3.37</v>
      </c>
      <c r="AO118" s="643"/>
      <c r="AP118" s="642">
        <v>1.31</v>
      </c>
    </row>
    <row r="119" spans="17:42" x14ac:dyDescent="0.25">
      <c r="Q119" s="640" t="s">
        <v>806</v>
      </c>
      <c r="R119" s="642">
        <v>-0.64</v>
      </c>
      <c r="S119" s="643"/>
      <c r="T119" s="642">
        <v>-0.12</v>
      </c>
      <c r="U119" s="643"/>
      <c r="V119" s="642">
        <v>0.22</v>
      </c>
      <c r="W119" s="643"/>
      <c r="X119" s="642">
        <v>-0.33</v>
      </c>
      <c r="Y119" s="643"/>
      <c r="Z119" s="642">
        <v>-0.05</v>
      </c>
      <c r="AA119" s="643"/>
      <c r="AB119" s="642">
        <v>-0.26</v>
      </c>
      <c r="AC119" s="643"/>
      <c r="AD119" s="642">
        <v>0.49</v>
      </c>
      <c r="AE119" s="643"/>
      <c r="AF119" s="642">
        <v>0.56000000000000005</v>
      </c>
      <c r="AG119" s="643"/>
      <c r="AH119" s="642">
        <v>-0.22</v>
      </c>
      <c r="AI119" s="643"/>
      <c r="AJ119" s="642">
        <v>-0.61</v>
      </c>
      <c r="AK119" s="643"/>
      <c r="AL119" s="642">
        <v>0.21</v>
      </c>
      <c r="AM119" s="643"/>
      <c r="AN119" s="642">
        <v>-0.06</v>
      </c>
      <c r="AO119" s="643"/>
      <c r="AP119" s="642">
        <v>0.39</v>
      </c>
    </row>
    <row r="120" spans="17:42" x14ac:dyDescent="0.25">
      <c r="Q120" s="640" t="s">
        <v>807</v>
      </c>
      <c r="R120" s="642">
        <v>52.03</v>
      </c>
      <c r="S120" s="643"/>
      <c r="T120" s="642">
        <v>52.61</v>
      </c>
      <c r="U120" s="643"/>
      <c r="V120" s="642">
        <v>58.74</v>
      </c>
      <c r="W120" s="643"/>
      <c r="X120" s="642">
        <v>63.57</v>
      </c>
      <c r="Y120" s="643"/>
      <c r="Z120" s="642">
        <v>72.84</v>
      </c>
      <c r="AA120" s="643"/>
      <c r="AB120" s="642">
        <v>82.2</v>
      </c>
      <c r="AC120" s="643"/>
      <c r="AD120" s="642">
        <v>88.26</v>
      </c>
      <c r="AE120" s="643"/>
      <c r="AF120" s="642">
        <v>85.84</v>
      </c>
      <c r="AG120" s="643"/>
      <c r="AH120" s="642">
        <v>78.430000000000007</v>
      </c>
      <c r="AI120" s="643"/>
      <c r="AJ120" s="642">
        <v>69.81</v>
      </c>
      <c r="AK120" s="643"/>
      <c r="AL120" s="642">
        <v>62.07</v>
      </c>
      <c r="AM120" s="643"/>
      <c r="AN120" s="642">
        <v>53.19</v>
      </c>
      <c r="AO120" s="643"/>
      <c r="AP120" s="642">
        <v>63.98</v>
      </c>
    </row>
    <row r="121" spans="17:42" x14ac:dyDescent="0.25">
      <c r="Q121" s="640" t="s">
        <v>808</v>
      </c>
      <c r="R121" s="642">
        <v>33.630000000000003</v>
      </c>
      <c r="S121" s="643"/>
      <c r="T121" s="642">
        <v>36.61</v>
      </c>
      <c r="U121" s="643"/>
      <c r="V121" s="642">
        <v>40.1</v>
      </c>
      <c r="W121" s="643"/>
      <c r="X121" s="642">
        <v>47.57</v>
      </c>
      <c r="Y121" s="643"/>
      <c r="Z121" s="642">
        <v>56.97</v>
      </c>
      <c r="AA121" s="643"/>
      <c r="AB121" s="642">
        <v>67.37</v>
      </c>
      <c r="AC121" s="643"/>
      <c r="AD121" s="642">
        <v>76.099999999999994</v>
      </c>
      <c r="AE121" s="643"/>
      <c r="AF121" s="642">
        <v>75.650000000000006</v>
      </c>
      <c r="AG121" s="643"/>
      <c r="AH121" s="642">
        <v>64.7</v>
      </c>
      <c r="AI121" s="643"/>
      <c r="AJ121" s="642">
        <v>52.03</v>
      </c>
      <c r="AK121" s="643"/>
      <c r="AL121" s="642">
        <v>41.97</v>
      </c>
      <c r="AM121" s="643"/>
      <c r="AN121" s="642">
        <v>37.26</v>
      </c>
      <c r="AO121" s="643"/>
      <c r="AP121" s="642">
        <v>58.48</v>
      </c>
    </row>
    <row r="122" spans="17:42" x14ac:dyDescent="0.25">
      <c r="Q122" s="640" t="s">
        <v>809</v>
      </c>
      <c r="R122" s="642">
        <v>44</v>
      </c>
      <c r="S122" s="643"/>
      <c r="T122" s="642">
        <v>44</v>
      </c>
      <c r="U122" s="643"/>
      <c r="V122" s="642">
        <v>43</v>
      </c>
      <c r="W122" s="643"/>
      <c r="X122" s="642">
        <v>42</v>
      </c>
      <c r="Y122" s="643"/>
      <c r="Z122" s="642">
        <v>43</v>
      </c>
      <c r="AA122" s="643"/>
      <c r="AB122" s="642">
        <v>45</v>
      </c>
      <c r="AC122" s="643"/>
      <c r="AD122" s="642">
        <v>45</v>
      </c>
      <c r="AE122" s="643"/>
      <c r="AF122" s="642">
        <v>43</v>
      </c>
      <c r="AG122" s="643"/>
      <c r="AH122" s="642">
        <v>42</v>
      </c>
      <c r="AI122" s="643"/>
      <c r="AJ122" s="642">
        <v>45</v>
      </c>
      <c r="AK122" s="643"/>
      <c r="AL122" s="642">
        <v>44</v>
      </c>
      <c r="AM122" s="643"/>
      <c r="AN122" s="642">
        <v>43</v>
      </c>
      <c r="AO122" s="643"/>
      <c r="AP122" s="642">
        <v>37</v>
      </c>
    </row>
    <row r="124" spans="17:42" x14ac:dyDescent="0.25">
      <c r="Q124" s="640" t="s">
        <v>816</v>
      </c>
      <c r="R124" s="20" t="s">
        <v>815</v>
      </c>
      <c r="S124" s="20" t="s">
        <v>814</v>
      </c>
    </row>
    <row r="125" spans="17:42" x14ac:dyDescent="0.25">
      <c r="Q125" s="638">
        <v>2011</v>
      </c>
      <c r="R125" s="638">
        <v>88.5</v>
      </c>
      <c r="S125" s="638">
        <v>75</v>
      </c>
      <c r="T125" s="638"/>
      <c r="U125" s="638"/>
      <c r="V125" s="638"/>
      <c r="W125" s="638"/>
      <c r="X125" s="638"/>
      <c r="Y125" s="638"/>
      <c r="Z125" s="638"/>
      <c r="AA125" s="638">
        <v>0.56999999999999995</v>
      </c>
      <c r="AB125" s="638">
        <v>0</v>
      </c>
    </row>
    <row r="126" spans="17:42" x14ac:dyDescent="0.25">
      <c r="Q126" s="638">
        <v>2010</v>
      </c>
      <c r="R126" s="638">
        <v>85.5</v>
      </c>
      <c r="S126" s="638">
        <v>72.5</v>
      </c>
      <c r="T126" s="638"/>
      <c r="U126" s="638"/>
      <c r="V126" s="638"/>
      <c r="W126" s="638"/>
      <c r="X126" s="638"/>
      <c r="Y126" s="638"/>
      <c r="Z126" s="638"/>
      <c r="AA126" s="638">
        <v>0.78</v>
      </c>
      <c r="AB126" s="638">
        <v>0</v>
      </c>
    </row>
    <row r="127" spans="17:42" x14ac:dyDescent="0.25">
      <c r="Q127" s="638">
        <v>2009</v>
      </c>
      <c r="R127" s="638">
        <v>81.8</v>
      </c>
      <c r="S127" s="638">
        <v>69.3</v>
      </c>
      <c r="T127" s="638"/>
      <c r="U127" s="638"/>
      <c r="V127" s="638"/>
      <c r="W127" s="638"/>
      <c r="X127" s="638"/>
      <c r="Y127" s="638"/>
      <c r="Z127" s="638"/>
      <c r="AA127" s="638">
        <v>0.4</v>
      </c>
      <c r="AB127" s="638">
        <v>0</v>
      </c>
    </row>
    <row r="128" spans="17:42" x14ac:dyDescent="0.25">
      <c r="Q128" s="638">
        <v>2008</v>
      </c>
      <c r="R128" s="638">
        <v>88.8</v>
      </c>
      <c r="S128" s="638">
        <v>75.099999999999994</v>
      </c>
      <c r="T128" s="638"/>
      <c r="U128" s="638"/>
      <c r="V128" s="638"/>
      <c r="W128" s="638"/>
      <c r="X128" s="638"/>
      <c r="Y128" s="638"/>
      <c r="Z128" s="638"/>
      <c r="AA128" s="638">
        <v>0.08</v>
      </c>
      <c r="AB128" s="638">
        <v>0</v>
      </c>
    </row>
    <row r="129" spans="17:28" x14ac:dyDescent="0.25">
      <c r="Q129" s="638">
        <v>2007</v>
      </c>
      <c r="R129" s="638">
        <v>88.1</v>
      </c>
      <c r="S129" s="638">
        <v>75</v>
      </c>
      <c r="T129" s="638"/>
      <c r="U129" s="638"/>
      <c r="V129" s="638"/>
      <c r="W129" s="638"/>
      <c r="X129" s="638"/>
      <c r="Y129" s="638"/>
      <c r="Z129" s="638"/>
      <c r="AA129" s="638">
        <v>0.36</v>
      </c>
      <c r="AB129" s="638">
        <v>0</v>
      </c>
    </row>
    <row r="130" spans="17:28" x14ac:dyDescent="0.25">
      <c r="Q130" s="638">
        <v>2006</v>
      </c>
      <c r="R130" s="638">
        <v>86</v>
      </c>
      <c r="S130" s="638">
        <v>74.2</v>
      </c>
      <c r="T130" s="638"/>
      <c r="U130" s="638"/>
      <c r="V130" s="638"/>
      <c r="W130" s="638"/>
      <c r="X130" s="638"/>
      <c r="Y130" s="638"/>
      <c r="Z130" s="638"/>
      <c r="AA130" s="638">
        <v>1.5</v>
      </c>
      <c r="AB130" s="638">
        <v>0</v>
      </c>
    </row>
    <row r="131" spans="17:28" x14ac:dyDescent="0.25">
      <c r="Q131" s="638">
        <v>2005</v>
      </c>
      <c r="R131" s="638">
        <v>90</v>
      </c>
      <c r="S131" s="638">
        <v>76.2</v>
      </c>
      <c r="T131" s="638"/>
      <c r="U131" s="638"/>
      <c r="V131" s="638"/>
      <c r="W131" s="638"/>
      <c r="X131" s="638"/>
      <c r="Y131" s="638"/>
      <c r="Z131" s="638"/>
      <c r="AA131" s="638">
        <v>0.52</v>
      </c>
      <c r="AB131" s="638">
        <v>0</v>
      </c>
    </row>
    <row r="132" spans="17:28" x14ac:dyDescent="0.25">
      <c r="Q132" s="638">
        <v>2004</v>
      </c>
      <c r="R132" s="638">
        <v>82.9</v>
      </c>
      <c r="S132" s="638">
        <v>70.400000000000006</v>
      </c>
      <c r="T132" s="638"/>
      <c r="U132" s="638"/>
      <c r="V132" s="638"/>
      <c r="W132" s="638"/>
      <c r="X132" s="638"/>
      <c r="Y132" s="638"/>
      <c r="Z132" s="638"/>
      <c r="AA132" s="638">
        <v>0.81</v>
      </c>
      <c r="AB132" s="638">
        <v>0</v>
      </c>
    </row>
    <row r="133" spans="17:28" x14ac:dyDescent="0.25">
      <c r="Q133" s="638">
        <v>2003</v>
      </c>
      <c r="R133" s="638">
        <v>92.1</v>
      </c>
      <c r="S133" s="638">
        <v>78.2</v>
      </c>
      <c r="T133" s="638"/>
      <c r="U133" s="638"/>
      <c r="V133" s="638"/>
      <c r="W133" s="638"/>
      <c r="X133" s="638"/>
      <c r="Y133" s="638"/>
      <c r="Z133" s="638"/>
      <c r="AA133" s="638">
        <v>0.25</v>
      </c>
      <c r="AB133" s="638">
        <v>0</v>
      </c>
    </row>
    <row r="134" spans="17:28" x14ac:dyDescent="0.25">
      <c r="Q134" s="638">
        <v>2002</v>
      </c>
      <c r="R134" s="638">
        <v>91.7</v>
      </c>
      <c r="S134" s="638">
        <v>77.7</v>
      </c>
      <c r="T134" s="638"/>
      <c r="U134" s="638"/>
      <c r="V134" s="638"/>
      <c r="W134" s="638"/>
      <c r="X134" s="638"/>
      <c r="Y134" s="638"/>
      <c r="Z134" s="638"/>
      <c r="AA134" s="638">
        <v>0.18</v>
      </c>
      <c r="AB134" s="638">
        <v>0</v>
      </c>
    </row>
    <row r="135" spans="17:28" x14ac:dyDescent="0.25">
      <c r="Q135" s="638">
        <v>2001</v>
      </c>
      <c r="R135" s="638">
        <v>89.5</v>
      </c>
      <c r="S135" s="638">
        <v>76.2</v>
      </c>
      <c r="T135" s="638"/>
      <c r="U135" s="638"/>
      <c r="V135" s="638"/>
      <c r="W135" s="638"/>
      <c r="X135" s="638"/>
      <c r="Y135" s="638"/>
      <c r="Z135" s="638"/>
      <c r="AA135" s="638">
        <v>1.05</v>
      </c>
      <c r="AB135" s="638">
        <v>0</v>
      </c>
    </row>
    <row r="136" spans="17:28" x14ac:dyDescent="0.25">
      <c r="Q136" s="638">
        <v>2000</v>
      </c>
      <c r="R136" s="638">
        <v>89.7</v>
      </c>
      <c r="S136" s="638">
        <v>75.400000000000006</v>
      </c>
      <c r="T136" s="638"/>
      <c r="U136" s="638"/>
      <c r="V136" s="638"/>
      <c r="W136" s="638"/>
      <c r="X136" s="638"/>
      <c r="Y136" s="638"/>
      <c r="Z136" s="638"/>
      <c r="AA136" s="638">
        <v>3.72</v>
      </c>
      <c r="AB136" s="638">
        <v>0</v>
      </c>
    </row>
    <row r="137" spans="17:28" x14ac:dyDescent="0.25">
      <c r="Q137" s="638">
        <v>1999</v>
      </c>
      <c r="R137" s="638">
        <v>87.1</v>
      </c>
      <c r="S137" s="638">
        <v>73.900000000000006</v>
      </c>
      <c r="T137" s="638"/>
      <c r="U137" s="638"/>
      <c r="V137" s="638"/>
      <c r="W137" s="638"/>
      <c r="X137" s="638"/>
      <c r="Y137" s="638"/>
      <c r="Z137" s="638"/>
      <c r="AA137" s="638">
        <v>0.69</v>
      </c>
      <c r="AB137" s="638">
        <v>0</v>
      </c>
    </row>
    <row r="138" spans="17:28" x14ac:dyDescent="0.25">
      <c r="Q138" s="638">
        <v>1998</v>
      </c>
      <c r="R138" s="638">
        <v>85.4</v>
      </c>
      <c r="S138" s="638">
        <v>73.2</v>
      </c>
      <c r="T138" s="638"/>
      <c r="U138" s="638"/>
      <c r="V138" s="638"/>
      <c r="W138" s="638"/>
      <c r="X138" s="638"/>
      <c r="Y138" s="638"/>
      <c r="Z138" s="638"/>
      <c r="AA138" s="638">
        <v>0.53</v>
      </c>
      <c r="AB138" s="638">
        <v>0</v>
      </c>
    </row>
    <row r="139" spans="17:28" x14ac:dyDescent="0.25">
      <c r="Q139" s="638">
        <v>1997</v>
      </c>
      <c r="R139" s="638">
        <v>88</v>
      </c>
      <c r="S139" s="638">
        <v>72.900000000000006</v>
      </c>
      <c r="T139" s="638"/>
      <c r="U139" s="638"/>
      <c r="V139" s="638"/>
      <c r="W139" s="638"/>
    </row>
    <row r="140" spans="17:28" x14ac:dyDescent="0.25">
      <c r="Q140" s="638"/>
      <c r="R140" s="652">
        <f>AVERAGE(R125:R139)</f>
        <v>87.673333333333346</v>
      </c>
      <c r="S140" s="652">
        <f>AVERAGE(S125:S139)</f>
        <v>74.346666666666664</v>
      </c>
      <c r="T140" s="638">
        <f>PERCENTILE(R125:R139,0.9)</f>
        <v>91.02</v>
      </c>
      <c r="U140" s="638"/>
      <c r="V140" s="638"/>
      <c r="W140" s="638"/>
    </row>
    <row r="141" spans="17:28" x14ac:dyDescent="0.25">
      <c r="R141" s="20" t="s">
        <v>815</v>
      </c>
      <c r="S141" s="20" t="s">
        <v>814</v>
      </c>
    </row>
    <row r="142" spans="17:28" x14ac:dyDescent="0.25">
      <c r="Q142" s="638">
        <v>2011</v>
      </c>
      <c r="R142" s="638">
        <v>89.4</v>
      </c>
      <c r="S142" s="638">
        <v>75</v>
      </c>
      <c r="T142" s="638"/>
      <c r="U142" s="638"/>
      <c r="V142" s="638"/>
      <c r="Y142" s="638"/>
      <c r="Z142" s="638"/>
      <c r="AA142" s="638">
        <v>0.26</v>
      </c>
      <c r="AB142" s="638">
        <v>0</v>
      </c>
    </row>
    <row r="143" spans="17:28" x14ac:dyDescent="0.25">
      <c r="Q143" s="638">
        <v>2010</v>
      </c>
      <c r="R143" s="638">
        <v>84.8</v>
      </c>
      <c r="S143" s="638">
        <v>72.2</v>
      </c>
      <c r="T143" s="638"/>
      <c r="U143" s="638"/>
      <c r="V143" s="638"/>
      <c r="Y143" s="638"/>
      <c r="Z143" s="638"/>
      <c r="AA143" s="638">
        <v>0.85</v>
      </c>
      <c r="AB143" s="638">
        <v>0</v>
      </c>
    </row>
    <row r="144" spans="17:28" x14ac:dyDescent="0.25">
      <c r="Q144" s="638">
        <v>2009</v>
      </c>
      <c r="R144" s="638">
        <v>81.3</v>
      </c>
      <c r="S144" s="638">
        <v>68.7</v>
      </c>
      <c r="T144" s="638"/>
      <c r="U144" s="638"/>
      <c r="V144" s="638"/>
      <c r="Y144" s="638"/>
      <c r="Z144" s="638"/>
      <c r="AA144" s="638">
        <v>0.25</v>
      </c>
      <c r="AB144" s="638">
        <v>0</v>
      </c>
    </row>
    <row r="145" spans="17:28" x14ac:dyDescent="0.25">
      <c r="Q145" s="638">
        <v>2008</v>
      </c>
      <c r="R145" s="638">
        <v>81.900000000000006</v>
      </c>
      <c r="S145" s="638">
        <v>69.599999999999994</v>
      </c>
      <c r="T145" s="638"/>
      <c r="U145" s="638"/>
      <c r="V145" s="638"/>
      <c r="Y145" s="638"/>
      <c r="Z145" s="638"/>
      <c r="AA145" s="638">
        <v>1.1499999999999999</v>
      </c>
      <c r="AB145" s="638">
        <v>0</v>
      </c>
    </row>
    <row r="146" spans="17:28" x14ac:dyDescent="0.25">
      <c r="Q146" s="638">
        <v>2007</v>
      </c>
      <c r="R146" s="638"/>
      <c r="S146" s="638"/>
      <c r="T146" s="638"/>
      <c r="U146" s="638"/>
      <c r="V146" s="638"/>
      <c r="Y146" s="638"/>
      <c r="Z146" s="638"/>
      <c r="AA146" s="638">
        <v>0.74</v>
      </c>
      <c r="AB146" s="638">
        <v>0</v>
      </c>
    </row>
    <row r="147" spans="17:28" x14ac:dyDescent="0.25">
      <c r="Q147" s="638">
        <v>2006</v>
      </c>
      <c r="R147" s="638">
        <v>81.7</v>
      </c>
      <c r="S147" s="638">
        <v>70.099999999999994</v>
      </c>
      <c r="T147" s="638"/>
      <c r="U147" s="638"/>
      <c r="V147" s="638"/>
      <c r="Y147" s="638"/>
      <c r="Z147" s="638"/>
      <c r="AA147" s="638">
        <v>1.62</v>
      </c>
      <c r="AB147" s="638">
        <v>0</v>
      </c>
    </row>
    <row r="148" spans="17:28" x14ac:dyDescent="0.25">
      <c r="Q148" s="638">
        <v>2005</v>
      </c>
      <c r="R148" s="638">
        <v>81.8</v>
      </c>
      <c r="S148" s="638">
        <v>69.900000000000006</v>
      </c>
      <c r="T148" s="638"/>
      <c r="U148" s="638"/>
      <c r="V148" s="638"/>
      <c r="Y148" s="638"/>
      <c r="Z148" s="638"/>
      <c r="AA148" s="638">
        <v>2.1</v>
      </c>
      <c r="AB148" s="638">
        <v>0</v>
      </c>
    </row>
    <row r="149" spans="17:28" x14ac:dyDescent="0.25">
      <c r="Q149" s="638">
        <v>2004</v>
      </c>
      <c r="R149" s="638">
        <v>79.599999999999994</v>
      </c>
      <c r="S149" s="638">
        <v>67.599999999999994</v>
      </c>
      <c r="T149" s="638"/>
      <c r="U149" s="638"/>
      <c r="V149" s="638"/>
      <c r="Y149" s="638"/>
      <c r="Z149" s="638"/>
      <c r="AA149" s="638">
        <v>1.95</v>
      </c>
      <c r="AB149" s="638">
        <v>0</v>
      </c>
    </row>
    <row r="150" spans="17:28" x14ac:dyDescent="0.25">
      <c r="Q150" s="638">
        <v>2003</v>
      </c>
      <c r="R150" s="638">
        <v>87.5</v>
      </c>
      <c r="S150" s="638">
        <v>74</v>
      </c>
      <c r="T150" s="638"/>
      <c r="U150" s="638"/>
      <c r="V150" s="638"/>
      <c r="Y150" s="638"/>
      <c r="Z150" s="638"/>
      <c r="AA150" s="638">
        <v>0.52</v>
      </c>
      <c r="AB150" s="638">
        <v>0</v>
      </c>
    </row>
    <row r="151" spans="17:28" x14ac:dyDescent="0.25">
      <c r="Q151" s="638">
        <v>2002</v>
      </c>
      <c r="R151" s="638">
        <v>83.9</v>
      </c>
      <c r="S151" s="638">
        <v>70.099999999999994</v>
      </c>
      <c r="T151" s="638"/>
      <c r="U151" s="638"/>
      <c r="V151" s="638"/>
      <c r="Y151" s="638"/>
      <c r="Z151" s="638"/>
      <c r="AA151" s="638">
        <v>0.43</v>
      </c>
      <c r="AB151" s="638">
        <v>0</v>
      </c>
    </row>
    <row r="152" spans="17:28" x14ac:dyDescent="0.25">
      <c r="Q152" s="638">
        <v>2001</v>
      </c>
      <c r="R152" s="638">
        <v>84.7</v>
      </c>
      <c r="S152" s="638">
        <v>72.5</v>
      </c>
      <c r="T152" s="638"/>
      <c r="U152" s="638"/>
      <c r="V152" s="638"/>
      <c r="Y152" s="638"/>
      <c r="Z152" s="638"/>
      <c r="AA152" s="638">
        <v>1.58</v>
      </c>
      <c r="AB152" s="638">
        <v>0</v>
      </c>
    </row>
    <row r="153" spans="17:28" x14ac:dyDescent="0.25">
      <c r="Q153" s="638">
        <v>2000</v>
      </c>
      <c r="R153" s="638">
        <v>87.2</v>
      </c>
      <c r="S153" s="638">
        <v>74.3</v>
      </c>
      <c r="T153" s="638"/>
      <c r="U153" s="638"/>
      <c r="V153" s="638"/>
      <c r="Y153" s="638"/>
      <c r="Z153" s="638"/>
      <c r="AA153" s="638">
        <v>0.7</v>
      </c>
      <c r="AB153" s="638">
        <v>0</v>
      </c>
    </row>
    <row r="154" spans="17:28" x14ac:dyDescent="0.25">
      <c r="Q154" s="638">
        <v>1999</v>
      </c>
      <c r="R154" s="638">
        <v>82</v>
      </c>
      <c r="S154" s="638">
        <v>70.3</v>
      </c>
      <c r="T154" s="638"/>
      <c r="U154" s="638"/>
      <c r="V154" s="638"/>
      <c r="Y154" s="638"/>
      <c r="Z154" s="638"/>
      <c r="AA154" s="638">
        <v>2.13</v>
      </c>
      <c r="AB154" s="638">
        <v>0</v>
      </c>
    </row>
    <row r="155" spans="17:28" x14ac:dyDescent="0.25">
      <c r="Q155" s="638">
        <v>1998</v>
      </c>
      <c r="R155" s="638">
        <v>86</v>
      </c>
      <c r="S155" s="638">
        <v>72.599999999999994</v>
      </c>
      <c r="T155" s="638"/>
      <c r="U155" s="638"/>
      <c r="V155" s="638"/>
    </row>
    <row r="156" spans="17:28" x14ac:dyDescent="0.25">
      <c r="R156" s="3">
        <f>AVERAGE(R142:R155)</f>
        <v>83.984615384615395</v>
      </c>
      <c r="S156" s="3">
        <f>AVERAGE(S142:S155)</f>
        <v>71.3</v>
      </c>
      <c r="T156">
        <f>PERCENTILE(R142:R155,0.9)</f>
        <v>87.44</v>
      </c>
    </row>
    <row r="158" spans="17:28" x14ac:dyDescent="0.25">
      <c r="Q158" s="638"/>
      <c r="R158" s="638"/>
      <c r="S158" s="638"/>
      <c r="T158" s="638"/>
      <c r="U158" s="638"/>
      <c r="V158" s="638"/>
      <c r="W158" s="638"/>
      <c r="Y158" s="638"/>
      <c r="Z158" s="638"/>
      <c r="AA158" s="638"/>
      <c r="AB158" s="638"/>
    </row>
    <row r="159" spans="17:28" x14ac:dyDescent="0.25">
      <c r="Q159" s="638"/>
      <c r="R159" s="638"/>
      <c r="S159" s="638"/>
      <c r="T159" s="638"/>
      <c r="U159" s="638"/>
      <c r="V159" s="638"/>
      <c r="W159" s="638"/>
      <c r="Y159" s="638"/>
      <c r="Z159" s="638"/>
      <c r="AA159" s="638"/>
      <c r="AB159" s="638"/>
    </row>
    <row r="160" spans="17:28" x14ac:dyDescent="0.25">
      <c r="Q160" s="638"/>
      <c r="R160" s="638"/>
      <c r="S160" s="638"/>
      <c r="T160" s="638"/>
      <c r="U160" s="638"/>
      <c r="V160" s="638"/>
      <c r="W160" s="638"/>
      <c r="Y160" s="638"/>
      <c r="Z160" s="638"/>
      <c r="AA160" s="638"/>
      <c r="AB160" s="638"/>
    </row>
    <row r="161" spans="17:28" x14ac:dyDescent="0.25">
      <c r="Q161" s="638"/>
      <c r="R161" s="638"/>
      <c r="S161" s="638"/>
      <c r="T161" s="638"/>
      <c r="U161" s="638"/>
      <c r="V161" s="638"/>
      <c r="W161" s="638"/>
      <c r="Y161" s="638"/>
      <c r="Z161" s="638"/>
      <c r="AA161" s="638"/>
      <c r="AB161" s="638"/>
    </row>
    <row r="162" spans="17:28" x14ac:dyDescent="0.25">
      <c r="Q162" s="638"/>
      <c r="R162" s="638"/>
      <c r="S162" s="638"/>
      <c r="T162" s="638"/>
      <c r="U162" s="638"/>
      <c r="V162" s="638"/>
      <c r="W162" s="638"/>
      <c r="Y162" s="638"/>
      <c r="Z162" s="638"/>
      <c r="AA162" s="638"/>
      <c r="AB162" s="638"/>
    </row>
    <row r="163" spans="17:28" x14ac:dyDescent="0.25">
      <c r="Q163" s="638"/>
      <c r="R163" s="638"/>
      <c r="S163" s="638"/>
      <c r="T163" s="638"/>
      <c r="U163" s="638"/>
      <c r="V163" s="638"/>
      <c r="W163" s="638"/>
      <c r="Y163" s="638"/>
      <c r="Z163" s="638"/>
      <c r="AA163" s="638"/>
      <c r="AB163" s="638"/>
    </row>
    <row r="164" spans="17:28" x14ac:dyDescent="0.25">
      <c r="Q164" s="638"/>
      <c r="R164" s="638"/>
      <c r="S164" s="638"/>
      <c r="T164" s="638"/>
      <c r="U164" s="638"/>
      <c r="V164" s="638"/>
      <c r="W164" s="638"/>
      <c r="Y164" s="638"/>
      <c r="Z164" s="638"/>
      <c r="AA164" s="638"/>
      <c r="AB164" s="638"/>
    </row>
    <row r="165" spans="17:28" x14ac:dyDescent="0.25">
      <c r="Q165" s="638"/>
      <c r="R165" s="638"/>
      <c r="S165" s="638"/>
      <c r="T165" s="638"/>
      <c r="U165" s="638"/>
      <c r="V165" s="638"/>
      <c r="W165" s="638"/>
      <c r="Y165" s="638"/>
      <c r="Z165" s="638"/>
      <c r="AA165" s="638"/>
      <c r="AB165" s="638"/>
    </row>
    <row r="166" spans="17:28" x14ac:dyDescent="0.25">
      <c r="Q166" s="638"/>
      <c r="R166" s="638"/>
      <c r="S166" s="638"/>
      <c r="T166" s="638"/>
      <c r="U166" s="638"/>
      <c r="V166" s="638"/>
      <c r="W166" s="638"/>
      <c r="Y166" s="638"/>
      <c r="Z166" s="638"/>
      <c r="AA166" s="638"/>
      <c r="AB166" s="638"/>
    </row>
    <row r="167" spans="17:28" x14ac:dyDescent="0.25">
      <c r="Q167" s="638"/>
      <c r="R167" s="638"/>
      <c r="S167" s="638"/>
      <c r="T167" s="638"/>
      <c r="U167" s="638"/>
      <c r="V167" s="638"/>
      <c r="W167" s="638"/>
      <c r="Y167" s="638"/>
      <c r="Z167" s="638"/>
      <c r="AA167" s="638"/>
      <c r="AB167" s="638"/>
    </row>
    <row r="168" spans="17:28" x14ac:dyDescent="0.25">
      <c r="Q168" s="638"/>
      <c r="R168" s="638"/>
      <c r="S168" s="638"/>
      <c r="T168" s="638"/>
      <c r="U168" s="638"/>
      <c r="V168" s="638"/>
      <c r="W168" s="638"/>
      <c r="Y168" s="638"/>
      <c r="Z168" s="638"/>
      <c r="AA168" s="638"/>
      <c r="AB168" s="638"/>
    </row>
    <row r="169" spans="17:28" x14ac:dyDescent="0.25">
      <c r="Q169" s="638"/>
      <c r="R169" s="638"/>
      <c r="S169" s="638"/>
      <c r="T169" s="638"/>
      <c r="U169" s="638"/>
      <c r="V169" s="638"/>
      <c r="W169" s="638"/>
      <c r="Y169" s="638"/>
      <c r="Z169" s="638"/>
      <c r="AA169" s="638"/>
      <c r="AB169" s="638"/>
    </row>
    <row r="170" spans="17:28" x14ac:dyDescent="0.25">
      <c r="Q170" s="638"/>
      <c r="R170" s="638"/>
      <c r="S170" s="638"/>
      <c r="T170" s="638"/>
      <c r="U170" s="638"/>
      <c r="V170" s="638"/>
      <c r="W170" s="638"/>
      <c r="Y170" s="638"/>
      <c r="Z170" s="638"/>
      <c r="AA170" s="638"/>
      <c r="AB170" s="638"/>
    </row>
    <row r="171" spans="17:28" x14ac:dyDescent="0.25">
      <c r="Q171" s="638"/>
      <c r="R171" s="638"/>
      <c r="S171" s="638"/>
      <c r="T171" s="638"/>
      <c r="U171" s="638"/>
      <c r="V171" s="638"/>
      <c r="W171" s="638"/>
      <c r="Y171" s="638"/>
      <c r="Z171" s="638"/>
      <c r="AA171" s="638"/>
      <c r="AB171" s="638"/>
    </row>
    <row r="172" spans="17:28" x14ac:dyDescent="0.25">
      <c r="Q172" s="638"/>
      <c r="R172" s="638"/>
      <c r="S172" s="638"/>
      <c r="T172" s="638"/>
      <c r="U172" s="638"/>
      <c r="V172" s="638"/>
      <c r="W172" s="638"/>
    </row>
  </sheetData>
  <mergeCells count="37">
    <mergeCell ref="I38:J38"/>
    <mergeCell ref="H38:H39"/>
    <mergeCell ref="L16:O16"/>
    <mergeCell ref="L21:O21"/>
    <mergeCell ref="AL1:AM1"/>
    <mergeCell ref="Z1:AA1"/>
    <mergeCell ref="AB1:AC1"/>
    <mergeCell ref="AD1:AE1"/>
    <mergeCell ref="AF1:AG1"/>
    <mergeCell ref="AH1:AI1"/>
    <mergeCell ref="AJ1:AK1"/>
    <mergeCell ref="A1:C1"/>
    <mergeCell ref="R1:S1"/>
    <mergeCell ref="T1:U1"/>
    <mergeCell ref="V1:W1"/>
    <mergeCell ref="X1:Y1"/>
    <mergeCell ref="V63:W63"/>
    <mergeCell ref="X63:Y63"/>
    <mergeCell ref="Z63:AA63"/>
    <mergeCell ref="AB63:AC63"/>
    <mergeCell ref="AD63:AE63"/>
    <mergeCell ref="Q116:AP116"/>
    <mergeCell ref="H9:J9"/>
    <mergeCell ref="H1:K1"/>
    <mergeCell ref="H5:K5"/>
    <mergeCell ref="D1:E1"/>
    <mergeCell ref="AF63:AG63"/>
    <mergeCell ref="AH63:AI63"/>
    <mergeCell ref="AJ63:AK63"/>
    <mergeCell ref="AL63:AM63"/>
    <mergeCell ref="AN63:AO63"/>
    <mergeCell ref="AP63:AQ63"/>
    <mergeCell ref="AN1:AO1"/>
    <mergeCell ref="AP1:AQ1"/>
    <mergeCell ref="Q54:AP54"/>
    <mergeCell ref="R63:S63"/>
    <mergeCell ref="T63:U6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62"/>
  <sheetViews>
    <sheetView topLeftCell="A58" workbookViewId="0">
      <selection activeCell="T78" sqref="T78"/>
    </sheetView>
  </sheetViews>
  <sheetFormatPr defaultRowHeight="12.5" x14ac:dyDescent="0.25"/>
  <cols>
    <col min="1" max="1" width="18.453125" style="20" customWidth="1"/>
    <col min="2" max="2" width="5" style="20" customWidth="1"/>
    <col min="3" max="3" width="6" style="20" customWidth="1"/>
    <col min="5" max="5" width="20.36328125" bestFit="1" customWidth="1"/>
    <col min="6" max="6" width="5.08984375" bestFit="1" customWidth="1"/>
    <col min="21" max="21" width="14" bestFit="1" customWidth="1"/>
    <col min="23" max="23" width="14" bestFit="1" customWidth="1"/>
    <col min="24" max="24" width="22.453125" bestFit="1" customWidth="1"/>
    <col min="25" max="25" width="24.453125" bestFit="1" customWidth="1"/>
  </cols>
  <sheetData>
    <row r="1" spans="1:25" ht="15.5" x14ac:dyDescent="0.35">
      <c r="A1" s="829" t="s">
        <v>64</v>
      </c>
      <c r="B1" s="829"/>
      <c r="C1" s="829"/>
      <c r="D1" s="829"/>
      <c r="E1" s="829"/>
      <c r="F1" s="829"/>
      <c r="G1" s="829"/>
      <c r="H1" s="27"/>
      <c r="I1" s="27"/>
      <c r="J1" s="27"/>
    </row>
    <row r="2" spans="1:25" ht="13" x14ac:dyDescent="0.3">
      <c r="A2" s="164"/>
      <c r="B2" s="29" t="s">
        <v>57</v>
      </c>
      <c r="C2" s="30" t="s">
        <v>58</v>
      </c>
      <c r="D2" s="31"/>
      <c r="F2" s="29" t="s">
        <v>108</v>
      </c>
      <c r="G2" s="30" t="s">
        <v>58</v>
      </c>
    </row>
    <row r="3" spans="1:25" x14ac:dyDescent="0.25">
      <c r="A3" s="18" t="s">
        <v>35</v>
      </c>
      <c r="B3" s="430">
        <v>1990</v>
      </c>
      <c r="C3" s="401">
        <v>119.5</v>
      </c>
      <c r="E3" s="18" t="s">
        <v>29</v>
      </c>
      <c r="F3" s="430">
        <v>1990</v>
      </c>
      <c r="G3" s="401">
        <v>334</v>
      </c>
      <c r="U3" t="s">
        <v>103</v>
      </c>
      <c r="V3" t="s">
        <v>92</v>
      </c>
      <c r="W3" t="s">
        <v>104</v>
      </c>
      <c r="X3" t="s">
        <v>105</v>
      </c>
      <c r="Y3" t="s">
        <v>106</v>
      </c>
    </row>
    <row r="4" spans="1:25" x14ac:dyDescent="0.25">
      <c r="B4" s="430">
        <v>1991</v>
      </c>
      <c r="C4" s="401">
        <v>270</v>
      </c>
      <c r="E4" s="20"/>
      <c r="F4" s="430">
        <v>1991</v>
      </c>
      <c r="G4" s="401">
        <v>267</v>
      </c>
      <c r="U4" s="3">
        <v>19.266666666666666</v>
      </c>
      <c r="V4">
        <v>81</v>
      </c>
      <c r="W4" s="3">
        <v>10.166666666666666</v>
      </c>
      <c r="X4" s="3">
        <v>33.56666666666667</v>
      </c>
      <c r="Y4" s="3">
        <v>38.75</v>
      </c>
    </row>
    <row r="5" spans="1:25" x14ac:dyDescent="0.25">
      <c r="B5" s="430">
        <v>1992</v>
      </c>
      <c r="C5" s="401">
        <v>201</v>
      </c>
      <c r="E5" s="20"/>
      <c r="F5" s="430">
        <v>1992</v>
      </c>
      <c r="G5" s="401">
        <v>277</v>
      </c>
      <c r="U5" s="3">
        <v>45.866666666666667</v>
      </c>
      <c r="V5">
        <v>102</v>
      </c>
      <c r="W5" s="3">
        <v>35.5</v>
      </c>
      <c r="X5" s="3"/>
      <c r="Y5" s="3"/>
    </row>
    <row r="6" spans="1:25" x14ac:dyDescent="0.25">
      <c r="B6" s="430">
        <v>1993</v>
      </c>
      <c r="C6" s="401">
        <v>240</v>
      </c>
      <c r="E6" s="20"/>
      <c r="F6" s="430">
        <v>1993</v>
      </c>
      <c r="G6" s="401">
        <v>216</v>
      </c>
      <c r="U6" s="3">
        <v>31.133333333333333</v>
      </c>
      <c r="V6">
        <v>54</v>
      </c>
      <c r="W6" s="3">
        <v>33.333333333333336</v>
      </c>
      <c r="X6" s="3"/>
      <c r="Y6" s="3"/>
    </row>
    <row r="7" spans="1:25" x14ac:dyDescent="0.25">
      <c r="B7" s="430">
        <v>1994</v>
      </c>
      <c r="C7" s="166">
        <v>100</v>
      </c>
      <c r="E7" s="20"/>
      <c r="F7" s="430">
        <v>1994</v>
      </c>
      <c r="G7" s="166">
        <v>122</v>
      </c>
      <c r="U7" s="3">
        <v>28.266666666666666</v>
      </c>
      <c r="V7">
        <v>46</v>
      </c>
      <c r="W7" s="3">
        <v>30.333333333333332</v>
      </c>
      <c r="X7" s="3"/>
      <c r="Y7" s="3"/>
    </row>
    <row r="8" spans="1:25" x14ac:dyDescent="0.25">
      <c r="B8" s="431">
        <v>1995</v>
      </c>
      <c r="C8" s="166">
        <v>52</v>
      </c>
      <c r="E8" s="20"/>
      <c r="F8" s="431">
        <v>1995</v>
      </c>
      <c r="G8" s="166">
        <v>73</v>
      </c>
      <c r="U8" s="3">
        <v>38.866666666666667</v>
      </c>
      <c r="V8">
        <v>87</v>
      </c>
      <c r="W8" s="3">
        <v>47.166666666666664</v>
      </c>
      <c r="X8" s="3"/>
      <c r="Y8" s="3"/>
    </row>
    <row r="9" spans="1:25" x14ac:dyDescent="0.25">
      <c r="B9" s="430">
        <v>1996</v>
      </c>
      <c r="C9" s="403">
        <v>66.1875</v>
      </c>
      <c r="E9" s="20"/>
      <c r="F9" s="430">
        <v>1996</v>
      </c>
      <c r="G9" s="403">
        <v>58.5</v>
      </c>
      <c r="U9" s="5"/>
    </row>
    <row r="10" spans="1:25" x14ac:dyDescent="0.25">
      <c r="B10" s="430">
        <v>1997</v>
      </c>
      <c r="C10" s="401">
        <v>85.579818007202547</v>
      </c>
      <c r="E10" s="20"/>
      <c r="F10" s="430">
        <v>1997</v>
      </c>
      <c r="G10" s="401">
        <v>63.093039493995008</v>
      </c>
      <c r="U10" s="5"/>
    </row>
    <row r="11" spans="1:25" x14ac:dyDescent="0.25">
      <c r="B11" s="430">
        <v>1998</v>
      </c>
      <c r="C11" s="401">
        <v>69.2</v>
      </c>
      <c r="E11" s="20"/>
      <c r="F11" s="430">
        <v>1998</v>
      </c>
      <c r="G11" s="401">
        <v>40.799999999999997</v>
      </c>
      <c r="U11" s="5"/>
    </row>
    <row r="12" spans="1:25" x14ac:dyDescent="0.25">
      <c r="B12" s="430">
        <v>1999</v>
      </c>
      <c r="C12" s="401">
        <v>54</v>
      </c>
      <c r="E12" s="20"/>
      <c r="F12" s="430">
        <v>1999</v>
      </c>
      <c r="G12" s="401">
        <v>38</v>
      </c>
      <c r="U12" s="5"/>
    </row>
    <row r="13" spans="1:25" x14ac:dyDescent="0.25">
      <c r="B13" s="430">
        <v>2000</v>
      </c>
      <c r="C13" s="401">
        <v>56</v>
      </c>
      <c r="E13" s="20"/>
      <c r="F13" s="430">
        <v>2000</v>
      </c>
      <c r="G13" s="401">
        <v>37</v>
      </c>
      <c r="U13" s="5"/>
    </row>
    <row r="14" spans="1:25" x14ac:dyDescent="0.25">
      <c r="B14" s="430">
        <v>2001</v>
      </c>
      <c r="C14" s="401">
        <v>64</v>
      </c>
      <c r="E14" s="20"/>
      <c r="F14" s="430">
        <v>2001</v>
      </c>
      <c r="G14" s="401">
        <v>22</v>
      </c>
      <c r="U14" s="5"/>
    </row>
    <row r="15" spans="1:25" x14ac:dyDescent="0.25">
      <c r="B15" s="430">
        <v>2002</v>
      </c>
      <c r="C15" s="401">
        <v>55.5</v>
      </c>
      <c r="E15" s="20"/>
      <c r="F15" s="430">
        <v>2002</v>
      </c>
      <c r="G15" s="401">
        <v>137.30000000000001</v>
      </c>
    </row>
    <row r="16" spans="1:25" ht="13" x14ac:dyDescent="0.3">
      <c r="B16" s="430">
        <v>2003</v>
      </c>
      <c r="C16" s="401">
        <v>52.9</v>
      </c>
      <c r="F16" s="430">
        <v>2003</v>
      </c>
      <c r="G16" s="401">
        <v>113.3</v>
      </c>
      <c r="I16" s="24"/>
    </row>
    <row r="17" spans="1:9" ht="13" x14ac:dyDescent="0.3">
      <c r="B17" s="430">
        <v>2004</v>
      </c>
      <c r="C17" s="401">
        <v>44.3</v>
      </c>
      <c r="F17" s="430">
        <v>2004</v>
      </c>
      <c r="G17" s="401">
        <v>34.1</v>
      </c>
      <c r="I17" s="24"/>
    </row>
    <row r="18" spans="1:9" ht="13" x14ac:dyDescent="0.3">
      <c r="B18" s="430">
        <v>2005</v>
      </c>
      <c r="C18" s="401">
        <v>47</v>
      </c>
      <c r="F18" s="430">
        <v>2005</v>
      </c>
      <c r="G18" s="401">
        <v>44</v>
      </c>
      <c r="I18" s="24"/>
    </row>
    <row r="19" spans="1:9" ht="13" x14ac:dyDescent="0.3">
      <c r="B19" s="430">
        <v>2006</v>
      </c>
      <c r="C19" s="401">
        <v>26</v>
      </c>
      <c r="F19" s="430">
        <v>2006</v>
      </c>
      <c r="G19" s="401">
        <v>21.3</v>
      </c>
      <c r="I19" s="24"/>
    </row>
    <row r="20" spans="1:9" ht="13" x14ac:dyDescent="0.3">
      <c r="B20" s="430">
        <v>2007</v>
      </c>
      <c r="C20" s="401">
        <v>31</v>
      </c>
      <c r="F20" s="430">
        <v>2007</v>
      </c>
      <c r="G20" s="401">
        <v>41</v>
      </c>
      <c r="I20" s="24"/>
    </row>
    <row r="21" spans="1:9" ht="13" x14ac:dyDescent="0.3">
      <c r="B21" s="430">
        <v>2008</v>
      </c>
      <c r="C21" s="401">
        <v>62.2</v>
      </c>
      <c r="F21" s="430">
        <v>2008</v>
      </c>
      <c r="G21" s="401">
        <v>37.700000000000003</v>
      </c>
      <c r="I21" s="24"/>
    </row>
    <row r="22" spans="1:9" ht="13" x14ac:dyDescent="0.3">
      <c r="B22" s="430">
        <v>2009</v>
      </c>
      <c r="C22" s="401">
        <v>35.299999999999997</v>
      </c>
      <c r="F22" s="430">
        <v>2009</v>
      </c>
      <c r="G22" s="401">
        <v>19.100000000000001</v>
      </c>
      <c r="I22" s="24"/>
    </row>
    <row r="23" spans="1:9" ht="13" x14ac:dyDescent="0.3">
      <c r="B23" s="430">
        <v>2010</v>
      </c>
      <c r="C23" s="401">
        <v>38.9</v>
      </c>
      <c r="F23" s="430">
        <v>2010</v>
      </c>
      <c r="G23" s="401">
        <v>45.9</v>
      </c>
      <c r="I23" s="24"/>
    </row>
    <row r="24" spans="1:9" ht="13" x14ac:dyDescent="0.3">
      <c r="B24" s="430">
        <v>2011</v>
      </c>
      <c r="C24" s="401">
        <v>47.9</v>
      </c>
      <c r="F24" s="430">
        <v>2011</v>
      </c>
      <c r="G24" s="401">
        <v>36.9</v>
      </c>
      <c r="I24" s="24"/>
    </row>
    <row r="25" spans="1:9" ht="13" x14ac:dyDescent="0.3">
      <c r="A25" s="18" t="s">
        <v>34</v>
      </c>
      <c r="B25" s="18">
        <v>1990</v>
      </c>
      <c r="C25" s="401">
        <v>124.5</v>
      </c>
      <c r="E25" s="18" t="s">
        <v>31</v>
      </c>
      <c r="F25" s="18">
        <v>1991</v>
      </c>
      <c r="G25" s="166"/>
      <c r="I25" s="24"/>
    </row>
    <row r="26" spans="1:9" ht="13" x14ac:dyDescent="0.3">
      <c r="B26" s="18">
        <v>1991</v>
      </c>
      <c r="C26" s="401">
        <v>137.19999999999999</v>
      </c>
      <c r="E26" s="20"/>
      <c r="F26" s="18">
        <v>1992</v>
      </c>
      <c r="G26" s="401">
        <v>121</v>
      </c>
      <c r="I26" s="24"/>
    </row>
    <row r="27" spans="1:9" ht="13" x14ac:dyDescent="0.3">
      <c r="B27" s="18">
        <v>1992</v>
      </c>
      <c r="C27" s="401">
        <v>140.21430000000001</v>
      </c>
      <c r="E27" s="20"/>
      <c r="F27" s="18">
        <v>1993</v>
      </c>
      <c r="G27" s="401">
        <v>146</v>
      </c>
      <c r="I27" s="24"/>
    </row>
    <row r="28" spans="1:9" ht="13" x14ac:dyDescent="0.3">
      <c r="B28" s="18">
        <v>1993</v>
      </c>
      <c r="C28" s="401">
        <v>164</v>
      </c>
      <c r="E28" s="20"/>
      <c r="F28" s="18">
        <v>1994</v>
      </c>
      <c r="G28" s="166">
        <v>69.625</v>
      </c>
      <c r="I28" s="24"/>
    </row>
    <row r="29" spans="1:9" ht="13" x14ac:dyDescent="0.3">
      <c r="B29" s="18">
        <v>1994</v>
      </c>
      <c r="C29" s="166">
        <v>79</v>
      </c>
      <c r="E29" s="20"/>
      <c r="F29" s="402">
        <v>1995</v>
      </c>
      <c r="G29" s="166">
        <v>73</v>
      </c>
      <c r="I29" s="24"/>
    </row>
    <row r="30" spans="1:9" ht="13" x14ac:dyDescent="0.3">
      <c r="B30" s="402">
        <v>1995</v>
      </c>
      <c r="C30" s="166">
        <v>37</v>
      </c>
      <c r="E30" s="20"/>
      <c r="F30" s="18">
        <v>1996</v>
      </c>
      <c r="G30" s="403">
        <v>32.5625</v>
      </c>
      <c r="I30" s="24"/>
    </row>
    <row r="31" spans="1:9" ht="13" x14ac:dyDescent="0.3">
      <c r="B31" s="18">
        <v>1996</v>
      </c>
      <c r="C31" s="403">
        <v>33.0625</v>
      </c>
      <c r="E31" s="20"/>
      <c r="F31" s="18">
        <v>1997</v>
      </c>
      <c r="G31" s="401">
        <v>45.862384843073144</v>
      </c>
      <c r="I31" s="24"/>
    </row>
    <row r="32" spans="1:9" ht="13" x14ac:dyDescent="0.3">
      <c r="B32" s="18">
        <v>1997</v>
      </c>
      <c r="C32" s="401">
        <v>44.577577959420516</v>
      </c>
      <c r="E32" s="20"/>
      <c r="F32" s="18">
        <v>1998</v>
      </c>
      <c r="G32" s="166">
        <v>35</v>
      </c>
      <c r="I32" s="24"/>
    </row>
    <row r="33" spans="1:9" ht="13" x14ac:dyDescent="0.3">
      <c r="B33" s="18">
        <v>1998</v>
      </c>
      <c r="C33" s="401">
        <v>39.799999999999997</v>
      </c>
      <c r="E33" s="20"/>
      <c r="F33" s="18">
        <v>1999</v>
      </c>
      <c r="G33" s="166">
        <v>36</v>
      </c>
      <c r="I33" s="24"/>
    </row>
    <row r="34" spans="1:9" ht="13" x14ac:dyDescent="0.3">
      <c r="B34" s="18">
        <v>1999</v>
      </c>
      <c r="C34" s="401">
        <v>37</v>
      </c>
      <c r="E34" s="20"/>
      <c r="F34" s="18">
        <v>2000</v>
      </c>
      <c r="G34" s="166">
        <v>55</v>
      </c>
      <c r="I34" s="24"/>
    </row>
    <row r="35" spans="1:9" ht="13" x14ac:dyDescent="0.3">
      <c r="B35" s="18">
        <v>2000</v>
      </c>
      <c r="C35" s="401">
        <v>57</v>
      </c>
      <c r="E35" s="20"/>
      <c r="F35" s="18">
        <v>2001</v>
      </c>
      <c r="G35" s="166">
        <v>42</v>
      </c>
      <c r="I35" s="24"/>
    </row>
    <row r="36" spans="1:9" ht="13" x14ac:dyDescent="0.3">
      <c r="B36" s="18">
        <v>2001</v>
      </c>
      <c r="C36" s="401">
        <v>42</v>
      </c>
      <c r="E36" s="20"/>
      <c r="F36" s="18">
        <v>2002</v>
      </c>
      <c r="G36" s="166">
        <v>34</v>
      </c>
      <c r="I36" s="24"/>
    </row>
    <row r="37" spans="1:9" ht="13" x14ac:dyDescent="0.3">
      <c r="B37" s="18">
        <v>2002</v>
      </c>
      <c r="C37" s="401">
        <v>49</v>
      </c>
      <c r="F37" s="18">
        <v>2003</v>
      </c>
      <c r="G37" s="166">
        <v>47.8</v>
      </c>
      <c r="I37" s="24"/>
    </row>
    <row r="38" spans="1:9" ht="13" x14ac:dyDescent="0.3">
      <c r="B38" s="18">
        <v>2003</v>
      </c>
      <c r="C38" s="401">
        <v>46.6</v>
      </c>
      <c r="F38" s="18">
        <v>2004</v>
      </c>
      <c r="G38" s="166">
        <v>30.1</v>
      </c>
      <c r="I38" s="24"/>
    </row>
    <row r="39" spans="1:9" ht="13" x14ac:dyDescent="0.3">
      <c r="B39" s="18">
        <v>2004</v>
      </c>
      <c r="C39" s="401">
        <v>26.9</v>
      </c>
      <c r="E39" s="66" t="s">
        <v>149</v>
      </c>
      <c r="F39" s="18">
        <v>2005</v>
      </c>
      <c r="G39" s="166">
        <v>37</v>
      </c>
      <c r="I39" s="24"/>
    </row>
    <row r="40" spans="1:9" ht="13" x14ac:dyDescent="0.3">
      <c r="B40" s="18">
        <v>2005</v>
      </c>
      <c r="C40" s="401">
        <v>34</v>
      </c>
      <c r="F40" s="404">
        <v>2006</v>
      </c>
      <c r="G40" s="166">
        <v>19.5</v>
      </c>
      <c r="I40" s="24"/>
    </row>
    <row r="41" spans="1:9" ht="13" x14ac:dyDescent="0.3">
      <c r="B41" s="404">
        <v>2006</v>
      </c>
      <c r="C41" s="401">
        <v>24.3</v>
      </c>
      <c r="F41" s="18">
        <v>2007</v>
      </c>
      <c r="G41" s="166">
        <v>36</v>
      </c>
      <c r="I41" s="24"/>
    </row>
    <row r="42" spans="1:9" ht="13" x14ac:dyDescent="0.3">
      <c r="B42" s="18">
        <v>2007</v>
      </c>
      <c r="C42" s="401">
        <v>31</v>
      </c>
      <c r="F42" s="18">
        <v>2008</v>
      </c>
      <c r="I42" s="24"/>
    </row>
    <row r="43" spans="1:9" ht="13" x14ac:dyDescent="0.3">
      <c r="B43" s="18"/>
      <c r="C43" s="401"/>
      <c r="F43" s="18">
        <v>2009</v>
      </c>
      <c r="I43" s="24"/>
    </row>
    <row r="44" spans="1:9" ht="13" x14ac:dyDescent="0.3">
      <c r="B44" s="18"/>
      <c r="C44" s="401"/>
      <c r="I44" s="24"/>
    </row>
    <row r="45" spans="1:9" ht="13" x14ac:dyDescent="0.3">
      <c r="B45" s="18"/>
      <c r="C45" s="401"/>
      <c r="I45" s="24"/>
    </row>
    <row r="46" spans="1:9" ht="13" x14ac:dyDescent="0.3">
      <c r="A46" s="18" t="s">
        <v>33</v>
      </c>
      <c r="B46" s="430">
        <v>1990</v>
      </c>
      <c r="C46" s="401">
        <v>129</v>
      </c>
      <c r="E46" s="18" t="s">
        <v>28</v>
      </c>
      <c r="F46" s="430">
        <v>1990</v>
      </c>
      <c r="G46" s="405">
        <v>537</v>
      </c>
      <c r="I46" s="24"/>
    </row>
    <row r="47" spans="1:9" ht="13" x14ac:dyDescent="0.3">
      <c r="B47" s="430">
        <v>1991</v>
      </c>
      <c r="C47" s="401">
        <v>144</v>
      </c>
      <c r="E47" s="20"/>
      <c r="F47" s="430">
        <v>1991</v>
      </c>
      <c r="G47" s="401">
        <v>383</v>
      </c>
      <c r="I47" s="24"/>
    </row>
    <row r="48" spans="1:9" ht="13" x14ac:dyDescent="0.3">
      <c r="B48" s="430">
        <v>1992</v>
      </c>
      <c r="C48" s="401">
        <v>146</v>
      </c>
      <c r="E48" s="20"/>
      <c r="F48" s="430">
        <v>1992</v>
      </c>
      <c r="G48" s="401">
        <v>362</v>
      </c>
      <c r="I48" s="24"/>
    </row>
    <row r="49" spans="2:9" ht="13" x14ac:dyDescent="0.3">
      <c r="B49" s="430">
        <v>1993</v>
      </c>
      <c r="C49" s="401">
        <v>175</v>
      </c>
      <c r="E49" s="20"/>
      <c r="F49" s="430">
        <v>1993</v>
      </c>
      <c r="G49" s="401">
        <v>269</v>
      </c>
      <c r="I49" s="24"/>
    </row>
    <row r="50" spans="2:9" ht="13" x14ac:dyDescent="0.3">
      <c r="B50" s="430">
        <v>1994</v>
      </c>
      <c r="C50" s="166">
        <v>83</v>
      </c>
      <c r="E50" s="20"/>
      <c r="F50" s="430">
        <v>1994</v>
      </c>
      <c r="G50" s="166">
        <v>91</v>
      </c>
      <c r="I50" s="24"/>
    </row>
    <row r="51" spans="2:9" ht="13" x14ac:dyDescent="0.3">
      <c r="B51" s="431">
        <v>1995</v>
      </c>
      <c r="C51" s="166">
        <v>34</v>
      </c>
      <c r="E51" s="20"/>
      <c r="F51" s="431">
        <v>1995</v>
      </c>
      <c r="G51" s="166">
        <v>47</v>
      </c>
      <c r="I51" s="24"/>
    </row>
    <row r="52" spans="2:9" ht="13" x14ac:dyDescent="0.3">
      <c r="B52" s="430">
        <v>1996</v>
      </c>
      <c r="C52" s="403">
        <v>29.4375</v>
      </c>
      <c r="E52" s="20"/>
      <c r="F52" s="430">
        <v>1996</v>
      </c>
      <c r="G52" s="403">
        <v>16.0625</v>
      </c>
      <c r="I52" s="24"/>
    </row>
    <row r="53" spans="2:9" ht="13" x14ac:dyDescent="0.3">
      <c r="B53" s="430">
        <v>1997</v>
      </c>
      <c r="C53" s="264">
        <v>38</v>
      </c>
      <c r="E53" s="20"/>
      <c r="F53" s="430">
        <v>1997</v>
      </c>
      <c r="G53" s="264">
        <v>80</v>
      </c>
      <c r="I53" s="24"/>
    </row>
    <row r="54" spans="2:9" ht="13" x14ac:dyDescent="0.3">
      <c r="B54" s="430">
        <v>1998</v>
      </c>
      <c r="C54" s="264">
        <v>33.299999999999997</v>
      </c>
      <c r="E54" s="20"/>
      <c r="F54" s="430">
        <v>1998</v>
      </c>
      <c r="G54" s="264">
        <v>33</v>
      </c>
      <c r="I54" s="24"/>
    </row>
    <row r="55" spans="2:9" ht="13" x14ac:dyDescent="0.3">
      <c r="B55" s="430">
        <v>1999</v>
      </c>
      <c r="C55" s="264">
        <v>34</v>
      </c>
      <c r="E55" s="20"/>
      <c r="F55" s="430">
        <v>1999</v>
      </c>
      <c r="G55" s="264">
        <v>47</v>
      </c>
      <c r="I55" s="24"/>
    </row>
    <row r="56" spans="2:9" ht="13" x14ac:dyDescent="0.3">
      <c r="B56" s="430">
        <v>2000</v>
      </c>
      <c r="C56" s="264">
        <v>59</v>
      </c>
      <c r="E56" s="20"/>
      <c r="F56" s="430">
        <v>2000</v>
      </c>
      <c r="G56" s="264">
        <v>19</v>
      </c>
      <c r="I56" s="24"/>
    </row>
    <row r="57" spans="2:9" ht="13" x14ac:dyDescent="0.3">
      <c r="B57" s="430">
        <v>2001</v>
      </c>
      <c r="C57" s="264">
        <v>42</v>
      </c>
      <c r="E57" s="20"/>
      <c r="F57" s="430">
        <v>2001</v>
      </c>
      <c r="G57" s="264">
        <v>22</v>
      </c>
      <c r="I57" s="24"/>
    </row>
    <row r="58" spans="2:9" ht="13" x14ac:dyDescent="0.3">
      <c r="B58" s="430">
        <v>2002</v>
      </c>
      <c r="C58" s="264">
        <v>46.1</v>
      </c>
      <c r="E58" s="20"/>
      <c r="F58" s="430">
        <v>2002</v>
      </c>
      <c r="G58" s="264">
        <v>14.9</v>
      </c>
      <c r="I58" s="24"/>
    </row>
    <row r="59" spans="2:9" ht="13" x14ac:dyDescent="0.3">
      <c r="B59" s="430">
        <v>2003</v>
      </c>
      <c r="C59" s="264">
        <v>49.1</v>
      </c>
      <c r="F59" s="430">
        <v>2003</v>
      </c>
      <c r="G59" s="264">
        <v>22.6</v>
      </c>
      <c r="I59" s="24"/>
    </row>
    <row r="60" spans="2:9" ht="13" x14ac:dyDescent="0.3">
      <c r="B60" s="430">
        <v>2004</v>
      </c>
      <c r="C60" s="264">
        <v>24.3</v>
      </c>
      <c r="F60" s="430">
        <v>2004</v>
      </c>
      <c r="G60" s="264">
        <v>21.7</v>
      </c>
      <c r="I60" s="24"/>
    </row>
    <row r="61" spans="2:9" ht="13" x14ac:dyDescent="0.3">
      <c r="B61" s="430">
        <v>2005</v>
      </c>
      <c r="C61" s="264">
        <v>33</v>
      </c>
      <c r="F61" s="430">
        <v>2005</v>
      </c>
      <c r="G61" s="264">
        <v>23</v>
      </c>
      <c r="I61" s="24"/>
    </row>
    <row r="62" spans="2:9" ht="13" x14ac:dyDescent="0.3">
      <c r="B62" s="430">
        <v>2006</v>
      </c>
      <c r="C62" s="264">
        <v>21.6</v>
      </c>
      <c r="F62" s="430">
        <v>2006</v>
      </c>
      <c r="G62" s="264">
        <v>7.6</v>
      </c>
      <c r="I62" s="24"/>
    </row>
    <row r="63" spans="2:9" ht="13" x14ac:dyDescent="0.3">
      <c r="B63" s="430">
        <v>2007</v>
      </c>
      <c r="C63" s="264">
        <v>30</v>
      </c>
      <c r="F63" s="430">
        <v>2007</v>
      </c>
      <c r="G63" s="264">
        <v>23</v>
      </c>
      <c r="I63" s="24"/>
    </row>
    <row r="64" spans="2:9" ht="13" x14ac:dyDescent="0.3">
      <c r="B64" s="430">
        <v>2008</v>
      </c>
      <c r="C64" s="264">
        <v>39.799999999999997</v>
      </c>
      <c r="F64" s="430">
        <v>2008</v>
      </c>
      <c r="G64" s="264">
        <v>14.8</v>
      </c>
      <c r="I64" s="24"/>
    </row>
    <row r="65" spans="1:9" ht="13" x14ac:dyDescent="0.3">
      <c r="B65" s="430">
        <v>2009</v>
      </c>
      <c r="C65" s="264">
        <v>34.200000000000003</v>
      </c>
      <c r="F65" s="430">
        <v>2009</v>
      </c>
      <c r="G65" s="264">
        <v>35.5</v>
      </c>
      <c r="I65" s="24"/>
    </row>
    <row r="66" spans="1:9" ht="13" x14ac:dyDescent="0.3">
      <c r="B66" s="430">
        <v>2010</v>
      </c>
      <c r="C66" s="264">
        <v>28.3</v>
      </c>
      <c r="F66" s="430">
        <v>2010</v>
      </c>
      <c r="G66" s="264">
        <v>19.3</v>
      </c>
      <c r="I66" s="24"/>
    </row>
    <row r="67" spans="1:9" ht="13" x14ac:dyDescent="0.3">
      <c r="B67" s="430">
        <v>2011</v>
      </c>
      <c r="C67" s="264">
        <v>33.700000000000003</v>
      </c>
      <c r="F67" s="430">
        <v>2011</v>
      </c>
      <c r="G67" s="264">
        <v>12.5</v>
      </c>
      <c r="I67" s="24"/>
    </row>
    <row r="68" spans="1:9" ht="15.5" x14ac:dyDescent="0.35">
      <c r="A68" s="829" t="s">
        <v>64</v>
      </c>
      <c r="B68" s="829"/>
      <c r="C68" s="829"/>
      <c r="D68" s="829"/>
      <c r="E68" s="829"/>
      <c r="F68" s="829"/>
      <c r="G68" s="829"/>
      <c r="I68" s="24"/>
    </row>
    <row r="69" spans="1:9" ht="13" x14ac:dyDescent="0.3">
      <c r="B69" s="29" t="s">
        <v>108</v>
      </c>
      <c r="C69" s="30" t="s">
        <v>58</v>
      </c>
      <c r="F69" s="29" t="s">
        <v>108</v>
      </c>
      <c r="G69" s="30" t="s">
        <v>58</v>
      </c>
      <c r="I69" s="24"/>
    </row>
    <row r="70" spans="1:9" ht="13" x14ac:dyDescent="0.3">
      <c r="A70" s="18" t="s">
        <v>30</v>
      </c>
      <c r="B70" s="430">
        <v>1990</v>
      </c>
      <c r="C70" s="401">
        <v>128</v>
      </c>
      <c r="E70" s="18" t="s">
        <v>62</v>
      </c>
      <c r="F70" s="430">
        <v>1990</v>
      </c>
      <c r="G70" s="166">
        <f t="shared" ref="G70:G91" si="0">(G46+G3)/2</f>
        <v>435.5</v>
      </c>
      <c r="I70" s="24"/>
    </row>
    <row r="71" spans="1:9" ht="13" x14ac:dyDescent="0.3">
      <c r="B71" s="430">
        <v>1991</v>
      </c>
      <c r="C71" s="401">
        <v>181</v>
      </c>
      <c r="E71" s="20"/>
      <c r="F71" s="430">
        <v>1991</v>
      </c>
      <c r="G71" s="166">
        <f t="shared" si="0"/>
        <v>325</v>
      </c>
      <c r="I71" s="24"/>
    </row>
    <row r="72" spans="1:9" ht="13" x14ac:dyDescent="0.3">
      <c r="B72" s="430">
        <v>1992</v>
      </c>
      <c r="C72" s="401">
        <v>157</v>
      </c>
      <c r="E72" s="20"/>
      <c r="F72" s="430">
        <v>1992</v>
      </c>
      <c r="G72" s="166">
        <f t="shared" si="0"/>
        <v>319.5</v>
      </c>
      <c r="I72" s="24"/>
    </row>
    <row r="73" spans="1:9" ht="13" x14ac:dyDescent="0.3">
      <c r="B73" s="430">
        <v>1993</v>
      </c>
      <c r="C73" s="401">
        <v>177</v>
      </c>
      <c r="E73" s="20"/>
      <c r="F73" s="430">
        <v>1993</v>
      </c>
      <c r="G73" s="166">
        <f t="shared" si="0"/>
        <v>242.5</v>
      </c>
      <c r="I73" s="24"/>
    </row>
    <row r="74" spans="1:9" ht="13" x14ac:dyDescent="0.3">
      <c r="B74" s="430">
        <v>1994</v>
      </c>
      <c r="C74" s="166">
        <v>92</v>
      </c>
      <c r="E74" s="20"/>
      <c r="F74" s="430">
        <v>1994</v>
      </c>
      <c r="G74" s="166">
        <f t="shared" si="0"/>
        <v>106.5</v>
      </c>
      <c r="I74" s="24"/>
    </row>
    <row r="75" spans="1:9" ht="13" x14ac:dyDescent="0.3">
      <c r="B75" s="431">
        <v>1995</v>
      </c>
      <c r="C75" s="166">
        <v>36</v>
      </c>
      <c r="E75" s="20"/>
      <c r="F75" s="430">
        <v>1995</v>
      </c>
      <c r="G75" s="166">
        <f t="shared" si="0"/>
        <v>60</v>
      </c>
      <c r="I75" s="24"/>
    </row>
    <row r="76" spans="1:9" ht="13" x14ac:dyDescent="0.3">
      <c r="B76" s="430">
        <v>1996</v>
      </c>
      <c r="C76" s="403">
        <v>34.9375</v>
      </c>
      <c r="E76" s="20"/>
      <c r="F76" s="430">
        <v>1996</v>
      </c>
      <c r="G76" s="166">
        <f t="shared" si="0"/>
        <v>37.28125</v>
      </c>
      <c r="I76" s="24"/>
    </row>
    <row r="77" spans="1:9" ht="13" x14ac:dyDescent="0.3">
      <c r="B77" s="430">
        <v>1997</v>
      </c>
      <c r="C77" s="401">
        <v>39</v>
      </c>
      <c r="E77" s="20"/>
      <c r="F77" s="430">
        <v>1997</v>
      </c>
      <c r="G77" s="166">
        <f t="shared" si="0"/>
        <v>71.546519746997504</v>
      </c>
      <c r="I77" s="24"/>
    </row>
    <row r="78" spans="1:9" ht="13" x14ac:dyDescent="0.3">
      <c r="B78" s="430">
        <v>1998</v>
      </c>
      <c r="C78" s="401">
        <v>34.5</v>
      </c>
      <c r="E78" s="20"/>
      <c r="F78" s="430">
        <v>1998</v>
      </c>
      <c r="G78" s="166">
        <f t="shared" si="0"/>
        <v>36.9</v>
      </c>
      <c r="I78" s="24"/>
    </row>
    <row r="79" spans="1:9" ht="13" x14ac:dyDescent="0.3">
      <c r="B79" s="430">
        <v>1999</v>
      </c>
      <c r="C79" s="401">
        <v>35</v>
      </c>
      <c r="E79" s="20"/>
      <c r="F79" s="430">
        <v>1999</v>
      </c>
      <c r="G79" s="166">
        <f t="shared" si="0"/>
        <v>42.5</v>
      </c>
      <c r="I79" s="24"/>
    </row>
    <row r="80" spans="1:9" ht="13" x14ac:dyDescent="0.3">
      <c r="B80" s="430">
        <v>2000</v>
      </c>
      <c r="C80" s="401">
        <v>58</v>
      </c>
      <c r="E80" s="20"/>
      <c r="F80" s="430">
        <v>2000</v>
      </c>
      <c r="G80" s="166">
        <f t="shared" si="0"/>
        <v>28</v>
      </c>
      <c r="I80" s="24"/>
    </row>
    <row r="81" spans="1:9" ht="13" x14ac:dyDescent="0.3">
      <c r="B81" s="430">
        <v>2001</v>
      </c>
      <c r="C81" s="401">
        <v>46</v>
      </c>
      <c r="E81" s="20"/>
      <c r="F81" s="430">
        <v>2001</v>
      </c>
      <c r="G81" s="166">
        <f t="shared" si="0"/>
        <v>22</v>
      </c>
      <c r="I81" s="24"/>
    </row>
    <row r="82" spans="1:9" ht="13" x14ac:dyDescent="0.3">
      <c r="B82" s="430">
        <v>2002</v>
      </c>
      <c r="C82" s="401">
        <v>46.9</v>
      </c>
      <c r="E82" s="20"/>
      <c r="F82" s="430">
        <v>2002</v>
      </c>
      <c r="G82" s="166">
        <f t="shared" si="0"/>
        <v>76.100000000000009</v>
      </c>
      <c r="I82" s="24"/>
    </row>
    <row r="83" spans="1:9" ht="13" x14ac:dyDescent="0.3">
      <c r="B83" s="430">
        <v>2003</v>
      </c>
      <c r="C83" s="401">
        <v>63.3</v>
      </c>
      <c r="F83" s="430">
        <v>2003</v>
      </c>
      <c r="G83" s="166">
        <f t="shared" si="0"/>
        <v>67.95</v>
      </c>
      <c r="I83" s="24"/>
    </row>
    <row r="84" spans="1:9" ht="13" x14ac:dyDescent="0.3">
      <c r="B84" s="430">
        <v>2004</v>
      </c>
      <c r="C84" s="401">
        <v>30.1</v>
      </c>
      <c r="F84" s="430">
        <v>2004</v>
      </c>
      <c r="G84" s="166">
        <f t="shared" si="0"/>
        <v>27.9</v>
      </c>
      <c r="I84" s="24"/>
    </row>
    <row r="85" spans="1:9" ht="13" x14ac:dyDescent="0.3">
      <c r="B85" s="430">
        <v>2005</v>
      </c>
      <c r="C85" s="401">
        <v>32</v>
      </c>
      <c r="F85" s="430">
        <v>2005</v>
      </c>
      <c r="G85" s="166">
        <f t="shared" si="0"/>
        <v>33.5</v>
      </c>
      <c r="I85" s="24"/>
    </row>
    <row r="86" spans="1:9" ht="13" x14ac:dyDescent="0.3">
      <c r="B86" s="430">
        <v>2006</v>
      </c>
      <c r="C86" s="401">
        <v>22.8</v>
      </c>
      <c r="F86" s="430">
        <v>2006</v>
      </c>
      <c r="G86" s="166">
        <f t="shared" si="0"/>
        <v>14.45</v>
      </c>
      <c r="I86" s="24"/>
    </row>
    <row r="87" spans="1:9" ht="13" x14ac:dyDescent="0.3">
      <c r="B87" s="430">
        <v>2007</v>
      </c>
      <c r="C87" s="401">
        <v>31</v>
      </c>
      <c r="F87" s="430">
        <v>2007</v>
      </c>
      <c r="G87" s="166">
        <f t="shared" si="0"/>
        <v>32</v>
      </c>
      <c r="I87" s="24"/>
    </row>
    <row r="88" spans="1:9" ht="13" x14ac:dyDescent="0.3">
      <c r="B88" s="430">
        <v>2008</v>
      </c>
      <c r="C88" s="401">
        <v>29</v>
      </c>
      <c r="F88" s="430">
        <v>2008</v>
      </c>
      <c r="G88" s="166">
        <f t="shared" si="0"/>
        <v>26.25</v>
      </c>
      <c r="I88" s="24"/>
    </row>
    <row r="89" spans="1:9" ht="13" x14ac:dyDescent="0.3">
      <c r="B89" s="430">
        <v>2009</v>
      </c>
      <c r="C89" s="401">
        <v>24.2</v>
      </c>
      <c r="F89" s="430">
        <v>2009</v>
      </c>
      <c r="G89" s="166">
        <f t="shared" si="0"/>
        <v>27.3</v>
      </c>
      <c r="I89" s="24"/>
    </row>
    <row r="90" spans="1:9" ht="13" x14ac:dyDescent="0.3">
      <c r="B90" s="430">
        <v>2010</v>
      </c>
      <c r="C90" s="401">
        <v>31.1</v>
      </c>
      <c r="F90" s="430">
        <v>2010</v>
      </c>
      <c r="G90" s="166">
        <f t="shared" si="0"/>
        <v>32.6</v>
      </c>
      <c r="I90" s="24"/>
    </row>
    <row r="91" spans="1:9" ht="13" x14ac:dyDescent="0.3">
      <c r="B91" s="430">
        <v>2011</v>
      </c>
      <c r="C91" s="401">
        <v>39.5</v>
      </c>
      <c r="F91" s="430">
        <v>2011</v>
      </c>
      <c r="G91" s="166">
        <f t="shared" si="0"/>
        <v>24.7</v>
      </c>
      <c r="I91" s="24"/>
    </row>
    <row r="92" spans="1:9" ht="13" x14ac:dyDescent="0.3">
      <c r="B92" s="430"/>
      <c r="C92" s="401"/>
      <c r="F92" s="430"/>
      <c r="G92" s="166"/>
      <c r="I92" s="24"/>
    </row>
    <row r="93" spans="1:9" ht="13" x14ac:dyDescent="0.3">
      <c r="A93" s="18" t="s">
        <v>27</v>
      </c>
      <c r="B93" s="430">
        <v>1990</v>
      </c>
      <c r="C93" s="166">
        <f t="shared" ref="C93:C107" si="1">(C3+C25+C46)/3</f>
        <v>124.33333333333333</v>
      </c>
      <c r="E93" s="18" t="s">
        <v>63</v>
      </c>
      <c r="F93" s="430">
        <v>1990</v>
      </c>
      <c r="G93" s="164">
        <f t="shared" ref="G93:G114" si="2">+G70-C70</f>
        <v>307.5</v>
      </c>
      <c r="I93" s="24"/>
    </row>
    <row r="94" spans="1:9" ht="13" x14ac:dyDescent="0.3">
      <c r="B94" s="430">
        <v>1991</v>
      </c>
      <c r="C94" s="166">
        <f t="shared" si="1"/>
        <v>183.73333333333335</v>
      </c>
      <c r="E94" s="20"/>
      <c r="F94" s="430">
        <v>1991</v>
      </c>
      <c r="G94" s="166">
        <f t="shared" si="2"/>
        <v>144</v>
      </c>
      <c r="I94" s="24"/>
    </row>
    <row r="95" spans="1:9" ht="13" x14ac:dyDescent="0.3">
      <c r="B95" s="430">
        <v>1992</v>
      </c>
      <c r="C95" s="166">
        <f t="shared" si="1"/>
        <v>162.40476666666666</v>
      </c>
      <c r="E95" s="20"/>
      <c r="F95" s="430">
        <v>1992</v>
      </c>
      <c r="G95" s="166">
        <f t="shared" si="2"/>
        <v>162.5</v>
      </c>
      <c r="I95" s="24"/>
    </row>
    <row r="96" spans="1:9" ht="13" x14ac:dyDescent="0.3">
      <c r="B96" s="430">
        <v>1993</v>
      </c>
      <c r="C96" s="166">
        <f t="shared" si="1"/>
        <v>193</v>
      </c>
      <c r="E96" s="20"/>
      <c r="F96" s="430">
        <v>1993</v>
      </c>
      <c r="G96" s="166">
        <f t="shared" si="2"/>
        <v>65.5</v>
      </c>
      <c r="I96" s="24"/>
    </row>
    <row r="97" spans="2:9" ht="13" x14ac:dyDescent="0.3">
      <c r="B97" s="430">
        <v>1994</v>
      </c>
      <c r="C97" s="166">
        <f t="shared" si="1"/>
        <v>87.333333333333329</v>
      </c>
      <c r="E97" s="20"/>
      <c r="F97" s="430">
        <v>1994</v>
      </c>
      <c r="G97" s="166">
        <f t="shared" si="2"/>
        <v>14.5</v>
      </c>
      <c r="I97" s="24"/>
    </row>
    <row r="98" spans="2:9" ht="13" x14ac:dyDescent="0.3">
      <c r="B98" s="430">
        <v>1995</v>
      </c>
      <c r="C98" s="166">
        <f t="shared" si="1"/>
        <v>41</v>
      </c>
      <c r="E98" s="20"/>
      <c r="F98" s="430">
        <v>1995</v>
      </c>
      <c r="G98" s="166">
        <f t="shared" si="2"/>
        <v>24</v>
      </c>
      <c r="I98" s="24"/>
    </row>
    <row r="99" spans="2:9" ht="13" x14ac:dyDescent="0.3">
      <c r="B99" s="430">
        <v>1996</v>
      </c>
      <c r="C99" s="166">
        <f t="shared" si="1"/>
        <v>42.895833333333336</v>
      </c>
      <c r="E99" s="20"/>
      <c r="F99" s="430">
        <v>1996</v>
      </c>
      <c r="G99" s="166">
        <f t="shared" si="2"/>
        <v>2.34375</v>
      </c>
      <c r="I99" s="24"/>
    </row>
    <row r="100" spans="2:9" ht="13" x14ac:dyDescent="0.3">
      <c r="B100" s="430">
        <v>1997</v>
      </c>
      <c r="C100" s="166">
        <f t="shared" si="1"/>
        <v>56.052465322207688</v>
      </c>
      <c r="E100" s="20"/>
      <c r="F100" s="430">
        <v>1997</v>
      </c>
      <c r="G100" s="166">
        <f t="shared" si="2"/>
        <v>32.546519746997504</v>
      </c>
      <c r="I100" s="24"/>
    </row>
    <row r="101" spans="2:9" ht="13" x14ac:dyDescent="0.3">
      <c r="B101" s="430">
        <v>1998</v>
      </c>
      <c r="C101" s="166">
        <f t="shared" si="1"/>
        <v>47.433333333333337</v>
      </c>
      <c r="E101" s="20"/>
      <c r="F101" s="430">
        <v>1998</v>
      </c>
      <c r="G101" s="166">
        <f t="shared" si="2"/>
        <v>2.3999999999999986</v>
      </c>
      <c r="I101" s="24"/>
    </row>
    <row r="102" spans="2:9" ht="13" x14ac:dyDescent="0.3">
      <c r="B102" s="430">
        <v>1999</v>
      </c>
      <c r="C102" s="166">
        <f t="shared" si="1"/>
        <v>41.666666666666664</v>
      </c>
      <c r="E102" s="20"/>
      <c r="F102" s="430">
        <v>1999</v>
      </c>
      <c r="G102" s="166">
        <f t="shared" si="2"/>
        <v>7.5</v>
      </c>
      <c r="I102" s="24"/>
    </row>
    <row r="103" spans="2:9" ht="13" x14ac:dyDescent="0.3">
      <c r="B103" s="430">
        <v>2000</v>
      </c>
      <c r="C103" s="166">
        <f t="shared" si="1"/>
        <v>57.333333333333336</v>
      </c>
      <c r="E103" s="20"/>
      <c r="F103" s="430">
        <v>2000</v>
      </c>
      <c r="G103" s="166">
        <f t="shared" si="2"/>
        <v>-30</v>
      </c>
      <c r="I103" s="24"/>
    </row>
    <row r="104" spans="2:9" ht="13" x14ac:dyDescent="0.3">
      <c r="B104" s="430">
        <v>2001</v>
      </c>
      <c r="C104" s="166">
        <f t="shared" si="1"/>
        <v>49.333333333333336</v>
      </c>
      <c r="E104" s="20"/>
      <c r="F104" s="430">
        <v>2001</v>
      </c>
      <c r="G104" s="166">
        <f t="shared" si="2"/>
        <v>-24</v>
      </c>
      <c r="I104" s="24"/>
    </row>
    <row r="105" spans="2:9" ht="13" x14ac:dyDescent="0.3">
      <c r="B105" s="430">
        <v>2002</v>
      </c>
      <c r="C105" s="166">
        <f t="shared" si="1"/>
        <v>50.199999999999996</v>
      </c>
      <c r="E105" s="20"/>
      <c r="F105" s="430">
        <v>2002</v>
      </c>
      <c r="G105" s="166">
        <f t="shared" si="2"/>
        <v>29.20000000000001</v>
      </c>
      <c r="I105" s="24"/>
    </row>
    <row r="106" spans="2:9" ht="13" x14ac:dyDescent="0.3">
      <c r="B106" s="430">
        <v>2003</v>
      </c>
      <c r="C106" s="166">
        <f t="shared" si="1"/>
        <v>49.533333333333331</v>
      </c>
      <c r="F106" s="430">
        <v>2003</v>
      </c>
      <c r="G106" s="166">
        <f t="shared" si="2"/>
        <v>4.6500000000000057</v>
      </c>
      <c r="I106" s="24"/>
    </row>
    <row r="107" spans="2:9" ht="13" x14ac:dyDescent="0.3">
      <c r="B107" s="430">
        <v>2004</v>
      </c>
      <c r="C107" s="166">
        <f t="shared" si="1"/>
        <v>31.833333333333329</v>
      </c>
      <c r="F107" s="430">
        <v>2004</v>
      </c>
      <c r="G107" s="166">
        <f t="shared" si="2"/>
        <v>-2.2000000000000028</v>
      </c>
      <c r="I107" s="24"/>
    </row>
    <row r="108" spans="2:9" ht="13" x14ac:dyDescent="0.3">
      <c r="B108" s="430">
        <v>2005</v>
      </c>
      <c r="C108" s="166">
        <v>39</v>
      </c>
      <c r="F108" s="430">
        <v>2005</v>
      </c>
      <c r="G108" s="166">
        <f t="shared" si="2"/>
        <v>1.5</v>
      </c>
      <c r="I108" s="24"/>
    </row>
    <row r="109" spans="2:9" ht="13" x14ac:dyDescent="0.3">
      <c r="B109" s="430">
        <v>2006</v>
      </c>
      <c r="C109" s="20">
        <v>24</v>
      </c>
      <c r="F109" s="430">
        <v>2006</v>
      </c>
      <c r="G109" s="166">
        <f t="shared" si="2"/>
        <v>-8.3500000000000014</v>
      </c>
      <c r="I109" s="24"/>
    </row>
    <row r="110" spans="2:9" ht="13" x14ac:dyDescent="0.3">
      <c r="B110" s="430">
        <v>2007</v>
      </c>
      <c r="C110" s="20">
        <v>30.7</v>
      </c>
      <c r="F110" s="430">
        <v>2007</v>
      </c>
      <c r="G110" s="166">
        <f t="shared" si="2"/>
        <v>1</v>
      </c>
      <c r="I110" s="24"/>
    </row>
    <row r="111" spans="2:9" ht="13" x14ac:dyDescent="0.3">
      <c r="B111" s="430">
        <v>2008</v>
      </c>
      <c r="C111" s="166">
        <v>50.6</v>
      </c>
      <c r="F111" s="430">
        <v>2008</v>
      </c>
      <c r="G111" s="166">
        <f t="shared" si="2"/>
        <v>-2.75</v>
      </c>
      <c r="I111" s="24"/>
    </row>
    <row r="112" spans="2:9" ht="13" x14ac:dyDescent="0.3">
      <c r="B112" s="430">
        <v>2009</v>
      </c>
      <c r="C112" s="166">
        <v>34.799999999999997</v>
      </c>
      <c r="F112" s="430">
        <v>2009</v>
      </c>
      <c r="G112" s="166">
        <f t="shared" si="2"/>
        <v>3.1000000000000014</v>
      </c>
      <c r="I112" s="24"/>
    </row>
    <row r="113" spans="2:9" ht="13" x14ac:dyDescent="0.3">
      <c r="B113" s="430">
        <v>2010</v>
      </c>
      <c r="C113" s="166">
        <v>33.6</v>
      </c>
      <c r="F113" s="430">
        <v>2010</v>
      </c>
      <c r="G113" s="166">
        <f t="shared" si="2"/>
        <v>1.5</v>
      </c>
      <c r="I113" s="24"/>
    </row>
    <row r="114" spans="2:9" ht="13" x14ac:dyDescent="0.3">
      <c r="B114" s="430">
        <v>2011</v>
      </c>
      <c r="C114" s="166">
        <v>40.799999999999997</v>
      </c>
      <c r="F114" s="430">
        <v>2011</v>
      </c>
      <c r="G114" s="166">
        <f t="shared" si="2"/>
        <v>-14.8</v>
      </c>
      <c r="I114" s="24"/>
    </row>
    <row r="115" spans="2:9" ht="13" x14ac:dyDescent="0.3">
      <c r="I115" s="24"/>
    </row>
    <row r="116" spans="2:9" ht="13" x14ac:dyDescent="0.3">
      <c r="I116" s="24"/>
    </row>
    <row r="117" spans="2:9" ht="13" x14ac:dyDescent="0.3">
      <c r="I117" s="24"/>
    </row>
    <row r="118" spans="2:9" ht="13" x14ac:dyDescent="0.3">
      <c r="I118" s="24"/>
    </row>
    <row r="119" spans="2:9" ht="13" x14ac:dyDescent="0.3">
      <c r="I119" s="24"/>
    </row>
    <row r="120" spans="2:9" ht="13" x14ac:dyDescent="0.3">
      <c r="I120" s="24"/>
    </row>
    <row r="121" spans="2:9" ht="13" x14ac:dyDescent="0.3">
      <c r="I121" s="24"/>
    </row>
    <row r="122" spans="2:9" ht="13" x14ac:dyDescent="0.3">
      <c r="I122" s="24"/>
    </row>
    <row r="123" spans="2:9" ht="13" x14ac:dyDescent="0.3">
      <c r="I123" s="24"/>
    </row>
    <row r="124" spans="2:9" ht="13" x14ac:dyDescent="0.3">
      <c r="I124" s="24"/>
    </row>
    <row r="125" spans="2:9" ht="13" x14ac:dyDescent="0.3">
      <c r="I125" s="24"/>
    </row>
    <row r="126" spans="2:9" ht="13" x14ac:dyDescent="0.3">
      <c r="I126" s="24"/>
    </row>
    <row r="127" spans="2:9" ht="13" x14ac:dyDescent="0.3">
      <c r="I127" s="24"/>
    </row>
    <row r="128" spans="2:9" ht="13" x14ac:dyDescent="0.3">
      <c r="I128" s="24"/>
    </row>
    <row r="129" spans="9:9" ht="13" x14ac:dyDescent="0.3">
      <c r="I129" s="24"/>
    </row>
    <row r="130" spans="9:9" ht="13" x14ac:dyDescent="0.3">
      <c r="I130" s="24"/>
    </row>
    <row r="131" spans="9:9" ht="13" x14ac:dyDescent="0.3">
      <c r="I131" s="24"/>
    </row>
    <row r="132" spans="9:9" ht="13" x14ac:dyDescent="0.3">
      <c r="I132" s="24"/>
    </row>
    <row r="133" spans="9:9" ht="13" x14ac:dyDescent="0.3">
      <c r="I133" s="24"/>
    </row>
    <row r="134" spans="9:9" ht="13" x14ac:dyDescent="0.3">
      <c r="I134" s="24"/>
    </row>
    <row r="135" spans="9:9" ht="13" x14ac:dyDescent="0.3">
      <c r="I135" s="24"/>
    </row>
    <row r="136" spans="9:9" ht="13" x14ac:dyDescent="0.3">
      <c r="I136" s="24"/>
    </row>
    <row r="137" spans="9:9" ht="13" x14ac:dyDescent="0.3">
      <c r="I137" s="24"/>
    </row>
    <row r="138" spans="9:9" ht="13" x14ac:dyDescent="0.3">
      <c r="I138" s="24"/>
    </row>
    <row r="139" spans="9:9" ht="13" x14ac:dyDescent="0.3">
      <c r="I139" s="24"/>
    </row>
    <row r="140" spans="9:9" ht="13" x14ac:dyDescent="0.3">
      <c r="I140" s="24"/>
    </row>
    <row r="141" spans="9:9" ht="13" x14ac:dyDescent="0.3">
      <c r="I141" s="24"/>
    </row>
    <row r="142" spans="9:9" ht="13" x14ac:dyDescent="0.3">
      <c r="I142" s="24"/>
    </row>
    <row r="143" spans="9:9" ht="13" x14ac:dyDescent="0.3">
      <c r="I143" s="24"/>
    </row>
    <row r="144" spans="9:9" ht="13" x14ac:dyDescent="0.3">
      <c r="I144" s="24"/>
    </row>
    <row r="145" spans="3:9" ht="13" x14ac:dyDescent="0.3">
      <c r="I145" s="24"/>
    </row>
    <row r="146" spans="3:9" ht="13" x14ac:dyDescent="0.3">
      <c r="I146" s="24"/>
    </row>
    <row r="147" spans="3:9" ht="13" x14ac:dyDescent="0.3">
      <c r="I147" s="24"/>
    </row>
    <row r="148" spans="3:9" ht="13" x14ac:dyDescent="0.3">
      <c r="I148" s="24"/>
    </row>
    <row r="149" spans="3:9" ht="13" x14ac:dyDescent="0.3">
      <c r="I149" s="24"/>
    </row>
    <row r="150" spans="3:9" ht="13" x14ac:dyDescent="0.3">
      <c r="I150" s="24"/>
    </row>
    <row r="151" spans="3:9" ht="13" x14ac:dyDescent="0.3">
      <c r="I151" s="24"/>
    </row>
    <row r="152" spans="3:9" ht="13" x14ac:dyDescent="0.3">
      <c r="I152" s="24"/>
    </row>
    <row r="153" spans="3:9" ht="13" x14ac:dyDescent="0.3">
      <c r="I153" s="24"/>
    </row>
    <row r="154" spans="3:9" ht="13" x14ac:dyDescent="0.3">
      <c r="I154" s="24"/>
    </row>
    <row r="155" spans="3:9" ht="13" x14ac:dyDescent="0.3">
      <c r="I155" s="24"/>
    </row>
    <row r="156" spans="3:9" ht="13" x14ac:dyDescent="0.3">
      <c r="I156" s="24"/>
    </row>
    <row r="157" spans="3:9" ht="13" x14ac:dyDescent="0.3">
      <c r="C157" s="164"/>
      <c r="I157" s="24"/>
    </row>
    <row r="158" spans="3:9" ht="13" x14ac:dyDescent="0.3">
      <c r="C158" s="164"/>
      <c r="I158" s="24"/>
    </row>
    <row r="159" spans="3:9" ht="13" x14ac:dyDescent="0.3">
      <c r="C159" s="164"/>
      <c r="I159" s="24"/>
    </row>
    <row r="160" spans="3:9" ht="13" x14ac:dyDescent="0.3">
      <c r="C160" s="164"/>
      <c r="I160" s="24"/>
    </row>
    <row r="161" spans="3:9" ht="13" x14ac:dyDescent="0.3">
      <c r="C161" s="164"/>
      <c r="I161" s="24"/>
    </row>
    <row r="162" spans="3:9" ht="13" x14ac:dyDescent="0.3">
      <c r="C162" s="164"/>
      <c r="I162" s="24"/>
    </row>
  </sheetData>
  <mergeCells count="2">
    <mergeCell ref="A1:G1"/>
    <mergeCell ref="A68:G68"/>
  </mergeCells>
  <phoneticPr fontId="8" type="noConversion"/>
  <pageMargins left="0.75" right="0.75" top="1" bottom="1" header="0.5" footer="0.5"/>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L59"/>
  <sheetViews>
    <sheetView topLeftCell="A13" workbookViewId="0">
      <selection activeCell="U58" sqref="U58"/>
    </sheetView>
  </sheetViews>
  <sheetFormatPr defaultRowHeight="12.5" x14ac:dyDescent="0.25"/>
  <cols>
    <col min="2" max="2" width="12.36328125" customWidth="1"/>
    <col min="3" max="3" width="12.6328125" customWidth="1"/>
    <col min="4" max="4" width="12.36328125" customWidth="1"/>
    <col min="5" max="5" width="12.6328125" customWidth="1"/>
    <col min="6" max="6" width="13.36328125" customWidth="1"/>
    <col min="7" max="7" width="12.54296875" customWidth="1"/>
    <col min="8" max="8" width="11.90625" customWidth="1"/>
    <col min="9" max="9" width="13.08984375" customWidth="1"/>
    <col min="11" max="11" width="12.6328125" customWidth="1"/>
  </cols>
  <sheetData>
    <row r="1" spans="1:38" ht="15.5" x14ac:dyDescent="0.35">
      <c r="A1" s="829" t="s">
        <v>833</v>
      </c>
      <c r="B1" s="829"/>
      <c r="C1" s="829"/>
      <c r="D1" s="829"/>
      <c r="E1" s="829"/>
      <c r="F1" s="829"/>
      <c r="G1" s="829"/>
      <c r="H1" s="829"/>
      <c r="I1" s="829"/>
      <c r="J1" s="829"/>
      <c r="K1" s="829"/>
      <c r="L1" s="829"/>
      <c r="N1" s="829" t="s">
        <v>779</v>
      </c>
      <c r="O1" s="829"/>
      <c r="P1" s="829"/>
      <c r="Q1" s="829"/>
      <c r="R1" s="829"/>
      <c r="S1" s="829"/>
      <c r="T1" s="829"/>
      <c r="U1" s="829"/>
      <c r="V1" s="829"/>
      <c r="W1" s="829"/>
      <c r="X1" s="829"/>
      <c r="Y1" s="829"/>
      <c r="AA1" s="829" t="s">
        <v>780</v>
      </c>
      <c r="AB1" s="829"/>
      <c r="AC1" s="829"/>
      <c r="AD1" s="829"/>
      <c r="AE1" s="829"/>
      <c r="AF1" s="829"/>
      <c r="AG1" s="829"/>
      <c r="AH1" s="829"/>
      <c r="AI1" s="829"/>
      <c r="AJ1" s="829"/>
      <c r="AK1" s="829"/>
      <c r="AL1" s="829"/>
    </row>
    <row r="2" spans="1:38" ht="13" x14ac:dyDescent="0.25">
      <c r="A2" s="1014" t="s">
        <v>108</v>
      </c>
      <c r="B2" s="655" t="s">
        <v>820</v>
      </c>
      <c r="C2" s="655" t="s">
        <v>823</v>
      </c>
      <c r="D2" s="655" t="s">
        <v>824</v>
      </c>
      <c r="E2" s="655" t="s">
        <v>825</v>
      </c>
      <c r="F2" s="655" t="s">
        <v>26</v>
      </c>
      <c r="G2" s="655" t="s">
        <v>26</v>
      </c>
      <c r="H2" s="655" t="s">
        <v>827</v>
      </c>
      <c r="I2" s="655" t="s">
        <v>501</v>
      </c>
      <c r="J2" s="655" t="s">
        <v>501</v>
      </c>
      <c r="K2" s="655" t="s">
        <v>831</v>
      </c>
      <c r="L2" s="655" t="s">
        <v>831</v>
      </c>
      <c r="N2" s="20"/>
      <c r="AA2" s="20"/>
    </row>
    <row r="3" spans="1:38" ht="13" x14ac:dyDescent="0.25">
      <c r="A3" s="1014"/>
      <c r="B3" s="655" t="s">
        <v>821</v>
      </c>
      <c r="C3" s="655" t="s">
        <v>821</v>
      </c>
      <c r="D3" s="655" t="s">
        <v>131</v>
      </c>
      <c r="E3" s="655" t="s">
        <v>826</v>
      </c>
      <c r="F3" s="655" t="s">
        <v>131</v>
      </c>
      <c r="G3" s="655" t="s">
        <v>826</v>
      </c>
      <c r="H3" s="655" t="s">
        <v>821</v>
      </c>
      <c r="I3" s="655" t="s">
        <v>828</v>
      </c>
      <c r="J3" s="655" t="s">
        <v>830</v>
      </c>
      <c r="K3" s="655" t="s">
        <v>828</v>
      </c>
      <c r="L3" s="655" t="s">
        <v>830</v>
      </c>
      <c r="N3" s="1014" t="s">
        <v>108</v>
      </c>
      <c r="O3" s="655" t="s">
        <v>820</v>
      </c>
      <c r="P3" s="655" t="s">
        <v>823</v>
      </c>
      <c r="Q3" s="655" t="s">
        <v>824</v>
      </c>
      <c r="R3" s="655" t="s">
        <v>825</v>
      </c>
      <c r="S3" s="655" t="s">
        <v>26</v>
      </c>
      <c r="T3" s="655" t="s">
        <v>26</v>
      </c>
      <c r="U3" s="655" t="s">
        <v>827</v>
      </c>
      <c r="V3" s="655" t="s">
        <v>501</v>
      </c>
      <c r="W3" s="655" t="s">
        <v>501</v>
      </c>
      <c r="X3" s="655" t="s">
        <v>831</v>
      </c>
      <c r="Y3" s="655" t="s">
        <v>831</v>
      </c>
      <c r="AA3" s="1014" t="s">
        <v>108</v>
      </c>
      <c r="AB3" s="655" t="s">
        <v>820</v>
      </c>
      <c r="AC3" s="655" t="s">
        <v>823</v>
      </c>
      <c r="AD3" s="655" t="s">
        <v>824</v>
      </c>
      <c r="AE3" s="655" t="s">
        <v>825</v>
      </c>
      <c r="AF3" s="655" t="s">
        <v>26</v>
      </c>
      <c r="AG3" s="655" t="s">
        <v>26</v>
      </c>
      <c r="AH3" s="655" t="s">
        <v>827</v>
      </c>
      <c r="AI3" s="655" t="s">
        <v>501</v>
      </c>
      <c r="AJ3" s="655" t="s">
        <v>501</v>
      </c>
      <c r="AK3" s="655" t="s">
        <v>831</v>
      </c>
      <c r="AL3" s="655" t="s">
        <v>831</v>
      </c>
    </row>
    <row r="4" spans="1:38" ht="26.4" customHeight="1" x14ac:dyDescent="0.25">
      <c r="A4" s="1014"/>
      <c r="B4" s="655" t="s">
        <v>822</v>
      </c>
      <c r="C4" s="655" t="s">
        <v>822</v>
      </c>
      <c r="D4" s="655" t="s">
        <v>821</v>
      </c>
      <c r="E4" s="655" t="s">
        <v>821</v>
      </c>
      <c r="F4" s="655" t="s">
        <v>821</v>
      </c>
      <c r="G4" s="655" t="s">
        <v>821</v>
      </c>
      <c r="H4" s="655" t="s">
        <v>822</v>
      </c>
      <c r="I4" s="655" t="s">
        <v>829</v>
      </c>
      <c r="J4" s="655" t="s">
        <v>829</v>
      </c>
      <c r="K4" s="655" t="s">
        <v>829</v>
      </c>
      <c r="L4" s="655" t="s">
        <v>829</v>
      </c>
      <c r="N4" s="1014"/>
      <c r="O4" s="655" t="s">
        <v>821</v>
      </c>
      <c r="P4" s="655" t="s">
        <v>821</v>
      </c>
      <c r="Q4" s="655" t="s">
        <v>131</v>
      </c>
      <c r="R4" s="655" t="s">
        <v>826</v>
      </c>
      <c r="S4" s="655" t="s">
        <v>131</v>
      </c>
      <c r="T4" s="655" t="s">
        <v>826</v>
      </c>
      <c r="U4" s="655" t="s">
        <v>821</v>
      </c>
      <c r="V4" s="655" t="s">
        <v>828</v>
      </c>
      <c r="W4" s="655" t="s">
        <v>830</v>
      </c>
      <c r="X4" s="655" t="s">
        <v>828</v>
      </c>
      <c r="Y4" s="655" t="s">
        <v>830</v>
      </c>
      <c r="AA4" s="1014"/>
      <c r="AB4" s="655" t="s">
        <v>821</v>
      </c>
      <c r="AC4" s="655" t="s">
        <v>821</v>
      </c>
      <c r="AD4" s="655" t="s">
        <v>131</v>
      </c>
      <c r="AE4" s="655" t="s">
        <v>826</v>
      </c>
      <c r="AF4" s="655" t="s">
        <v>131</v>
      </c>
      <c r="AG4" s="655" t="s">
        <v>826</v>
      </c>
      <c r="AH4" s="655" t="s">
        <v>821</v>
      </c>
      <c r="AI4" s="655" t="s">
        <v>828</v>
      </c>
      <c r="AJ4" s="655" t="s">
        <v>830</v>
      </c>
      <c r="AK4" s="655" t="s">
        <v>828</v>
      </c>
      <c r="AL4" s="655" t="s">
        <v>830</v>
      </c>
    </row>
    <row r="5" spans="1:38" ht="26" x14ac:dyDescent="0.25">
      <c r="A5" s="1014"/>
      <c r="B5" s="655"/>
      <c r="C5" s="655"/>
      <c r="D5" s="655" t="s">
        <v>822</v>
      </c>
      <c r="E5" s="655" t="s">
        <v>822</v>
      </c>
      <c r="F5" s="655" t="s">
        <v>822</v>
      </c>
      <c r="G5" s="655" t="s">
        <v>822</v>
      </c>
      <c r="H5" s="655"/>
      <c r="I5" s="655"/>
      <c r="J5" s="655"/>
      <c r="K5" s="655"/>
      <c r="L5" s="655"/>
      <c r="N5" s="1014"/>
      <c r="O5" s="655" t="s">
        <v>822</v>
      </c>
      <c r="P5" s="655" t="s">
        <v>822</v>
      </c>
      <c r="Q5" s="655" t="s">
        <v>821</v>
      </c>
      <c r="R5" s="655" t="s">
        <v>821</v>
      </c>
      <c r="S5" s="655" t="s">
        <v>821</v>
      </c>
      <c r="T5" s="655" t="s">
        <v>821</v>
      </c>
      <c r="U5" s="655" t="s">
        <v>822</v>
      </c>
      <c r="V5" s="655" t="s">
        <v>829</v>
      </c>
      <c r="W5" s="655" t="s">
        <v>829</v>
      </c>
      <c r="X5" s="655" t="s">
        <v>829</v>
      </c>
      <c r="Y5" s="655" t="s">
        <v>829</v>
      </c>
      <c r="AA5" s="1014"/>
      <c r="AB5" s="655" t="s">
        <v>822</v>
      </c>
      <c r="AC5" s="655" t="s">
        <v>822</v>
      </c>
      <c r="AD5" s="655" t="s">
        <v>821</v>
      </c>
      <c r="AE5" s="655" t="s">
        <v>821</v>
      </c>
      <c r="AF5" s="655" t="s">
        <v>821</v>
      </c>
      <c r="AG5" s="655" t="s">
        <v>821</v>
      </c>
      <c r="AH5" s="655" t="s">
        <v>822</v>
      </c>
      <c r="AI5" s="655" t="s">
        <v>829</v>
      </c>
      <c r="AJ5" s="655" t="s">
        <v>829</v>
      </c>
      <c r="AK5" s="655" t="s">
        <v>829</v>
      </c>
      <c r="AL5" s="655" t="s">
        <v>829</v>
      </c>
    </row>
    <row r="6" spans="1:38" ht="13" x14ac:dyDescent="0.25">
      <c r="A6" s="638">
        <v>2011</v>
      </c>
      <c r="B6" s="638">
        <v>36</v>
      </c>
      <c r="C6" s="638">
        <v>88</v>
      </c>
      <c r="D6" s="638">
        <v>51</v>
      </c>
      <c r="E6" s="638">
        <v>58</v>
      </c>
      <c r="F6" s="638">
        <v>41.8</v>
      </c>
      <c r="G6" s="638">
        <v>76.3</v>
      </c>
      <c r="H6" s="638">
        <v>59</v>
      </c>
      <c r="I6" s="638">
        <v>1.75</v>
      </c>
      <c r="J6" s="638">
        <v>0</v>
      </c>
      <c r="K6" s="638">
        <v>1.54</v>
      </c>
      <c r="L6" s="638">
        <v>0</v>
      </c>
      <c r="N6" s="1014"/>
      <c r="O6" s="655"/>
      <c r="P6" s="655"/>
      <c r="Q6" s="655" t="s">
        <v>822</v>
      </c>
      <c r="R6" s="655" t="s">
        <v>822</v>
      </c>
      <c r="S6" s="655" t="s">
        <v>822</v>
      </c>
      <c r="T6" s="655" t="s">
        <v>822</v>
      </c>
      <c r="U6" s="655"/>
      <c r="V6" s="655"/>
      <c r="W6" s="655"/>
      <c r="X6" s="655"/>
      <c r="Y6" s="655"/>
      <c r="AA6" s="1014"/>
      <c r="AB6" s="655"/>
      <c r="AC6" s="655"/>
      <c r="AD6" s="655" t="s">
        <v>822</v>
      </c>
      <c r="AE6" s="655" t="s">
        <v>822</v>
      </c>
      <c r="AF6" s="655" t="s">
        <v>822</v>
      </c>
      <c r="AG6" s="655" t="s">
        <v>822</v>
      </c>
      <c r="AH6" s="655"/>
      <c r="AI6" s="655"/>
      <c r="AJ6" s="655"/>
      <c r="AK6" s="655"/>
      <c r="AL6" s="655"/>
    </row>
    <row r="7" spans="1:38" x14ac:dyDescent="0.25">
      <c r="A7" s="638">
        <v>2010</v>
      </c>
      <c r="B7" s="638">
        <v>34</v>
      </c>
      <c r="C7" s="638">
        <v>89</v>
      </c>
      <c r="D7" s="638">
        <v>55</v>
      </c>
      <c r="E7" s="638">
        <v>46</v>
      </c>
      <c r="F7" s="638">
        <v>43.9</v>
      </c>
      <c r="G7" s="638">
        <v>75.5</v>
      </c>
      <c r="H7" s="638">
        <v>59.7</v>
      </c>
      <c r="I7" s="638">
        <v>1.85</v>
      </c>
      <c r="J7" s="638">
        <v>0</v>
      </c>
      <c r="K7" s="638">
        <v>0.86</v>
      </c>
      <c r="L7" s="638">
        <v>0</v>
      </c>
      <c r="N7" s="638">
        <v>2011</v>
      </c>
      <c r="O7" s="638">
        <v>45</v>
      </c>
      <c r="P7" s="638">
        <v>90</v>
      </c>
      <c r="Q7" s="638">
        <v>55</v>
      </c>
      <c r="R7" s="638">
        <v>76</v>
      </c>
      <c r="S7" s="638">
        <v>51</v>
      </c>
      <c r="T7" s="638">
        <v>81.8</v>
      </c>
      <c r="U7" s="638">
        <v>66.400000000000006</v>
      </c>
      <c r="V7" s="638">
        <v>4.87</v>
      </c>
      <c r="W7" s="638">
        <v>0</v>
      </c>
      <c r="X7" s="638">
        <v>1.04</v>
      </c>
      <c r="Y7" s="638">
        <v>0</v>
      </c>
      <c r="AA7" s="638">
        <v>2011</v>
      </c>
      <c r="AB7" s="638">
        <v>43</v>
      </c>
      <c r="AC7" s="638">
        <v>90</v>
      </c>
      <c r="AD7" s="638">
        <v>53</v>
      </c>
      <c r="AE7" s="638">
        <v>76</v>
      </c>
      <c r="AF7" s="638">
        <v>48.4</v>
      </c>
      <c r="AG7" s="638">
        <v>83.2</v>
      </c>
      <c r="AH7" s="638">
        <v>65.8</v>
      </c>
      <c r="AI7" s="638">
        <v>1.19</v>
      </c>
      <c r="AJ7" s="638">
        <v>0</v>
      </c>
      <c r="AK7" s="638">
        <v>0.5</v>
      </c>
      <c r="AL7" s="638">
        <v>0</v>
      </c>
    </row>
    <row r="8" spans="1:38" x14ac:dyDescent="0.25">
      <c r="A8" s="638">
        <v>2009</v>
      </c>
      <c r="B8" s="638">
        <v>35</v>
      </c>
      <c r="C8" s="638">
        <v>81</v>
      </c>
      <c r="D8" s="638">
        <v>53</v>
      </c>
      <c r="E8" s="638">
        <v>46</v>
      </c>
      <c r="F8" s="638">
        <v>42.8</v>
      </c>
      <c r="G8" s="638">
        <v>70.3</v>
      </c>
      <c r="H8" s="638">
        <v>56.5</v>
      </c>
      <c r="I8" s="638">
        <v>3.98</v>
      </c>
      <c r="J8" s="638">
        <v>0</v>
      </c>
      <c r="K8" s="638">
        <v>1.01</v>
      </c>
      <c r="L8" s="638">
        <v>0</v>
      </c>
      <c r="N8" s="638">
        <v>2010</v>
      </c>
      <c r="O8" s="638">
        <v>41</v>
      </c>
      <c r="P8" s="638">
        <v>92</v>
      </c>
      <c r="Q8" s="638">
        <v>57</v>
      </c>
      <c r="R8" s="638">
        <v>56</v>
      </c>
      <c r="S8" s="638">
        <v>49.5</v>
      </c>
      <c r="T8" s="638">
        <v>81.2</v>
      </c>
      <c r="U8" s="638">
        <v>65.400000000000006</v>
      </c>
      <c r="V8" s="638">
        <v>1.9</v>
      </c>
      <c r="W8" s="638">
        <v>0</v>
      </c>
      <c r="X8" s="638">
        <v>0.38</v>
      </c>
      <c r="Y8" s="638">
        <v>0</v>
      </c>
      <c r="AA8" s="638">
        <v>2010</v>
      </c>
      <c r="AB8" s="638">
        <v>42</v>
      </c>
      <c r="AC8" s="638">
        <v>88</v>
      </c>
      <c r="AD8" s="638">
        <v>60</v>
      </c>
      <c r="AE8" s="638">
        <v>70</v>
      </c>
      <c r="AF8" s="638">
        <v>48.1</v>
      </c>
      <c r="AG8" s="638">
        <v>80.400000000000006</v>
      </c>
      <c r="AH8" s="638">
        <v>64.2</v>
      </c>
      <c r="AI8" s="638">
        <v>2.4700000000000002</v>
      </c>
      <c r="AJ8" s="638">
        <v>0</v>
      </c>
      <c r="AK8" s="638">
        <v>0.77</v>
      </c>
      <c r="AL8" s="638">
        <v>0</v>
      </c>
    </row>
    <row r="9" spans="1:38" x14ac:dyDescent="0.25">
      <c r="A9" s="638">
        <v>2008</v>
      </c>
      <c r="B9" s="638">
        <v>31</v>
      </c>
      <c r="C9" s="638">
        <v>84</v>
      </c>
      <c r="D9" s="638">
        <v>47</v>
      </c>
      <c r="E9" s="638">
        <v>59</v>
      </c>
      <c r="F9" s="638">
        <v>40.6</v>
      </c>
      <c r="G9" s="638">
        <v>76.3</v>
      </c>
      <c r="H9" s="638">
        <v>58.5</v>
      </c>
      <c r="I9" s="638">
        <v>0.56000000000000005</v>
      </c>
      <c r="J9" s="638">
        <v>0</v>
      </c>
      <c r="K9" s="638">
        <v>0.42</v>
      </c>
      <c r="L9" s="638">
        <v>0</v>
      </c>
      <c r="N9" s="638">
        <v>2009</v>
      </c>
      <c r="O9" s="638">
        <v>43</v>
      </c>
      <c r="P9" s="638">
        <v>87</v>
      </c>
      <c r="Q9" s="638">
        <v>54</v>
      </c>
      <c r="R9" s="638">
        <v>58</v>
      </c>
      <c r="S9" s="638">
        <v>47.3</v>
      </c>
      <c r="T9" s="638">
        <v>77.599999999999994</v>
      </c>
      <c r="U9" s="638">
        <v>62.5</v>
      </c>
      <c r="V9" s="638">
        <v>2.56</v>
      </c>
      <c r="W9" s="638">
        <v>0</v>
      </c>
      <c r="X9" s="638">
        <v>0.49</v>
      </c>
      <c r="Y9" s="638">
        <v>0</v>
      </c>
      <c r="AA9" s="638">
        <v>2009</v>
      </c>
      <c r="AB9" s="638">
        <v>39</v>
      </c>
      <c r="AC9" s="638">
        <v>89</v>
      </c>
      <c r="AD9" s="638">
        <v>53</v>
      </c>
      <c r="AE9" s="638">
        <v>66</v>
      </c>
      <c r="AF9" s="638">
        <v>44.9</v>
      </c>
      <c r="AG9" s="638">
        <v>77.8</v>
      </c>
      <c r="AH9" s="638">
        <v>61.4</v>
      </c>
      <c r="AI9" s="638">
        <v>0.71</v>
      </c>
      <c r="AJ9" s="638">
        <v>0</v>
      </c>
      <c r="AK9" s="638">
        <v>0.15</v>
      </c>
      <c r="AL9" s="638">
        <v>0</v>
      </c>
    </row>
    <row r="10" spans="1:38" x14ac:dyDescent="0.25">
      <c r="A10" s="638">
        <v>2007</v>
      </c>
      <c r="B10" s="638">
        <v>30</v>
      </c>
      <c r="C10" s="638">
        <v>90</v>
      </c>
      <c r="D10" s="638">
        <v>49</v>
      </c>
      <c r="E10" s="638">
        <v>60</v>
      </c>
      <c r="F10" s="638">
        <v>42.2</v>
      </c>
      <c r="G10" s="638">
        <v>75.8</v>
      </c>
      <c r="H10" s="638">
        <v>59</v>
      </c>
      <c r="I10" s="638">
        <v>0.73</v>
      </c>
      <c r="J10" s="638">
        <v>0</v>
      </c>
      <c r="K10" s="638">
        <v>0.57999999999999996</v>
      </c>
      <c r="L10" s="638">
        <v>0</v>
      </c>
      <c r="N10" s="638">
        <v>2008</v>
      </c>
      <c r="O10" s="638">
        <v>43</v>
      </c>
      <c r="P10" s="638">
        <v>91</v>
      </c>
      <c r="Q10" s="638">
        <v>55</v>
      </c>
      <c r="R10" s="638">
        <v>74</v>
      </c>
      <c r="S10" s="638">
        <v>48.7</v>
      </c>
      <c r="T10" s="638">
        <v>84.3</v>
      </c>
      <c r="U10" s="638">
        <v>66.5</v>
      </c>
      <c r="V10" s="638">
        <v>0.35</v>
      </c>
      <c r="W10" s="638">
        <v>0</v>
      </c>
      <c r="X10" s="638">
        <v>0.15</v>
      </c>
      <c r="Y10" s="638">
        <v>0</v>
      </c>
      <c r="AA10" s="638">
        <v>2008</v>
      </c>
      <c r="AB10" s="638">
        <v>42</v>
      </c>
      <c r="AC10" s="638">
        <v>93</v>
      </c>
      <c r="AD10" s="638">
        <v>54</v>
      </c>
      <c r="AE10" s="638">
        <v>49</v>
      </c>
      <c r="AF10" s="638">
        <v>46.9</v>
      </c>
      <c r="AG10" s="638">
        <v>78.5</v>
      </c>
      <c r="AH10" s="638">
        <v>62.7</v>
      </c>
      <c r="AI10" s="638">
        <v>2.79</v>
      </c>
      <c r="AJ10" s="638">
        <v>0</v>
      </c>
      <c r="AK10" s="638">
        <v>0.95</v>
      </c>
      <c r="AL10" s="638">
        <v>0</v>
      </c>
    </row>
    <row r="11" spans="1:38" x14ac:dyDescent="0.25">
      <c r="A11" s="638">
        <v>2006</v>
      </c>
      <c r="B11" s="638">
        <v>38</v>
      </c>
      <c r="C11" s="638">
        <v>91</v>
      </c>
      <c r="D11" s="638">
        <v>52</v>
      </c>
      <c r="E11" s="638">
        <v>65</v>
      </c>
      <c r="F11" s="638">
        <v>44.5</v>
      </c>
      <c r="G11" s="638">
        <v>79.3</v>
      </c>
      <c r="H11" s="638">
        <v>61.9</v>
      </c>
      <c r="I11" s="638">
        <v>1.08</v>
      </c>
      <c r="J11" s="638">
        <v>0</v>
      </c>
      <c r="K11" s="638">
        <v>0.45</v>
      </c>
      <c r="L11" s="638">
        <v>0</v>
      </c>
      <c r="N11" s="638">
        <v>2007</v>
      </c>
      <c r="O11" s="638">
        <v>44</v>
      </c>
      <c r="P11" s="638">
        <v>90</v>
      </c>
      <c r="Q11" s="638">
        <v>57</v>
      </c>
      <c r="R11" s="638">
        <v>73</v>
      </c>
      <c r="S11" s="638">
        <v>50.3</v>
      </c>
      <c r="T11" s="638">
        <v>82.9</v>
      </c>
      <c r="U11" s="638">
        <v>66.599999999999994</v>
      </c>
      <c r="V11" s="638">
        <v>1.28</v>
      </c>
      <c r="W11" s="638">
        <v>0</v>
      </c>
      <c r="X11" s="638">
        <v>0.62</v>
      </c>
      <c r="Y11" s="638">
        <v>0</v>
      </c>
      <c r="AA11" s="638">
        <v>2007</v>
      </c>
      <c r="AB11" s="638" t="s">
        <v>832</v>
      </c>
      <c r="AC11" s="638" t="s">
        <v>832</v>
      </c>
      <c r="AD11" s="638" t="s">
        <v>832</v>
      </c>
      <c r="AE11" s="638" t="s">
        <v>832</v>
      </c>
      <c r="AF11" s="638" t="s">
        <v>832</v>
      </c>
      <c r="AG11" s="638" t="s">
        <v>832</v>
      </c>
      <c r="AH11" s="638" t="s">
        <v>832</v>
      </c>
      <c r="AI11" s="638">
        <v>2.12</v>
      </c>
      <c r="AJ11" s="638">
        <v>0</v>
      </c>
      <c r="AK11" s="638">
        <v>0.48</v>
      </c>
      <c r="AL11" s="638">
        <v>0</v>
      </c>
    </row>
    <row r="12" spans="1:38" x14ac:dyDescent="0.25">
      <c r="A12" s="638">
        <v>2005</v>
      </c>
      <c r="B12" s="638">
        <v>32</v>
      </c>
      <c r="C12" s="638">
        <v>85</v>
      </c>
      <c r="D12" s="638">
        <v>51</v>
      </c>
      <c r="E12" s="638">
        <v>51</v>
      </c>
      <c r="F12" s="638">
        <v>42.7</v>
      </c>
      <c r="G12" s="638">
        <v>74.2</v>
      </c>
      <c r="H12" s="638">
        <v>58.4</v>
      </c>
      <c r="I12" s="638">
        <v>2.23</v>
      </c>
      <c r="J12" s="638">
        <v>0</v>
      </c>
      <c r="K12" s="638">
        <v>0.63</v>
      </c>
      <c r="L12" s="638">
        <v>0</v>
      </c>
      <c r="N12" s="638">
        <v>2006</v>
      </c>
      <c r="O12" s="638">
        <v>46</v>
      </c>
      <c r="P12" s="638">
        <v>93</v>
      </c>
      <c r="Q12" s="638">
        <v>59</v>
      </c>
      <c r="R12" s="638">
        <v>58</v>
      </c>
      <c r="S12" s="638">
        <v>50.5</v>
      </c>
      <c r="T12" s="638">
        <v>81.7</v>
      </c>
      <c r="U12" s="638">
        <v>66.099999999999994</v>
      </c>
      <c r="V12" s="638">
        <v>4.0199999999999996</v>
      </c>
      <c r="W12" s="638">
        <v>0</v>
      </c>
      <c r="X12" s="638">
        <v>1.36</v>
      </c>
      <c r="Y12" s="638">
        <v>0</v>
      </c>
      <c r="AA12" s="638">
        <v>2006</v>
      </c>
      <c r="AB12" s="638">
        <v>39</v>
      </c>
      <c r="AC12" s="638">
        <v>85</v>
      </c>
      <c r="AD12" s="638">
        <v>60</v>
      </c>
      <c r="AE12" s="638">
        <v>66</v>
      </c>
      <c r="AF12" s="638">
        <v>49.3</v>
      </c>
      <c r="AG12" s="638">
        <v>78.099999999999994</v>
      </c>
      <c r="AH12" s="638">
        <v>63.7</v>
      </c>
      <c r="AI12" s="638">
        <v>1.4</v>
      </c>
      <c r="AJ12" s="638">
        <v>0</v>
      </c>
      <c r="AK12" s="638">
        <v>0.28000000000000003</v>
      </c>
      <c r="AL12" s="638">
        <v>0</v>
      </c>
    </row>
    <row r="13" spans="1:38" x14ac:dyDescent="0.25">
      <c r="A13" s="638">
        <v>2004</v>
      </c>
      <c r="B13" s="638">
        <v>32</v>
      </c>
      <c r="C13" s="638">
        <v>91</v>
      </c>
      <c r="D13" s="638">
        <v>55</v>
      </c>
      <c r="E13" s="638">
        <v>52</v>
      </c>
      <c r="F13" s="638">
        <v>41.9</v>
      </c>
      <c r="G13" s="638">
        <v>71.900000000000006</v>
      </c>
      <c r="H13" s="638">
        <v>56.9</v>
      </c>
      <c r="I13" s="638">
        <v>3.08</v>
      </c>
      <c r="J13" s="638">
        <v>0</v>
      </c>
      <c r="K13" s="638">
        <v>0.79</v>
      </c>
      <c r="L13" s="638">
        <v>0</v>
      </c>
      <c r="N13" s="638">
        <v>2005</v>
      </c>
      <c r="O13" s="638">
        <v>41</v>
      </c>
      <c r="P13" s="638">
        <v>94</v>
      </c>
      <c r="Q13" s="638">
        <v>58</v>
      </c>
      <c r="R13" s="638">
        <v>64</v>
      </c>
      <c r="S13" s="638">
        <v>48.6</v>
      </c>
      <c r="T13" s="638">
        <v>85.5</v>
      </c>
      <c r="U13" s="638">
        <v>67</v>
      </c>
      <c r="V13" s="638">
        <v>0.82</v>
      </c>
      <c r="W13" s="638">
        <v>0</v>
      </c>
      <c r="X13" s="638">
        <v>0.46</v>
      </c>
      <c r="Y13" s="638">
        <v>0</v>
      </c>
      <c r="AA13" s="638">
        <v>2005</v>
      </c>
      <c r="AB13" s="638">
        <v>39</v>
      </c>
      <c r="AC13" s="638">
        <v>87</v>
      </c>
      <c r="AD13" s="638">
        <v>56</v>
      </c>
      <c r="AE13" s="638">
        <v>58</v>
      </c>
      <c r="AF13" s="638">
        <v>45.6</v>
      </c>
      <c r="AG13" s="638">
        <v>77.7</v>
      </c>
      <c r="AH13" s="638">
        <v>61.7</v>
      </c>
      <c r="AI13" s="638">
        <v>3.6</v>
      </c>
      <c r="AJ13" s="638">
        <v>0</v>
      </c>
      <c r="AK13" s="638">
        <v>1.1100000000000001</v>
      </c>
      <c r="AL13" s="638">
        <v>0</v>
      </c>
    </row>
    <row r="14" spans="1:38" x14ac:dyDescent="0.25">
      <c r="A14" s="638">
        <v>2003</v>
      </c>
      <c r="B14" s="638">
        <v>31</v>
      </c>
      <c r="C14" s="638">
        <v>82</v>
      </c>
      <c r="D14" s="638">
        <v>52</v>
      </c>
      <c r="E14" s="638">
        <v>57</v>
      </c>
      <c r="F14" s="638">
        <v>41.7</v>
      </c>
      <c r="G14" s="638">
        <v>71.3</v>
      </c>
      <c r="H14" s="638">
        <v>56.5</v>
      </c>
      <c r="I14" s="638">
        <v>1.93</v>
      </c>
      <c r="J14" s="638">
        <v>0</v>
      </c>
      <c r="K14" s="638">
        <v>0.36</v>
      </c>
      <c r="L14" s="638">
        <v>0</v>
      </c>
      <c r="N14" s="638">
        <v>2004</v>
      </c>
      <c r="O14" s="638">
        <v>42</v>
      </c>
      <c r="P14" s="638">
        <v>91</v>
      </c>
      <c r="Q14" s="638">
        <v>56</v>
      </c>
      <c r="R14" s="638">
        <v>54</v>
      </c>
      <c r="S14" s="638">
        <v>46.4</v>
      </c>
      <c r="T14" s="638">
        <v>77.900000000000006</v>
      </c>
      <c r="U14" s="638">
        <v>62.1</v>
      </c>
      <c r="V14" s="638">
        <v>2.79</v>
      </c>
      <c r="W14" s="638">
        <v>0</v>
      </c>
      <c r="X14" s="638">
        <v>0.66</v>
      </c>
      <c r="Y14" s="638">
        <v>0</v>
      </c>
      <c r="AA14" s="638">
        <v>2004</v>
      </c>
      <c r="AB14" s="638">
        <v>34</v>
      </c>
      <c r="AC14" s="638">
        <v>88</v>
      </c>
      <c r="AD14" s="638">
        <v>52</v>
      </c>
      <c r="AE14" s="638">
        <v>59</v>
      </c>
      <c r="AF14" s="638">
        <v>43.4</v>
      </c>
      <c r="AG14" s="638">
        <v>76.3</v>
      </c>
      <c r="AH14" s="638">
        <v>59.8</v>
      </c>
      <c r="AI14" s="638">
        <v>2.64</v>
      </c>
      <c r="AJ14" s="638">
        <v>0</v>
      </c>
      <c r="AK14" s="638">
        <v>0.89</v>
      </c>
      <c r="AL14" s="638">
        <v>0</v>
      </c>
    </row>
    <row r="15" spans="1:38" x14ac:dyDescent="0.25">
      <c r="A15" s="638">
        <v>2002</v>
      </c>
      <c r="B15" s="638">
        <v>33</v>
      </c>
      <c r="C15" s="638">
        <v>94</v>
      </c>
      <c r="D15" s="638">
        <v>49</v>
      </c>
      <c r="E15" s="638">
        <v>53</v>
      </c>
      <c r="F15" s="638">
        <v>42.2</v>
      </c>
      <c r="G15" s="638">
        <v>82.2</v>
      </c>
      <c r="H15" s="638">
        <v>62.2</v>
      </c>
      <c r="I15" s="638">
        <v>0.66</v>
      </c>
      <c r="J15" s="638">
        <v>0</v>
      </c>
      <c r="K15" s="638">
        <v>0.28999999999999998</v>
      </c>
      <c r="L15" s="638">
        <v>0</v>
      </c>
      <c r="N15" s="638">
        <v>2003</v>
      </c>
      <c r="O15" s="638">
        <v>42</v>
      </c>
      <c r="P15" s="638">
        <v>96</v>
      </c>
      <c r="Q15" s="638">
        <v>55</v>
      </c>
      <c r="R15" s="638">
        <v>77</v>
      </c>
      <c r="S15" s="638">
        <v>47.5</v>
      </c>
      <c r="T15" s="638">
        <v>88.3</v>
      </c>
      <c r="U15" s="638">
        <v>67.900000000000006</v>
      </c>
      <c r="V15" s="638">
        <v>0.48</v>
      </c>
      <c r="W15" s="638">
        <v>0</v>
      </c>
      <c r="X15" s="638">
        <v>0.24</v>
      </c>
      <c r="Y15" s="638">
        <v>0</v>
      </c>
      <c r="AA15" s="638">
        <v>2003</v>
      </c>
      <c r="AB15" s="638">
        <v>40</v>
      </c>
      <c r="AC15" s="638">
        <v>90</v>
      </c>
      <c r="AD15" s="638">
        <v>54</v>
      </c>
      <c r="AE15" s="638">
        <v>63</v>
      </c>
      <c r="AF15" s="638">
        <v>47.7</v>
      </c>
      <c r="AG15" s="638">
        <v>83.9</v>
      </c>
      <c r="AH15" s="638">
        <v>65.8</v>
      </c>
      <c r="AI15" s="638">
        <v>2.7</v>
      </c>
      <c r="AJ15" s="638">
        <v>0</v>
      </c>
      <c r="AK15" s="638">
        <v>0.71</v>
      </c>
      <c r="AL15" s="638">
        <v>0</v>
      </c>
    </row>
    <row r="16" spans="1:38" x14ac:dyDescent="0.25">
      <c r="A16" s="638">
        <v>2001</v>
      </c>
      <c r="B16" s="638">
        <v>28</v>
      </c>
      <c r="C16" s="638">
        <v>89</v>
      </c>
      <c r="D16" s="638">
        <v>51</v>
      </c>
      <c r="E16" s="638">
        <v>58</v>
      </c>
      <c r="F16" s="638">
        <v>42.4</v>
      </c>
      <c r="G16" s="638">
        <v>79.3</v>
      </c>
      <c r="H16" s="638">
        <v>60.9</v>
      </c>
      <c r="I16" s="638">
        <v>0.85</v>
      </c>
      <c r="J16" s="638">
        <v>0</v>
      </c>
      <c r="K16" s="638">
        <v>0.52</v>
      </c>
      <c r="L16" s="638">
        <v>0</v>
      </c>
      <c r="N16" s="638">
        <v>2002</v>
      </c>
      <c r="O16" s="638">
        <v>42</v>
      </c>
      <c r="P16" s="638">
        <v>94</v>
      </c>
      <c r="Q16" s="638">
        <v>59</v>
      </c>
      <c r="R16" s="638">
        <v>75</v>
      </c>
      <c r="S16" s="638">
        <v>48.2</v>
      </c>
      <c r="T16" s="638">
        <v>87.5</v>
      </c>
      <c r="U16" s="638">
        <v>67.900000000000006</v>
      </c>
      <c r="V16" s="638">
        <v>0.39</v>
      </c>
      <c r="W16" s="638">
        <v>0</v>
      </c>
      <c r="X16" s="638">
        <v>0.24</v>
      </c>
      <c r="Y16" s="638">
        <v>0</v>
      </c>
      <c r="AA16" s="638">
        <v>2002</v>
      </c>
      <c r="AB16" s="638">
        <v>36</v>
      </c>
      <c r="AC16" s="638">
        <v>94</v>
      </c>
      <c r="AD16" s="638">
        <v>53</v>
      </c>
      <c r="AE16" s="638">
        <v>70</v>
      </c>
      <c r="AF16" s="638">
        <v>44.6</v>
      </c>
      <c r="AG16" s="638">
        <v>82.4</v>
      </c>
      <c r="AH16" s="638">
        <v>63.5</v>
      </c>
      <c r="AI16" s="638">
        <v>1.97</v>
      </c>
      <c r="AJ16" s="638">
        <v>0</v>
      </c>
      <c r="AK16" s="638">
        <v>0.51</v>
      </c>
      <c r="AL16" s="638">
        <v>0</v>
      </c>
    </row>
    <row r="17" spans="1:38" x14ac:dyDescent="0.25">
      <c r="A17" s="638">
        <v>2000</v>
      </c>
      <c r="B17" s="638">
        <v>30</v>
      </c>
      <c r="C17" s="638">
        <v>91</v>
      </c>
      <c r="D17" s="638">
        <v>50</v>
      </c>
      <c r="E17" s="638">
        <v>49</v>
      </c>
      <c r="F17" s="638">
        <v>41</v>
      </c>
      <c r="G17" s="638">
        <v>78.5</v>
      </c>
      <c r="H17" s="638">
        <v>59.8</v>
      </c>
      <c r="I17" s="638">
        <v>0.65</v>
      </c>
      <c r="J17" s="638">
        <v>0</v>
      </c>
      <c r="K17" s="638">
        <v>0.24</v>
      </c>
      <c r="L17" s="638">
        <v>0</v>
      </c>
      <c r="N17" s="638">
        <v>2001</v>
      </c>
      <c r="O17" s="638">
        <v>43</v>
      </c>
      <c r="P17" s="638">
        <v>93</v>
      </c>
      <c r="Q17" s="638">
        <v>58</v>
      </c>
      <c r="R17" s="638">
        <v>72</v>
      </c>
      <c r="S17" s="638">
        <v>49.9</v>
      </c>
      <c r="T17" s="638">
        <v>85.7</v>
      </c>
      <c r="U17" s="638">
        <v>67.8</v>
      </c>
      <c r="V17" s="638">
        <v>3.06</v>
      </c>
      <c r="W17" s="638">
        <v>0</v>
      </c>
      <c r="X17" s="638">
        <v>1.1399999999999999</v>
      </c>
      <c r="Y17" s="638">
        <v>0</v>
      </c>
      <c r="AA17" s="638">
        <v>2001</v>
      </c>
      <c r="AB17" s="638">
        <v>43</v>
      </c>
      <c r="AC17" s="638">
        <v>96</v>
      </c>
      <c r="AD17" s="638">
        <v>57</v>
      </c>
      <c r="AE17" s="638">
        <v>67</v>
      </c>
      <c r="AF17" s="638">
        <v>49.3</v>
      </c>
      <c r="AG17" s="638">
        <v>85.8</v>
      </c>
      <c r="AH17" s="638">
        <v>67.599999999999994</v>
      </c>
      <c r="AI17" s="638">
        <v>3.06</v>
      </c>
      <c r="AJ17" s="638">
        <v>0</v>
      </c>
      <c r="AK17" s="638">
        <v>1.1399999999999999</v>
      </c>
      <c r="AL17" s="638">
        <v>0</v>
      </c>
    </row>
    <row r="18" spans="1:38" x14ac:dyDescent="0.25">
      <c r="A18" s="638">
        <v>1999</v>
      </c>
      <c r="B18" s="638">
        <v>27</v>
      </c>
      <c r="C18" s="638">
        <v>88</v>
      </c>
      <c r="D18" s="638">
        <v>47</v>
      </c>
      <c r="E18" s="638">
        <v>58</v>
      </c>
      <c r="F18" s="638">
        <v>40.299999999999997</v>
      </c>
      <c r="G18" s="638">
        <v>74.900000000000006</v>
      </c>
      <c r="H18" s="638">
        <v>57.6</v>
      </c>
      <c r="I18" s="638">
        <v>1.82</v>
      </c>
      <c r="J18" s="638">
        <v>0</v>
      </c>
      <c r="K18" s="638">
        <v>0.65</v>
      </c>
      <c r="L18" s="638">
        <v>0</v>
      </c>
      <c r="N18" s="638">
        <v>2000</v>
      </c>
      <c r="O18" s="638">
        <v>42</v>
      </c>
      <c r="P18" s="638">
        <v>95</v>
      </c>
      <c r="Q18" s="638">
        <v>56</v>
      </c>
      <c r="R18" s="638">
        <v>74</v>
      </c>
      <c r="S18" s="638">
        <v>48.4</v>
      </c>
      <c r="T18" s="638">
        <v>86.1</v>
      </c>
      <c r="U18" s="638">
        <v>67.2</v>
      </c>
      <c r="V18" s="638">
        <v>1.64</v>
      </c>
      <c r="W18" s="638">
        <v>0</v>
      </c>
      <c r="X18" s="638">
        <v>0.91</v>
      </c>
      <c r="Y18" s="638">
        <v>0</v>
      </c>
      <c r="AA18" s="638">
        <v>2000</v>
      </c>
      <c r="AB18" s="638">
        <v>42</v>
      </c>
      <c r="AC18" s="638">
        <v>91</v>
      </c>
      <c r="AD18" s="638">
        <v>58</v>
      </c>
      <c r="AE18" s="638">
        <v>73</v>
      </c>
      <c r="AF18" s="638">
        <v>49.1</v>
      </c>
      <c r="AG18" s="638">
        <v>84</v>
      </c>
      <c r="AH18" s="638">
        <v>66.599999999999994</v>
      </c>
      <c r="AI18" s="638">
        <v>3.25</v>
      </c>
      <c r="AJ18" s="638">
        <v>0</v>
      </c>
      <c r="AK18" s="638">
        <v>0.78</v>
      </c>
      <c r="AL18" s="638">
        <v>0</v>
      </c>
    </row>
    <row r="19" spans="1:38" x14ac:dyDescent="0.25">
      <c r="A19" s="638">
        <v>1998</v>
      </c>
      <c r="B19" s="638">
        <v>30</v>
      </c>
      <c r="C19" s="638">
        <v>91</v>
      </c>
      <c r="D19" s="638">
        <v>51</v>
      </c>
      <c r="E19" s="638">
        <v>47</v>
      </c>
      <c r="F19" s="638">
        <v>38.9</v>
      </c>
      <c r="G19" s="638">
        <v>73.400000000000006</v>
      </c>
      <c r="H19" s="638">
        <v>56.2</v>
      </c>
      <c r="I19" s="638">
        <v>1.06</v>
      </c>
      <c r="J19" s="638">
        <v>0</v>
      </c>
      <c r="K19" s="638">
        <v>0.24</v>
      </c>
      <c r="L19" s="638">
        <v>0</v>
      </c>
      <c r="N19" s="638">
        <v>1999</v>
      </c>
      <c r="O19" s="638">
        <v>40</v>
      </c>
      <c r="P19" s="638">
        <v>90</v>
      </c>
      <c r="Q19" s="638">
        <v>57</v>
      </c>
      <c r="R19" s="638">
        <v>70</v>
      </c>
      <c r="S19" s="638">
        <v>49.5</v>
      </c>
      <c r="T19" s="638">
        <v>83.4</v>
      </c>
      <c r="U19" s="638">
        <v>66.5</v>
      </c>
      <c r="V19" s="638">
        <v>2.71</v>
      </c>
      <c r="W19" s="638">
        <v>0</v>
      </c>
      <c r="X19" s="638">
        <v>1.2</v>
      </c>
      <c r="Y19" s="638">
        <v>0</v>
      </c>
      <c r="AA19" s="638">
        <v>1999</v>
      </c>
      <c r="AB19" s="638">
        <v>42</v>
      </c>
      <c r="AC19" s="638">
        <v>85</v>
      </c>
      <c r="AD19" s="638">
        <v>54</v>
      </c>
      <c r="AE19" s="638">
        <v>65</v>
      </c>
      <c r="AF19" s="638">
        <v>47.4</v>
      </c>
      <c r="AG19" s="638">
        <v>78.099999999999994</v>
      </c>
      <c r="AH19" s="638">
        <v>62.7</v>
      </c>
      <c r="AI19" s="638">
        <v>4.38</v>
      </c>
      <c r="AJ19" s="638">
        <v>0</v>
      </c>
      <c r="AK19" s="638">
        <v>1.21</v>
      </c>
      <c r="AL19" s="638">
        <v>0</v>
      </c>
    </row>
    <row r="20" spans="1:38" x14ac:dyDescent="0.25">
      <c r="A20" s="638">
        <v>1997</v>
      </c>
      <c r="B20" s="638">
        <v>35</v>
      </c>
      <c r="C20" s="638">
        <v>88</v>
      </c>
      <c r="D20" s="638">
        <v>50</v>
      </c>
      <c r="E20" s="638">
        <v>58</v>
      </c>
      <c r="F20" s="638">
        <v>42.4</v>
      </c>
      <c r="G20" s="638">
        <v>76.2</v>
      </c>
      <c r="H20" s="638">
        <v>59.3</v>
      </c>
      <c r="I20" s="638">
        <v>4.9400000000000004</v>
      </c>
      <c r="J20" s="638">
        <v>0</v>
      </c>
      <c r="K20" s="638">
        <v>2.73</v>
      </c>
      <c r="L20" s="638">
        <v>0</v>
      </c>
      <c r="N20" s="638">
        <v>1998</v>
      </c>
      <c r="O20" s="638">
        <v>40</v>
      </c>
      <c r="P20" s="638">
        <v>95</v>
      </c>
      <c r="Q20" s="638">
        <v>56</v>
      </c>
      <c r="R20" s="638">
        <v>70</v>
      </c>
      <c r="S20" s="638">
        <v>49.5</v>
      </c>
      <c r="T20" s="638">
        <v>82.1</v>
      </c>
      <c r="U20" s="638">
        <v>65.8</v>
      </c>
      <c r="V20" s="638">
        <v>2.0699999999999998</v>
      </c>
      <c r="W20" s="638">
        <v>0</v>
      </c>
      <c r="X20" s="638">
        <v>0.45</v>
      </c>
      <c r="Y20" s="638">
        <v>0</v>
      </c>
      <c r="AA20" s="638">
        <v>1998</v>
      </c>
      <c r="AB20" s="638">
        <v>40</v>
      </c>
      <c r="AC20" s="638">
        <v>89</v>
      </c>
      <c r="AD20" s="638">
        <v>52</v>
      </c>
      <c r="AE20" s="638">
        <v>67</v>
      </c>
      <c r="AF20" s="638">
        <v>46.7</v>
      </c>
      <c r="AG20" s="638">
        <v>80.7</v>
      </c>
      <c r="AH20" s="638">
        <v>63.7</v>
      </c>
      <c r="AI20" s="638">
        <v>2.79</v>
      </c>
      <c r="AJ20" s="638">
        <v>0</v>
      </c>
      <c r="AK20" s="638">
        <v>0.85</v>
      </c>
      <c r="AL20" s="638">
        <v>0</v>
      </c>
    </row>
    <row r="21" spans="1:38" x14ac:dyDescent="0.25">
      <c r="A21" s="638">
        <v>1996</v>
      </c>
      <c r="B21" s="638">
        <v>34</v>
      </c>
      <c r="C21" s="638">
        <v>87</v>
      </c>
      <c r="D21" s="638">
        <v>52</v>
      </c>
      <c r="E21" s="638">
        <v>60</v>
      </c>
      <c r="F21" s="638">
        <v>42.2</v>
      </c>
      <c r="G21" s="638">
        <v>78.599999999999994</v>
      </c>
      <c r="H21" s="638">
        <v>60.4</v>
      </c>
      <c r="I21" s="638">
        <v>1.04</v>
      </c>
      <c r="J21" s="638">
        <v>0</v>
      </c>
      <c r="K21" s="638">
        <v>0.46</v>
      </c>
      <c r="L21" s="638">
        <v>0</v>
      </c>
      <c r="N21" s="638">
        <v>1997</v>
      </c>
      <c r="O21" s="638">
        <v>33</v>
      </c>
      <c r="P21" s="638">
        <v>92</v>
      </c>
      <c r="Q21" s="638">
        <v>55</v>
      </c>
      <c r="R21" s="638">
        <v>67</v>
      </c>
      <c r="S21" s="638">
        <v>44.4</v>
      </c>
      <c r="T21" s="638">
        <v>81.5</v>
      </c>
      <c r="U21" s="638">
        <v>62.9</v>
      </c>
      <c r="V21" s="638">
        <v>1.94</v>
      </c>
      <c r="W21" s="638">
        <v>0</v>
      </c>
      <c r="X21" s="638">
        <v>0.73</v>
      </c>
      <c r="Y21" s="638">
        <v>0</v>
      </c>
      <c r="AA21" s="638">
        <v>1997</v>
      </c>
      <c r="AB21" s="638">
        <v>37</v>
      </c>
      <c r="AC21" s="638">
        <v>87</v>
      </c>
      <c r="AD21" s="638">
        <v>56</v>
      </c>
      <c r="AE21" s="638">
        <v>59</v>
      </c>
      <c r="AF21" s="638">
        <v>46.8</v>
      </c>
      <c r="AG21" s="638">
        <v>77.7</v>
      </c>
      <c r="AH21" s="638">
        <v>62.3</v>
      </c>
      <c r="AI21" s="638">
        <v>3.06</v>
      </c>
      <c r="AJ21" s="638">
        <v>0</v>
      </c>
      <c r="AK21" s="638">
        <v>0.59</v>
      </c>
      <c r="AL21" s="638">
        <v>0</v>
      </c>
    </row>
    <row r="22" spans="1:38" x14ac:dyDescent="0.25">
      <c r="A22" s="638">
        <v>1995</v>
      </c>
      <c r="B22" s="638">
        <v>32</v>
      </c>
      <c r="C22" s="638">
        <v>89</v>
      </c>
      <c r="D22" s="638">
        <v>51</v>
      </c>
      <c r="E22" s="638">
        <v>46</v>
      </c>
      <c r="F22" s="638">
        <v>39.799999999999997</v>
      </c>
      <c r="G22" s="638">
        <v>71.3</v>
      </c>
      <c r="H22" s="638">
        <v>55.6</v>
      </c>
      <c r="I22" s="638">
        <v>4.5599999999999996</v>
      </c>
      <c r="J22" s="638">
        <v>0</v>
      </c>
      <c r="K22" s="638">
        <v>1.22</v>
      </c>
      <c r="L22" s="638">
        <v>0</v>
      </c>
      <c r="N22" s="638">
        <v>1996</v>
      </c>
      <c r="O22" s="638">
        <v>43</v>
      </c>
      <c r="P22" s="638">
        <v>91</v>
      </c>
      <c r="Q22" s="638">
        <v>55</v>
      </c>
      <c r="R22" s="638">
        <v>67</v>
      </c>
      <c r="S22" s="638">
        <v>48</v>
      </c>
      <c r="T22" s="638">
        <v>82</v>
      </c>
      <c r="U22" s="638">
        <v>65</v>
      </c>
      <c r="V22" s="638">
        <v>1.87</v>
      </c>
      <c r="W22" s="638">
        <v>0</v>
      </c>
      <c r="X22" s="638">
        <v>0.54</v>
      </c>
      <c r="Y22" s="638">
        <v>0</v>
      </c>
      <c r="AA22" s="638">
        <v>1996</v>
      </c>
      <c r="AB22" s="638">
        <v>38</v>
      </c>
      <c r="AC22" s="638">
        <v>93</v>
      </c>
      <c r="AD22" s="638">
        <v>51</v>
      </c>
      <c r="AE22" s="638">
        <v>71</v>
      </c>
      <c r="AF22" s="638">
        <v>43.9</v>
      </c>
      <c r="AG22" s="638">
        <v>81.7</v>
      </c>
      <c r="AH22" s="638">
        <v>62.8</v>
      </c>
      <c r="AI22" s="638">
        <v>1.02</v>
      </c>
      <c r="AJ22" s="638">
        <v>0</v>
      </c>
      <c r="AK22" s="638">
        <v>0.16</v>
      </c>
      <c r="AL22" s="638">
        <v>0</v>
      </c>
    </row>
    <row r="23" spans="1:38" x14ac:dyDescent="0.25">
      <c r="A23" s="638">
        <v>1994</v>
      </c>
      <c r="B23" s="638">
        <v>36</v>
      </c>
      <c r="C23" s="638">
        <v>96</v>
      </c>
      <c r="D23" s="638">
        <v>51</v>
      </c>
      <c r="E23" s="638">
        <v>65</v>
      </c>
      <c r="F23" s="638">
        <v>44.6</v>
      </c>
      <c r="G23" s="638">
        <v>80.400000000000006</v>
      </c>
      <c r="H23" s="638">
        <v>62.5</v>
      </c>
      <c r="I23" s="638">
        <v>1.42</v>
      </c>
      <c r="J23" s="638">
        <v>0</v>
      </c>
      <c r="K23" s="638">
        <v>0.62</v>
      </c>
      <c r="L23" s="638">
        <v>0</v>
      </c>
      <c r="N23" s="638">
        <v>1995</v>
      </c>
      <c r="O23" s="638">
        <v>36</v>
      </c>
      <c r="P23" s="638">
        <v>96</v>
      </c>
      <c r="Q23" s="638">
        <v>52</v>
      </c>
      <c r="R23" s="638">
        <v>54</v>
      </c>
      <c r="S23" s="638">
        <v>43.5</v>
      </c>
      <c r="T23" s="638">
        <v>81.2</v>
      </c>
      <c r="U23" s="638">
        <v>62.4</v>
      </c>
      <c r="V23" s="638">
        <v>0.61</v>
      </c>
      <c r="W23" s="638">
        <v>0</v>
      </c>
      <c r="X23" s="638">
        <v>0.17</v>
      </c>
      <c r="Y23" s="638">
        <v>0</v>
      </c>
      <c r="AA23" s="638">
        <v>1995</v>
      </c>
      <c r="AB23" s="638">
        <v>38</v>
      </c>
      <c r="AC23" s="638">
        <v>94</v>
      </c>
      <c r="AD23" s="638">
        <v>57</v>
      </c>
      <c r="AE23" s="638">
        <v>55</v>
      </c>
      <c r="AF23" s="638">
        <v>47.9</v>
      </c>
      <c r="AG23" s="638">
        <v>83.8</v>
      </c>
      <c r="AH23" s="638">
        <v>65.8</v>
      </c>
      <c r="AI23" s="638">
        <v>1.51</v>
      </c>
      <c r="AJ23" s="638">
        <v>0</v>
      </c>
      <c r="AK23" s="638">
        <v>0.4</v>
      </c>
      <c r="AL23" s="638">
        <v>0</v>
      </c>
    </row>
    <row r="24" spans="1:38" x14ac:dyDescent="0.25">
      <c r="A24" s="638">
        <v>1993</v>
      </c>
      <c r="B24" s="638">
        <v>34</v>
      </c>
      <c r="C24" s="638">
        <v>91</v>
      </c>
      <c r="D24" s="638">
        <v>50</v>
      </c>
      <c r="E24" s="638">
        <v>53</v>
      </c>
      <c r="F24" s="638">
        <v>41.3</v>
      </c>
      <c r="G24" s="638">
        <v>73.2</v>
      </c>
      <c r="H24" s="638">
        <v>57.3</v>
      </c>
      <c r="I24" s="638">
        <v>2.17</v>
      </c>
      <c r="J24" s="638">
        <v>0</v>
      </c>
      <c r="K24" s="638">
        <v>1.33</v>
      </c>
      <c r="L24" s="638">
        <v>0</v>
      </c>
      <c r="N24" s="638">
        <v>1994</v>
      </c>
      <c r="O24" s="638">
        <v>38</v>
      </c>
      <c r="P24" s="638">
        <v>88</v>
      </c>
      <c r="Q24" s="638">
        <v>55</v>
      </c>
      <c r="R24" s="638">
        <v>62</v>
      </c>
      <c r="S24" s="638">
        <v>47.1</v>
      </c>
      <c r="T24" s="638">
        <v>81</v>
      </c>
      <c r="U24" s="638">
        <v>64</v>
      </c>
      <c r="V24" s="638">
        <v>1.64</v>
      </c>
      <c r="W24" s="638">
        <v>0</v>
      </c>
      <c r="X24" s="638">
        <v>0.65</v>
      </c>
      <c r="Y24" s="638">
        <v>0</v>
      </c>
      <c r="AA24" s="638">
        <v>1994</v>
      </c>
      <c r="AB24" s="638">
        <v>42</v>
      </c>
      <c r="AC24" s="638">
        <v>90</v>
      </c>
      <c r="AD24" s="638">
        <v>54</v>
      </c>
      <c r="AE24" s="638">
        <v>72</v>
      </c>
      <c r="AF24" s="638">
        <v>47.3</v>
      </c>
      <c r="AG24" s="638">
        <v>81.7</v>
      </c>
      <c r="AH24" s="638">
        <v>64.5</v>
      </c>
      <c r="AI24" s="638">
        <v>2.25</v>
      </c>
      <c r="AJ24" s="638">
        <v>0</v>
      </c>
      <c r="AK24" s="638">
        <v>0.6</v>
      </c>
      <c r="AL24" s="638">
        <v>0</v>
      </c>
    </row>
    <row r="25" spans="1:38" x14ac:dyDescent="0.25">
      <c r="A25" s="638">
        <v>1992</v>
      </c>
      <c r="B25" s="638">
        <v>32</v>
      </c>
      <c r="C25" s="638">
        <v>81</v>
      </c>
      <c r="D25" s="638">
        <v>50</v>
      </c>
      <c r="E25" s="638">
        <v>56</v>
      </c>
      <c r="F25" s="638">
        <v>41.5</v>
      </c>
      <c r="G25" s="638">
        <v>70.8</v>
      </c>
      <c r="H25" s="638">
        <v>56.1</v>
      </c>
      <c r="I25" s="638">
        <v>2.1800000000000002</v>
      </c>
      <c r="J25" s="638">
        <v>0</v>
      </c>
      <c r="K25" s="638">
        <v>0.59</v>
      </c>
      <c r="L25" s="638">
        <v>0</v>
      </c>
      <c r="N25" s="638">
        <v>1993</v>
      </c>
      <c r="O25" s="638">
        <v>37</v>
      </c>
      <c r="P25" s="638">
        <v>90</v>
      </c>
      <c r="Q25" s="638">
        <v>55</v>
      </c>
      <c r="R25" s="638">
        <v>65</v>
      </c>
      <c r="S25" s="638">
        <v>45.3</v>
      </c>
      <c r="T25" s="638">
        <v>79.400000000000006</v>
      </c>
      <c r="U25" s="638">
        <v>62.3</v>
      </c>
      <c r="V25" s="638">
        <v>1.51</v>
      </c>
      <c r="W25" s="638">
        <v>0</v>
      </c>
      <c r="X25" s="638">
        <v>0.51</v>
      </c>
      <c r="Y25" s="638">
        <v>0</v>
      </c>
      <c r="AA25" s="638">
        <v>1993</v>
      </c>
      <c r="AB25" s="638">
        <v>39</v>
      </c>
      <c r="AC25" s="638">
        <v>89</v>
      </c>
      <c r="AD25" s="638">
        <v>52</v>
      </c>
      <c r="AE25" s="638">
        <v>52</v>
      </c>
      <c r="AF25" s="638">
        <v>45.4</v>
      </c>
      <c r="AG25" s="638">
        <v>75.7</v>
      </c>
      <c r="AH25" s="638">
        <v>60.6</v>
      </c>
      <c r="AI25" s="638">
        <v>1.32</v>
      </c>
      <c r="AJ25" s="638">
        <v>0</v>
      </c>
      <c r="AK25" s="638">
        <v>0.39</v>
      </c>
      <c r="AL25" s="638">
        <v>0</v>
      </c>
    </row>
    <row r="26" spans="1:38" x14ac:dyDescent="0.25">
      <c r="A26" s="638">
        <v>1991</v>
      </c>
      <c r="B26" s="638">
        <v>37</v>
      </c>
      <c r="C26" s="638">
        <v>92</v>
      </c>
      <c r="D26" s="638">
        <v>53</v>
      </c>
      <c r="E26" s="638">
        <v>58</v>
      </c>
      <c r="F26" s="638">
        <v>43.1</v>
      </c>
      <c r="G26" s="638">
        <v>76.099999999999994</v>
      </c>
      <c r="H26" s="638">
        <v>59.6</v>
      </c>
      <c r="I26" s="638">
        <v>3.45</v>
      </c>
      <c r="J26" s="638">
        <v>0</v>
      </c>
      <c r="K26" s="638">
        <v>1.79</v>
      </c>
      <c r="L26" s="638">
        <v>0</v>
      </c>
      <c r="N26" s="638">
        <v>1992</v>
      </c>
      <c r="O26" s="638">
        <v>40</v>
      </c>
      <c r="P26" s="638">
        <v>92</v>
      </c>
      <c r="Q26" s="638">
        <v>55</v>
      </c>
      <c r="R26" s="638">
        <v>58</v>
      </c>
      <c r="S26" s="638">
        <v>45.9</v>
      </c>
      <c r="T26" s="638">
        <v>77</v>
      </c>
      <c r="U26" s="638">
        <v>61.5</v>
      </c>
      <c r="V26" s="638">
        <v>2.35</v>
      </c>
      <c r="W26" s="638">
        <v>0</v>
      </c>
      <c r="X26" s="638">
        <v>0.66</v>
      </c>
      <c r="Y26" s="638">
        <v>0</v>
      </c>
      <c r="AA26" s="638">
        <v>1992</v>
      </c>
      <c r="AB26" s="638">
        <v>30</v>
      </c>
      <c r="AC26" s="638">
        <v>86</v>
      </c>
      <c r="AD26" s="638">
        <v>51</v>
      </c>
      <c r="AE26" s="638">
        <v>50</v>
      </c>
      <c r="AF26" s="638">
        <v>42.9</v>
      </c>
      <c r="AG26" s="638">
        <v>76.099999999999994</v>
      </c>
      <c r="AH26" s="638">
        <v>59.5</v>
      </c>
      <c r="AI26" s="638">
        <v>3.83</v>
      </c>
      <c r="AJ26" s="638">
        <v>0</v>
      </c>
      <c r="AK26" s="638">
        <v>1.56</v>
      </c>
      <c r="AL26" s="638">
        <v>0</v>
      </c>
    </row>
    <row r="27" spans="1:38" x14ac:dyDescent="0.25">
      <c r="A27" s="638">
        <v>1990</v>
      </c>
      <c r="B27" s="638">
        <v>34</v>
      </c>
      <c r="C27" s="638">
        <v>91</v>
      </c>
      <c r="D27" s="638">
        <v>51</v>
      </c>
      <c r="E27" s="638">
        <v>67</v>
      </c>
      <c r="F27" s="638">
        <v>41.9</v>
      </c>
      <c r="G27" s="638">
        <v>79.599999999999994</v>
      </c>
      <c r="H27" s="638">
        <v>60.7</v>
      </c>
      <c r="I27" s="638">
        <v>0.86</v>
      </c>
      <c r="J27" s="638">
        <v>0</v>
      </c>
      <c r="K27" s="638">
        <v>0.36</v>
      </c>
      <c r="L27" s="638">
        <v>0</v>
      </c>
      <c r="N27" s="638">
        <v>1991</v>
      </c>
      <c r="O27" s="638">
        <v>42</v>
      </c>
      <c r="P27" s="638">
        <v>90</v>
      </c>
      <c r="Q27" s="638">
        <v>52</v>
      </c>
      <c r="R27" s="638">
        <v>57</v>
      </c>
      <c r="S27" s="638">
        <v>46.4</v>
      </c>
      <c r="T27" s="638">
        <v>78.599999999999994</v>
      </c>
      <c r="U27" s="638">
        <v>62.5</v>
      </c>
      <c r="V27" s="638">
        <v>2.89</v>
      </c>
      <c r="W27" s="638">
        <v>0</v>
      </c>
      <c r="X27" s="638">
        <v>0.68</v>
      </c>
      <c r="Y27" s="638">
        <v>0</v>
      </c>
      <c r="AA27" s="638">
        <v>1991</v>
      </c>
      <c r="AB27" s="638">
        <v>42</v>
      </c>
      <c r="AC27" s="638">
        <v>89</v>
      </c>
      <c r="AD27" s="638">
        <v>52</v>
      </c>
      <c r="AE27" s="638">
        <v>63</v>
      </c>
      <c r="AF27" s="638">
        <v>45.5</v>
      </c>
      <c r="AG27" s="638">
        <v>78.099999999999994</v>
      </c>
      <c r="AH27" s="638">
        <v>61.8</v>
      </c>
      <c r="AI27" s="638">
        <v>2.68</v>
      </c>
      <c r="AJ27" s="638">
        <v>0</v>
      </c>
      <c r="AK27" s="638">
        <v>0.95</v>
      </c>
      <c r="AL27" s="638">
        <v>0</v>
      </c>
    </row>
    <row r="28" spans="1:38" x14ac:dyDescent="0.25">
      <c r="A28" s="638">
        <v>1989</v>
      </c>
      <c r="B28" s="638">
        <v>34</v>
      </c>
      <c r="C28" s="638">
        <v>89</v>
      </c>
      <c r="D28" s="638">
        <v>47</v>
      </c>
      <c r="E28" s="638">
        <v>49</v>
      </c>
      <c r="F28" s="638">
        <v>40.9</v>
      </c>
      <c r="G28" s="638">
        <v>71</v>
      </c>
      <c r="H28" s="638">
        <v>56</v>
      </c>
      <c r="I28" s="638">
        <v>3.93</v>
      </c>
      <c r="J28" s="638">
        <v>0</v>
      </c>
      <c r="K28" s="638">
        <v>1.1100000000000001</v>
      </c>
      <c r="L28" s="638">
        <v>0</v>
      </c>
      <c r="N28" s="638">
        <v>1990</v>
      </c>
      <c r="O28" s="638">
        <v>41</v>
      </c>
      <c r="P28" s="638">
        <v>92</v>
      </c>
      <c r="Q28" s="638">
        <v>57</v>
      </c>
      <c r="R28" s="638">
        <v>58</v>
      </c>
      <c r="S28" s="638">
        <v>47.1</v>
      </c>
      <c r="T28" s="638">
        <v>76.099999999999994</v>
      </c>
      <c r="U28" s="638">
        <v>61.6</v>
      </c>
      <c r="V28" s="638">
        <v>4.4000000000000004</v>
      </c>
      <c r="W28" s="638">
        <v>0</v>
      </c>
      <c r="X28" s="638">
        <v>1.74</v>
      </c>
      <c r="Y28" s="638">
        <v>0</v>
      </c>
      <c r="AA28" s="638">
        <v>1990</v>
      </c>
      <c r="AB28" s="638">
        <v>39</v>
      </c>
      <c r="AC28" s="638">
        <v>91</v>
      </c>
      <c r="AD28" s="638">
        <v>55</v>
      </c>
      <c r="AE28" s="638">
        <v>67</v>
      </c>
      <c r="AF28" s="638">
        <v>43.9</v>
      </c>
      <c r="AG28" s="638">
        <v>78</v>
      </c>
      <c r="AH28" s="638">
        <v>61</v>
      </c>
      <c r="AI28" s="638">
        <v>2.89</v>
      </c>
      <c r="AJ28" s="638">
        <v>0</v>
      </c>
      <c r="AK28" s="638">
        <v>0.57999999999999996</v>
      </c>
      <c r="AL28" s="638">
        <v>0</v>
      </c>
    </row>
    <row r="29" spans="1:38" x14ac:dyDescent="0.25">
      <c r="A29" s="638">
        <v>1988</v>
      </c>
      <c r="B29" s="638">
        <v>31</v>
      </c>
      <c r="C29" s="638">
        <v>89</v>
      </c>
      <c r="D29" s="638">
        <v>60</v>
      </c>
      <c r="E29" s="638">
        <v>66</v>
      </c>
      <c r="F29" s="638">
        <v>45.5</v>
      </c>
      <c r="G29" s="638">
        <v>77.5</v>
      </c>
      <c r="H29" s="638">
        <v>61.5</v>
      </c>
      <c r="I29" s="638">
        <v>2.5099999999999998</v>
      </c>
      <c r="J29" s="638">
        <v>0</v>
      </c>
      <c r="K29" s="638">
        <v>0.51</v>
      </c>
      <c r="L29" s="638">
        <v>0</v>
      </c>
      <c r="N29" s="638">
        <v>1989</v>
      </c>
      <c r="O29" s="638">
        <v>41</v>
      </c>
      <c r="P29" s="638">
        <v>93</v>
      </c>
      <c r="Q29" s="638">
        <v>56</v>
      </c>
      <c r="R29" s="638">
        <v>65</v>
      </c>
      <c r="S29" s="638">
        <v>46.8</v>
      </c>
      <c r="T29" s="638">
        <v>81.8</v>
      </c>
      <c r="U29" s="638">
        <v>64.3</v>
      </c>
      <c r="V29" s="638">
        <v>2.6</v>
      </c>
      <c r="W29" s="638">
        <v>0</v>
      </c>
      <c r="X29" s="638">
        <v>1.54</v>
      </c>
      <c r="Y29" s="638">
        <v>0</v>
      </c>
      <c r="AA29" s="638">
        <v>1989</v>
      </c>
      <c r="AB29" s="638">
        <v>37</v>
      </c>
      <c r="AC29" s="638">
        <v>85</v>
      </c>
      <c r="AD29" s="638">
        <v>55</v>
      </c>
      <c r="AE29" s="638">
        <v>67</v>
      </c>
      <c r="AF29" s="638">
        <v>44.4</v>
      </c>
      <c r="AG29" s="638">
        <v>77.7</v>
      </c>
      <c r="AH29" s="638">
        <v>61</v>
      </c>
      <c r="AI29" s="638">
        <v>1.91</v>
      </c>
      <c r="AJ29" s="638">
        <v>0</v>
      </c>
      <c r="AK29" s="638">
        <v>0.49</v>
      </c>
      <c r="AL29" s="638">
        <v>0</v>
      </c>
    </row>
    <row r="30" spans="1:38" x14ac:dyDescent="0.25">
      <c r="A30" s="638">
        <v>1987</v>
      </c>
      <c r="B30" s="638">
        <v>34</v>
      </c>
      <c r="C30" s="638">
        <v>85</v>
      </c>
      <c r="D30" s="638">
        <v>50</v>
      </c>
      <c r="E30" s="638">
        <v>55</v>
      </c>
      <c r="F30" s="638">
        <v>41.8</v>
      </c>
      <c r="G30" s="638">
        <v>76</v>
      </c>
      <c r="H30" s="638">
        <v>58.9</v>
      </c>
      <c r="I30" s="638">
        <v>2.83</v>
      </c>
      <c r="J30" s="638">
        <v>0</v>
      </c>
      <c r="K30" s="638">
        <v>1.26</v>
      </c>
      <c r="L30" s="638">
        <v>0</v>
      </c>
      <c r="N30" s="638">
        <v>1988</v>
      </c>
      <c r="O30" s="638">
        <v>39</v>
      </c>
      <c r="P30" s="638">
        <v>90</v>
      </c>
      <c r="Q30" s="638">
        <v>54</v>
      </c>
      <c r="R30" s="638">
        <v>68</v>
      </c>
      <c r="S30" s="638">
        <v>46.4</v>
      </c>
      <c r="T30" s="638">
        <v>81.2</v>
      </c>
      <c r="U30" s="638">
        <v>63.8</v>
      </c>
      <c r="V30" s="638">
        <v>2.44</v>
      </c>
      <c r="W30" s="638">
        <v>0</v>
      </c>
      <c r="X30" s="638">
        <v>0.78</v>
      </c>
      <c r="Y30" s="638">
        <v>0</v>
      </c>
      <c r="AA30" s="638">
        <v>1988</v>
      </c>
      <c r="AB30" s="638">
        <v>41</v>
      </c>
      <c r="AC30" s="638">
        <v>90</v>
      </c>
      <c r="AD30" s="638">
        <v>59</v>
      </c>
      <c r="AE30" s="638">
        <v>71</v>
      </c>
      <c r="AF30" s="638">
        <v>47.9</v>
      </c>
      <c r="AG30" s="638">
        <v>80.400000000000006</v>
      </c>
      <c r="AH30" s="638">
        <v>64.099999999999994</v>
      </c>
      <c r="AI30" s="638">
        <v>3.25</v>
      </c>
      <c r="AJ30" s="638">
        <v>0</v>
      </c>
      <c r="AK30" s="638">
        <v>1.3</v>
      </c>
      <c r="AL30" s="638">
        <v>0</v>
      </c>
    </row>
    <row r="31" spans="1:38" x14ac:dyDescent="0.25">
      <c r="A31" s="638">
        <v>1986</v>
      </c>
      <c r="B31" s="638">
        <v>31</v>
      </c>
      <c r="C31" s="638">
        <v>87</v>
      </c>
      <c r="D31" s="638">
        <v>56</v>
      </c>
      <c r="E31" s="638">
        <v>56</v>
      </c>
      <c r="F31" s="638">
        <v>43.8</v>
      </c>
      <c r="G31" s="638">
        <v>75.5</v>
      </c>
      <c r="H31" s="638">
        <v>59.7</v>
      </c>
      <c r="I31" s="638">
        <v>1.92</v>
      </c>
      <c r="J31" s="638">
        <v>0</v>
      </c>
      <c r="K31" s="638">
        <v>0.69</v>
      </c>
      <c r="L31" s="638">
        <v>0</v>
      </c>
      <c r="N31" s="638">
        <v>1987</v>
      </c>
      <c r="O31" s="638">
        <v>35</v>
      </c>
      <c r="P31" s="638">
        <v>89</v>
      </c>
      <c r="Q31" s="638">
        <v>52</v>
      </c>
      <c r="R31" s="638">
        <v>70</v>
      </c>
      <c r="S31" s="638">
        <v>46.1</v>
      </c>
      <c r="T31" s="638">
        <v>82.3</v>
      </c>
      <c r="U31" s="638">
        <v>64.2</v>
      </c>
      <c r="V31" s="638">
        <v>1.77</v>
      </c>
      <c r="W31" s="638">
        <v>0</v>
      </c>
      <c r="X31" s="638">
        <v>0.86</v>
      </c>
      <c r="Y31" s="638">
        <v>0</v>
      </c>
      <c r="AA31" s="638">
        <v>1987</v>
      </c>
      <c r="AB31" s="638">
        <v>36</v>
      </c>
      <c r="AC31" s="638">
        <v>89</v>
      </c>
      <c r="AD31" s="638">
        <v>56</v>
      </c>
      <c r="AE31" s="638">
        <v>54</v>
      </c>
      <c r="AF31" s="638">
        <v>46</v>
      </c>
      <c r="AG31" s="638">
        <v>76.5</v>
      </c>
      <c r="AH31" s="638">
        <v>61.2</v>
      </c>
      <c r="AI31" s="638">
        <v>3.01</v>
      </c>
      <c r="AJ31" s="638">
        <v>0</v>
      </c>
      <c r="AK31" s="638">
        <v>0.89</v>
      </c>
      <c r="AL31" s="638">
        <v>0</v>
      </c>
    </row>
    <row r="32" spans="1:38" x14ac:dyDescent="0.25">
      <c r="A32" s="638">
        <v>1985</v>
      </c>
      <c r="B32" s="638">
        <v>33</v>
      </c>
      <c r="C32" s="638">
        <v>90</v>
      </c>
      <c r="D32" s="638">
        <v>53</v>
      </c>
      <c r="E32" s="638">
        <v>58</v>
      </c>
      <c r="F32" s="638">
        <v>43.6</v>
      </c>
      <c r="G32" s="638">
        <v>77.599999999999994</v>
      </c>
      <c r="H32" s="638">
        <v>60.6</v>
      </c>
      <c r="I32" s="638">
        <v>1.82</v>
      </c>
      <c r="J32" s="638">
        <v>0</v>
      </c>
      <c r="K32" s="638">
        <v>1.32</v>
      </c>
      <c r="L32" s="638">
        <v>0</v>
      </c>
      <c r="N32" s="638">
        <v>1986</v>
      </c>
      <c r="O32" s="638">
        <v>38</v>
      </c>
      <c r="P32" s="638">
        <v>89</v>
      </c>
      <c r="Q32" s="638">
        <v>57</v>
      </c>
      <c r="R32" s="638">
        <v>67</v>
      </c>
      <c r="S32" s="638">
        <v>46.3</v>
      </c>
      <c r="T32" s="638">
        <v>79.7</v>
      </c>
      <c r="U32" s="638">
        <v>63</v>
      </c>
      <c r="V32" s="638">
        <v>2.61</v>
      </c>
      <c r="W32" s="638">
        <v>0</v>
      </c>
      <c r="X32" s="638">
        <v>0.8</v>
      </c>
      <c r="Y32" s="638">
        <v>0</v>
      </c>
      <c r="AA32" s="638">
        <v>1986</v>
      </c>
      <c r="AB32" s="638">
        <v>37</v>
      </c>
      <c r="AC32" s="638">
        <v>90</v>
      </c>
      <c r="AD32" s="638">
        <v>52</v>
      </c>
      <c r="AE32" s="638">
        <v>70</v>
      </c>
      <c r="AF32" s="638">
        <v>45.3</v>
      </c>
      <c r="AG32" s="638">
        <v>79.8</v>
      </c>
      <c r="AH32" s="638">
        <v>62.6</v>
      </c>
      <c r="AI32" s="638">
        <v>2.48</v>
      </c>
      <c r="AJ32" s="638">
        <v>0</v>
      </c>
      <c r="AK32" s="638">
        <v>0.92</v>
      </c>
      <c r="AL32" s="638">
        <v>0</v>
      </c>
    </row>
    <row r="33" spans="1:38" x14ac:dyDescent="0.25">
      <c r="A33" s="638">
        <v>1984</v>
      </c>
      <c r="B33" s="638" t="s">
        <v>832</v>
      </c>
      <c r="C33" s="638" t="s">
        <v>832</v>
      </c>
      <c r="D33" s="638" t="s">
        <v>832</v>
      </c>
      <c r="E33" s="638" t="s">
        <v>832</v>
      </c>
      <c r="F33" s="638" t="s">
        <v>832</v>
      </c>
      <c r="G33" s="638" t="s">
        <v>832</v>
      </c>
      <c r="H33" s="638" t="s">
        <v>832</v>
      </c>
      <c r="I33" s="638" t="s">
        <v>832</v>
      </c>
      <c r="J33" s="638" t="s">
        <v>832</v>
      </c>
      <c r="K33" s="638" t="s">
        <v>832</v>
      </c>
      <c r="L33" s="638" t="s">
        <v>832</v>
      </c>
      <c r="N33" s="638">
        <v>1985</v>
      </c>
      <c r="O33" s="638">
        <v>40</v>
      </c>
      <c r="P33" s="638">
        <v>89</v>
      </c>
      <c r="Q33" s="638">
        <v>58</v>
      </c>
      <c r="R33" s="638">
        <v>68</v>
      </c>
      <c r="S33" s="638">
        <v>48.6</v>
      </c>
      <c r="T33" s="638">
        <v>78.7</v>
      </c>
      <c r="U33" s="638">
        <v>63.7</v>
      </c>
      <c r="V33" s="638">
        <v>3.24</v>
      </c>
      <c r="W33" s="638">
        <v>0</v>
      </c>
      <c r="X33" s="638">
        <v>0.88</v>
      </c>
      <c r="Y33" s="638">
        <v>0</v>
      </c>
      <c r="AA33" s="638">
        <v>1985</v>
      </c>
      <c r="AB33" s="638">
        <v>38</v>
      </c>
      <c r="AC33" s="638">
        <v>90</v>
      </c>
      <c r="AD33" s="638">
        <v>51</v>
      </c>
      <c r="AE33" s="638">
        <v>73</v>
      </c>
      <c r="AF33" s="638">
        <v>43.9</v>
      </c>
      <c r="AG33" s="638">
        <v>81.900000000000006</v>
      </c>
      <c r="AH33" s="638">
        <v>62.9</v>
      </c>
      <c r="AI33" s="638">
        <v>1.56</v>
      </c>
      <c r="AJ33" s="638">
        <v>0</v>
      </c>
      <c r="AK33" s="638">
        <v>0.47</v>
      </c>
      <c r="AL33" s="638">
        <v>0</v>
      </c>
    </row>
    <row r="34" spans="1:38" x14ac:dyDescent="0.25">
      <c r="A34" s="638">
        <v>1983</v>
      </c>
      <c r="B34" s="638">
        <v>29</v>
      </c>
      <c r="C34" s="638">
        <v>85</v>
      </c>
      <c r="D34" s="638">
        <v>48</v>
      </c>
      <c r="E34" s="638">
        <v>53</v>
      </c>
      <c r="F34" s="638">
        <v>38.299999999999997</v>
      </c>
      <c r="G34" s="638">
        <v>70.900000000000006</v>
      </c>
      <c r="H34" s="638">
        <v>54.6</v>
      </c>
      <c r="I34" s="638">
        <v>3.1</v>
      </c>
      <c r="J34" s="638">
        <v>0</v>
      </c>
      <c r="K34" s="638">
        <v>0.57999999999999996</v>
      </c>
      <c r="L34" s="638">
        <v>0</v>
      </c>
      <c r="N34" s="638">
        <v>1984</v>
      </c>
      <c r="O34" s="638">
        <v>43</v>
      </c>
      <c r="P34" s="638">
        <v>89</v>
      </c>
      <c r="Q34" s="638">
        <v>58</v>
      </c>
      <c r="R34" s="638">
        <v>67</v>
      </c>
      <c r="S34" s="638">
        <v>49.4</v>
      </c>
      <c r="T34" s="638">
        <v>81.3</v>
      </c>
      <c r="U34" s="638">
        <v>65.400000000000006</v>
      </c>
      <c r="V34" s="638">
        <v>2.2999999999999998</v>
      </c>
      <c r="W34" s="638">
        <v>0</v>
      </c>
      <c r="X34" s="638">
        <v>0.76</v>
      </c>
      <c r="Y34" s="638">
        <v>0</v>
      </c>
      <c r="AA34" s="638">
        <v>1984</v>
      </c>
      <c r="AB34" s="638">
        <v>43</v>
      </c>
      <c r="AC34" s="638">
        <v>85</v>
      </c>
      <c r="AD34" s="638">
        <v>55</v>
      </c>
      <c r="AE34" s="638">
        <v>62</v>
      </c>
      <c r="AF34" s="638">
        <v>47.9</v>
      </c>
      <c r="AG34" s="638">
        <v>77.7</v>
      </c>
      <c r="AH34" s="638">
        <v>62.8</v>
      </c>
      <c r="AI34" s="638">
        <v>5.44</v>
      </c>
      <c r="AJ34" s="638">
        <v>0</v>
      </c>
      <c r="AK34" s="638">
        <v>1.97</v>
      </c>
      <c r="AL34" s="638">
        <v>0</v>
      </c>
    </row>
    <row r="35" spans="1:38" x14ac:dyDescent="0.25">
      <c r="A35" s="638">
        <v>1982</v>
      </c>
      <c r="B35" s="638">
        <v>32</v>
      </c>
      <c r="C35" s="638">
        <v>85</v>
      </c>
      <c r="D35" s="638">
        <v>49</v>
      </c>
      <c r="E35" s="638">
        <v>56</v>
      </c>
      <c r="F35" s="638">
        <v>38.9</v>
      </c>
      <c r="G35" s="638">
        <v>70</v>
      </c>
      <c r="H35" s="638">
        <v>54.5</v>
      </c>
      <c r="I35" s="638">
        <v>2.72</v>
      </c>
      <c r="J35" s="638">
        <v>0</v>
      </c>
      <c r="K35" s="638">
        <v>0.79</v>
      </c>
      <c r="L35" s="638">
        <v>0</v>
      </c>
      <c r="N35" s="638">
        <v>1983</v>
      </c>
      <c r="O35" s="638">
        <v>37</v>
      </c>
      <c r="P35" s="638">
        <v>89</v>
      </c>
      <c r="Q35" s="638">
        <v>52</v>
      </c>
      <c r="R35" s="638">
        <v>70</v>
      </c>
      <c r="S35" s="638">
        <v>46.7</v>
      </c>
      <c r="T35" s="638">
        <v>81</v>
      </c>
      <c r="U35" s="638">
        <v>63.8</v>
      </c>
      <c r="V35" s="638">
        <v>4.3899999999999997</v>
      </c>
      <c r="W35" s="638">
        <v>0</v>
      </c>
      <c r="X35" s="638">
        <v>2.1</v>
      </c>
      <c r="Y35" s="638">
        <v>0</v>
      </c>
      <c r="AA35" s="638">
        <v>1983</v>
      </c>
      <c r="AB35" s="638">
        <v>44</v>
      </c>
      <c r="AC35" s="638">
        <v>87</v>
      </c>
      <c r="AD35" s="638">
        <v>55</v>
      </c>
      <c r="AE35" s="638">
        <v>77</v>
      </c>
      <c r="AF35" s="638">
        <v>48.6</v>
      </c>
      <c r="AG35" s="638">
        <v>81.599999999999994</v>
      </c>
      <c r="AH35" s="638">
        <v>65.099999999999994</v>
      </c>
      <c r="AI35" s="638">
        <v>2</v>
      </c>
      <c r="AJ35" s="638">
        <v>0</v>
      </c>
      <c r="AK35" s="638">
        <v>0.35</v>
      </c>
      <c r="AL35" s="638">
        <v>0</v>
      </c>
    </row>
    <row r="36" spans="1:38" x14ac:dyDescent="0.25">
      <c r="A36" s="638">
        <v>1981</v>
      </c>
      <c r="B36" s="638">
        <v>31</v>
      </c>
      <c r="C36" s="638">
        <v>88</v>
      </c>
      <c r="D36" s="638">
        <v>50</v>
      </c>
      <c r="E36" s="638">
        <v>59</v>
      </c>
      <c r="F36" s="638">
        <v>43.3</v>
      </c>
      <c r="G36" s="638">
        <v>78.3</v>
      </c>
      <c r="H36" s="638">
        <v>60.8</v>
      </c>
      <c r="I36" s="638">
        <v>2.4900000000000002</v>
      </c>
      <c r="J36" s="638">
        <v>0</v>
      </c>
      <c r="K36" s="638">
        <v>1.48</v>
      </c>
      <c r="L36" s="638">
        <v>0</v>
      </c>
      <c r="N36" s="638">
        <v>1982</v>
      </c>
      <c r="O36" s="638">
        <v>34</v>
      </c>
      <c r="P36" s="638">
        <v>90</v>
      </c>
      <c r="Q36" s="638">
        <v>55</v>
      </c>
      <c r="R36" s="638">
        <v>60</v>
      </c>
      <c r="S36" s="638">
        <v>44</v>
      </c>
      <c r="T36" s="638">
        <v>79.3</v>
      </c>
      <c r="U36" s="638">
        <v>61.7</v>
      </c>
      <c r="V36" s="638">
        <v>2.12</v>
      </c>
      <c r="W36" s="638">
        <v>0</v>
      </c>
      <c r="X36" s="638">
        <v>0.66</v>
      </c>
      <c r="Y36" s="638">
        <v>0</v>
      </c>
      <c r="AA36" s="638">
        <v>1982</v>
      </c>
      <c r="AB36" s="638">
        <v>41</v>
      </c>
      <c r="AC36" s="638">
        <v>85</v>
      </c>
      <c r="AD36" s="638">
        <v>56</v>
      </c>
      <c r="AE36" s="638">
        <v>67</v>
      </c>
      <c r="AF36" s="638">
        <v>48.5</v>
      </c>
      <c r="AG36" s="638">
        <v>79.2</v>
      </c>
      <c r="AH36" s="638">
        <v>63.8</v>
      </c>
      <c r="AI36" s="638">
        <v>2.9</v>
      </c>
      <c r="AJ36" s="638">
        <v>0</v>
      </c>
      <c r="AK36" s="638">
        <v>0.83</v>
      </c>
      <c r="AL36" s="638">
        <v>0</v>
      </c>
    </row>
    <row r="37" spans="1:38" x14ac:dyDescent="0.25">
      <c r="A37" s="638">
        <v>1980</v>
      </c>
      <c r="B37" s="638">
        <v>34</v>
      </c>
      <c r="C37" s="638">
        <v>92</v>
      </c>
      <c r="D37" s="638">
        <v>49</v>
      </c>
      <c r="E37" s="638">
        <v>67</v>
      </c>
      <c r="F37" s="638">
        <v>40.6</v>
      </c>
      <c r="G37" s="638">
        <v>80.599999999999994</v>
      </c>
      <c r="H37" s="638">
        <v>60.6</v>
      </c>
      <c r="I37" s="638">
        <v>0.24</v>
      </c>
      <c r="J37" s="638">
        <v>0</v>
      </c>
      <c r="K37" s="638">
        <v>0.11</v>
      </c>
      <c r="L37" s="638">
        <v>0</v>
      </c>
      <c r="N37" s="638">
        <v>1981</v>
      </c>
      <c r="O37" s="638">
        <v>42</v>
      </c>
      <c r="P37" s="638">
        <v>90</v>
      </c>
      <c r="Q37" s="638">
        <v>57</v>
      </c>
      <c r="R37" s="638">
        <v>62</v>
      </c>
      <c r="S37" s="638">
        <v>49</v>
      </c>
      <c r="T37" s="638">
        <v>79.7</v>
      </c>
      <c r="U37" s="638">
        <v>64.400000000000006</v>
      </c>
      <c r="V37" s="638">
        <v>3.21</v>
      </c>
      <c r="W37" s="638">
        <v>0</v>
      </c>
      <c r="X37" s="638">
        <v>0.81</v>
      </c>
      <c r="Y37" s="638">
        <v>0</v>
      </c>
      <c r="AA37" s="638">
        <v>1981</v>
      </c>
      <c r="AB37" s="638">
        <v>41</v>
      </c>
      <c r="AC37" s="638">
        <v>86</v>
      </c>
      <c r="AD37" s="638">
        <v>58</v>
      </c>
      <c r="AE37" s="638">
        <v>55</v>
      </c>
      <c r="AF37" s="638">
        <v>46.7</v>
      </c>
      <c r="AG37" s="638">
        <v>75.599999999999994</v>
      </c>
      <c r="AH37" s="638">
        <v>61.2</v>
      </c>
      <c r="AI37" s="638">
        <v>2.31</v>
      </c>
      <c r="AJ37" s="638">
        <v>0</v>
      </c>
      <c r="AK37" s="638">
        <v>0.5</v>
      </c>
      <c r="AL37" s="638">
        <v>0</v>
      </c>
    </row>
    <row r="38" spans="1:38" x14ac:dyDescent="0.25">
      <c r="A38" s="638">
        <v>1979</v>
      </c>
      <c r="B38" s="638">
        <v>29</v>
      </c>
      <c r="C38" s="638">
        <v>88</v>
      </c>
      <c r="D38" s="638">
        <v>49</v>
      </c>
      <c r="E38" s="638">
        <v>42</v>
      </c>
      <c r="F38" s="638">
        <v>39.6</v>
      </c>
      <c r="G38" s="638">
        <v>71.7</v>
      </c>
      <c r="H38" s="638">
        <v>55.7</v>
      </c>
      <c r="I38" s="638">
        <v>3.45</v>
      </c>
      <c r="J38" s="638">
        <v>0</v>
      </c>
      <c r="K38" s="638">
        <v>2.31</v>
      </c>
      <c r="L38" s="638">
        <v>0</v>
      </c>
      <c r="N38" s="638">
        <v>1980</v>
      </c>
      <c r="O38" s="638">
        <v>41</v>
      </c>
      <c r="P38" s="638">
        <v>93</v>
      </c>
      <c r="Q38" s="638">
        <v>57</v>
      </c>
      <c r="R38" s="638">
        <v>74</v>
      </c>
      <c r="S38" s="638">
        <v>48.3</v>
      </c>
      <c r="T38" s="638">
        <v>82.6</v>
      </c>
      <c r="U38" s="638">
        <v>65.400000000000006</v>
      </c>
      <c r="V38" s="638">
        <v>2.2400000000000002</v>
      </c>
      <c r="W38" s="638">
        <v>0</v>
      </c>
      <c r="X38" s="638">
        <v>0.54</v>
      </c>
      <c r="Y38" s="638">
        <v>0</v>
      </c>
      <c r="AA38" s="638">
        <v>1980</v>
      </c>
      <c r="AB38" s="638">
        <v>35</v>
      </c>
      <c r="AC38" s="638">
        <v>90</v>
      </c>
      <c r="AD38" s="638">
        <v>55</v>
      </c>
      <c r="AE38" s="638">
        <v>60</v>
      </c>
      <c r="AF38" s="638">
        <v>45.3</v>
      </c>
      <c r="AG38" s="638">
        <v>79.7</v>
      </c>
      <c r="AH38" s="638">
        <v>62.5</v>
      </c>
      <c r="AI38" s="638">
        <v>1.89</v>
      </c>
      <c r="AJ38" s="638">
        <v>0</v>
      </c>
      <c r="AK38" s="638">
        <v>0.8</v>
      </c>
      <c r="AL38" s="638">
        <v>0</v>
      </c>
    </row>
    <row r="39" spans="1:38" x14ac:dyDescent="0.25">
      <c r="A39" s="638">
        <v>1978</v>
      </c>
      <c r="B39" s="638">
        <v>33</v>
      </c>
      <c r="C39" s="638">
        <v>87</v>
      </c>
      <c r="D39" s="638">
        <v>53</v>
      </c>
      <c r="E39" s="638">
        <v>42</v>
      </c>
      <c r="F39" s="638">
        <v>42.2</v>
      </c>
      <c r="G39" s="638">
        <v>73.5</v>
      </c>
      <c r="H39" s="638">
        <v>57.9</v>
      </c>
      <c r="I39" s="638">
        <v>1.42</v>
      </c>
      <c r="J39" s="638">
        <v>0</v>
      </c>
      <c r="K39" s="638">
        <v>0.36</v>
      </c>
      <c r="L39" s="638">
        <v>0</v>
      </c>
      <c r="N39" s="638">
        <v>1979</v>
      </c>
      <c r="O39" s="638">
        <v>39</v>
      </c>
      <c r="P39" s="638">
        <v>88</v>
      </c>
      <c r="Q39" s="638">
        <v>59</v>
      </c>
      <c r="R39" s="638">
        <v>69</v>
      </c>
      <c r="S39" s="638">
        <v>45.5</v>
      </c>
      <c r="T39" s="638">
        <v>81.5</v>
      </c>
      <c r="U39" s="638">
        <v>63.5</v>
      </c>
      <c r="V39" s="638">
        <v>1.04</v>
      </c>
      <c r="W39" s="638">
        <v>0</v>
      </c>
      <c r="X39" s="638">
        <v>0.25</v>
      </c>
      <c r="Y39" s="638">
        <v>0</v>
      </c>
      <c r="AA39" s="638">
        <v>1979</v>
      </c>
      <c r="AB39" s="638" t="s">
        <v>832</v>
      </c>
      <c r="AC39" s="638" t="s">
        <v>832</v>
      </c>
      <c r="AD39" s="638" t="s">
        <v>832</v>
      </c>
      <c r="AE39" s="638" t="s">
        <v>832</v>
      </c>
      <c r="AF39" s="638" t="s">
        <v>832</v>
      </c>
      <c r="AG39" s="638" t="s">
        <v>832</v>
      </c>
      <c r="AH39" s="638" t="s">
        <v>832</v>
      </c>
      <c r="AI39" s="638" t="s">
        <v>832</v>
      </c>
      <c r="AJ39" s="638" t="s">
        <v>832</v>
      </c>
      <c r="AK39" s="638" t="s">
        <v>832</v>
      </c>
      <c r="AL39" s="638" t="s">
        <v>832</v>
      </c>
    </row>
    <row r="40" spans="1:38" x14ac:dyDescent="0.25">
      <c r="A40" s="638">
        <v>1977</v>
      </c>
      <c r="B40" s="638">
        <v>38</v>
      </c>
      <c r="C40" s="638">
        <v>87</v>
      </c>
      <c r="D40" s="638">
        <v>55</v>
      </c>
      <c r="E40" s="638">
        <v>69</v>
      </c>
      <c r="F40" s="638">
        <v>45.2</v>
      </c>
      <c r="G40" s="638">
        <v>78.7</v>
      </c>
      <c r="H40" s="638">
        <v>62</v>
      </c>
      <c r="I40" s="638">
        <v>1.22</v>
      </c>
      <c r="J40" s="638">
        <v>0</v>
      </c>
      <c r="K40" s="638">
        <v>0.6</v>
      </c>
      <c r="L40" s="638">
        <v>0</v>
      </c>
      <c r="N40" s="638">
        <v>1978</v>
      </c>
      <c r="O40" s="638">
        <v>41</v>
      </c>
      <c r="P40" s="638">
        <v>91</v>
      </c>
      <c r="Q40" s="638">
        <v>53</v>
      </c>
      <c r="R40" s="638">
        <v>66</v>
      </c>
      <c r="S40" s="638">
        <v>46.4</v>
      </c>
      <c r="T40" s="638">
        <v>82.3</v>
      </c>
      <c r="U40" s="638">
        <v>64.3</v>
      </c>
      <c r="V40" s="638">
        <v>0.31</v>
      </c>
      <c r="W40" s="638">
        <v>0</v>
      </c>
      <c r="X40" s="638">
        <v>0.1</v>
      </c>
      <c r="Y40" s="638">
        <v>0</v>
      </c>
      <c r="AA40" s="638">
        <v>1978</v>
      </c>
      <c r="AB40" s="638">
        <v>33</v>
      </c>
      <c r="AC40" s="638">
        <v>86</v>
      </c>
      <c r="AD40" s="638">
        <v>52</v>
      </c>
      <c r="AE40" s="638">
        <v>52</v>
      </c>
      <c r="AF40" s="638">
        <v>43.7</v>
      </c>
      <c r="AG40" s="638">
        <v>77.3</v>
      </c>
      <c r="AH40" s="638">
        <v>60.5</v>
      </c>
      <c r="AI40" s="638">
        <v>0.38</v>
      </c>
      <c r="AJ40" s="638">
        <v>0</v>
      </c>
      <c r="AK40" s="638">
        <v>7.0000000000000007E-2</v>
      </c>
      <c r="AL40" s="638">
        <v>0</v>
      </c>
    </row>
    <row r="41" spans="1:38" x14ac:dyDescent="0.25">
      <c r="A41" s="638">
        <v>1976</v>
      </c>
      <c r="B41" s="638">
        <v>32</v>
      </c>
      <c r="C41" s="638">
        <v>88</v>
      </c>
      <c r="D41" s="638">
        <v>55</v>
      </c>
      <c r="E41" s="638">
        <v>49</v>
      </c>
      <c r="F41" s="638">
        <v>39.700000000000003</v>
      </c>
      <c r="G41" s="638">
        <v>74.7</v>
      </c>
      <c r="H41" s="638">
        <v>57.2</v>
      </c>
      <c r="I41" s="638">
        <v>1.26</v>
      </c>
      <c r="J41" s="638">
        <v>0</v>
      </c>
      <c r="K41" s="638">
        <v>0.79</v>
      </c>
      <c r="L41" s="638">
        <v>0</v>
      </c>
      <c r="N41" s="638">
        <v>1977</v>
      </c>
      <c r="O41" s="638">
        <v>39</v>
      </c>
      <c r="P41" s="638">
        <v>90</v>
      </c>
      <c r="Q41" s="638">
        <v>56</v>
      </c>
      <c r="R41" s="638">
        <v>59</v>
      </c>
      <c r="S41" s="638">
        <v>47.9</v>
      </c>
      <c r="T41" s="638">
        <v>81</v>
      </c>
      <c r="U41" s="638">
        <v>64.400000000000006</v>
      </c>
      <c r="V41" s="638">
        <v>2.92</v>
      </c>
      <c r="W41" s="638">
        <v>0</v>
      </c>
      <c r="X41" s="638">
        <v>0.9</v>
      </c>
      <c r="Y41" s="638">
        <v>0</v>
      </c>
      <c r="AA41" s="638">
        <v>1977</v>
      </c>
      <c r="AB41" s="638">
        <v>38</v>
      </c>
      <c r="AC41" s="638">
        <v>89</v>
      </c>
      <c r="AD41" s="638">
        <v>55</v>
      </c>
      <c r="AE41" s="638">
        <v>61</v>
      </c>
      <c r="AF41" s="638">
        <v>46.3</v>
      </c>
      <c r="AG41" s="638">
        <v>76.5</v>
      </c>
      <c r="AH41" s="638">
        <v>61.4</v>
      </c>
      <c r="AI41" s="638">
        <v>2.6</v>
      </c>
      <c r="AJ41" s="638">
        <v>0</v>
      </c>
      <c r="AK41" s="638">
        <v>0.65</v>
      </c>
      <c r="AL41" s="638">
        <v>0</v>
      </c>
    </row>
    <row r="42" spans="1:38" x14ac:dyDescent="0.25">
      <c r="A42" s="638">
        <v>1975</v>
      </c>
      <c r="B42" s="638">
        <v>27</v>
      </c>
      <c r="C42" s="638">
        <v>86</v>
      </c>
      <c r="D42" s="638">
        <v>48</v>
      </c>
      <c r="E42" s="638">
        <v>45</v>
      </c>
      <c r="F42" s="638">
        <v>39</v>
      </c>
      <c r="G42" s="638">
        <v>72.8</v>
      </c>
      <c r="H42" s="638">
        <v>55.9</v>
      </c>
      <c r="I42" s="638">
        <v>1.68</v>
      </c>
      <c r="J42" s="638">
        <v>5</v>
      </c>
      <c r="K42" s="638">
        <v>1.43</v>
      </c>
      <c r="L42" s="638">
        <v>5</v>
      </c>
      <c r="N42" s="638">
        <v>1976</v>
      </c>
      <c r="O42" s="638">
        <v>41</v>
      </c>
      <c r="P42" s="638">
        <v>91</v>
      </c>
      <c r="Q42" s="638">
        <v>57</v>
      </c>
      <c r="R42" s="638">
        <v>64</v>
      </c>
      <c r="S42" s="638">
        <v>46.9</v>
      </c>
      <c r="T42" s="638">
        <v>81.099999999999994</v>
      </c>
      <c r="U42" s="638">
        <v>64</v>
      </c>
      <c r="V42" s="638">
        <v>2.81</v>
      </c>
      <c r="W42" s="638">
        <v>0</v>
      </c>
      <c r="X42" s="638">
        <v>0.6</v>
      </c>
      <c r="Y42" s="638">
        <v>0</v>
      </c>
      <c r="AA42" s="638">
        <v>1976</v>
      </c>
      <c r="AB42" s="638">
        <v>37</v>
      </c>
      <c r="AC42" s="638">
        <v>86</v>
      </c>
      <c r="AD42" s="638">
        <v>58</v>
      </c>
      <c r="AE42" s="638">
        <v>59</v>
      </c>
      <c r="AF42" s="638">
        <v>43</v>
      </c>
      <c r="AG42" s="638">
        <v>77.900000000000006</v>
      </c>
      <c r="AH42" s="638">
        <v>60.4</v>
      </c>
      <c r="AI42" s="638">
        <v>1.04</v>
      </c>
      <c r="AJ42" s="638">
        <v>0</v>
      </c>
      <c r="AK42" s="638">
        <v>0.5</v>
      </c>
      <c r="AL42" s="638">
        <v>0</v>
      </c>
    </row>
    <row r="43" spans="1:38" x14ac:dyDescent="0.25">
      <c r="A43" s="638">
        <v>1974</v>
      </c>
      <c r="B43" s="638">
        <v>29</v>
      </c>
      <c r="C43" s="638">
        <v>91</v>
      </c>
      <c r="D43" s="638">
        <v>52</v>
      </c>
      <c r="E43" s="638">
        <v>48</v>
      </c>
      <c r="F43" s="638">
        <v>41.6</v>
      </c>
      <c r="G43" s="638">
        <v>78.400000000000006</v>
      </c>
      <c r="H43" s="638">
        <v>60</v>
      </c>
      <c r="I43" s="638">
        <v>1.85</v>
      </c>
      <c r="J43" s="638">
        <v>0</v>
      </c>
      <c r="K43" s="638">
        <v>1.62</v>
      </c>
      <c r="L43" s="638">
        <v>0</v>
      </c>
      <c r="N43" s="638">
        <v>1975</v>
      </c>
      <c r="O43" s="638">
        <v>42</v>
      </c>
      <c r="P43" s="638">
        <v>88</v>
      </c>
      <c r="Q43" s="638">
        <v>56</v>
      </c>
      <c r="R43" s="638">
        <v>72</v>
      </c>
      <c r="S43" s="638">
        <v>46.8</v>
      </c>
      <c r="T43" s="638">
        <v>80.400000000000006</v>
      </c>
      <c r="U43" s="638">
        <v>63.6</v>
      </c>
      <c r="V43" s="638">
        <v>3.31</v>
      </c>
      <c r="W43" s="638">
        <v>0</v>
      </c>
      <c r="X43" s="638">
        <v>0.92</v>
      </c>
      <c r="Y43" s="638">
        <v>0</v>
      </c>
      <c r="AA43" s="638">
        <v>1975</v>
      </c>
      <c r="AB43" s="638">
        <v>35</v>
      </c>
      <c r="AC43" s="638">
        <v>89</v>
      </c>
      <c r="AD43" s="638">
        <v>56</v>
      </c>
      <c r="AE43" s="638">
        <v>65</v>
      </c>
      <c r="AF43" s="638">
        <v>42.7</v>
      </c>
      <c r="AG43" s="638">
        <v>80</v>
      </c>
      <c r="AH43" s="638">
        <v>61.4</v>
      </c>
      <c r="AI43" s="638">
        <v>1.26</v>
      </c>
      <c r="AJ43" s="638">
        <v>0</v>
      </c>
      <c r="AK43" s="638">
        <v>0.55000000000000004</v>
      </c>
      <c r="AL43" s="638">
        <v>0</v>
      </c>
    </row>
    <row r="44" spans="1:38" x14ac:dyDescent="0.25">
      <c r="A44" s="638">
        <v>1973</v>
      </c>
      <c r="B44" s="638">
        <v>28</v>
      </c>
      <c r="C44" s="638">
        <v>89</v>
      </c>
      <c r="D44" s="638">
        <v>47</v>
      </c>
      <c r="E44" s="638">
        <v>51</v>
      </c>
      <c r="F44" s="638">
        <v>39.299999999999997</v>
      </c>
      <c r="G44" s="638">
        <v>76</v>
      </c>
      <c r="H44" s="638">
        <v>57.6</v>
      </c>
      <c r="I44" s="638">
        <v>0.68</v>
      </c>
      <c r="J44" s="638">
        <v>0</v>
      </c>
      <c r="K44" s="638">
        <v>0.47</v>
      </c>
      <c r="L44" s="638">
        <v>0</v>
      </c>
      <c r="N44" s="638">
        <v>1974</v>
      </c>
      <c r="O44" s="638">
        <v>38</v>
      </c>
      <c r="P44" s="638">
        <v>89</v>
      </c>
      <c r="Q44" s="638">
        <v>57</v>
      </c>
      <c r="R44" s="638">
        <v>71</v>
      </c>
      <c r="S44" s="638">
        <v>45.1</v>
      </c>
      <c r="T44" s="638">
        <v>82.4</v>
      </c>
      <c r="U44" s="638">
        <v>63.7</v>
      </c>
      <c r="V44" s="638">
        <v>2.1800000000000002</v>
      </c>
      <c r="W44" s="638">
        <v>0</v>
      </c>
      <c r="X44" s="638">
        <v>0.4</v>
      </c>
      <c r="Y44" s="638">
        <v>0</v>
      </c>
      <c r="AA44" s="638">
        <v>1974</v>
      </c>
      <c r="AB44" s="638">
        <v>34</v>
      </c>
      <c r="AC44" s="638">
        <v>86</v>
      </c>
      <c r="AD44" s="638">
        <v>49</v>
      </c>
      <c r="AE44" s="638">
        <v>68</v>
      </c>
      <c r="AF44" s="638">
        <v>40</v>
      </c>
      <c r="AG44" s="638">
        <v>78.3</v>
      </c>
      <c r="AH44" s="638">
        <v>59.1</v>
      </c>
      <c r="AI44" s="638">
        <v>0.51</v>
      </c>
      <c r="AJ44" s="638">
        <v>0</v>
      </c>
      <c r="AK44" s="638">
        <v>0.18</v>
      </c>
      <c r="AL44" s="638">
        <v>0</v>
      </c>
    </row>
    <row r="45" spans="1:38" x14ac:dyDescent="0.25">
      <c r="A45" s="638">
        <v>1972</v>
      </c>
      <c r="B45" s="638">
        <v>31</v>
      </c>
      <c r="C45" s="638">
        <v>84</v>
      </c>
      <c r="D45" s="638">
        <v>48</v>
      </c>
      <c r="E45" s="638">
        <v>71</v>
      </c>
      <c r="F45" s="638">
        <v>39.200000000000003</v>
      </c>
      <c r="G45" s="638">
        <v>78.5</v>
      </c>
      <c r="H45" s="638">
        <v>58.9</v>
      </c>
      <c r="I45" s="638">
        <v>1.91</v>
      </c>
      <c r="J45" s="638">
        <v>0</v>
      </c>
      <c r="K45" s="638">
        <v>0.55000000000000004</v>
      </c>
      <c r="L45" s="638">
        <v>0</v>
      </c>
      <c r="N45" s="638">
        <v>1973</v>
      </c>
      <c r="O45" s="638">
        <v>39</v>
      </c>
      <c r="P45" s="638">
        <v>95</v>
      </c>
      <c r="Q45" s="638">
        <v>54</v>
      </c>
      <c r="R45" s="638">
        <v>56</v>
      </c>
      <c r="S45" s="638">
        <v>44.2</v>
      </c>
      <c r="T45" s="638">
        <v>78</v>
      </c>
      <c r="U45" s="638">
        <v>61.1</v>
      </c>
      <c r="V45" s="638">
        <v>3.08</v>
      </c>
      <c r="W45" s="638">
        <v>0</v>
      </c>
      <c r="X45" s="638">
        <v>1.1599999999999999</v>
      </c>
      <c r="Y45" s="638">
        <v>0</v>
      </c>
      <c r="AA45" s="638">
        <v>1973</v>
      </c>
      <c r="AB45" s="638">
        <v>38</v>
      </c>
      <c r="AC45" s="638">
        <v>90</v>
      </c>
      <c r="AD45" s="638">
        <v>51</v>
      </c>
      <c r="AE45" s="638">
        <v>74</v>
      </c>
      <c r="AF45" s="638">
        <v>44</v>
      </c>
      <c r="AG45" s="638">
        <v>82</v>
      </c>
      <c r="AH45" s="638">
        <v>63</v>
      </c>
      <c r="AI45" s="638">
        <v>0.72</v>
      </c>
      <c r="AJ45" s="638">
        <v>0</v>
      </c>
      <c r="AK45" s="638">
        <v>0.2</v>
      </c>
      <c r="AL45" s="638">
        <v>0</v>
      </c>
    </row>
    <row r="46" spans="1:38" x14ac:dyDescent="0.25">
      <c r="A46" s="638">
        <v>1971</v>
      </c>
      <c r="B46" s="638">
        <v>28</v>
      </c>
      <c r="C46" s="638">
        <v>91</v>
      </c>
      <c r="D46" s="638">
        <v>45</v>
      </c>
      <c r="E46" s="638">
        <v>69</v>
      </c>
      <c r="F46" s="638">
        <v>38.299999999999997</v>
      </c>
      <c r="G46" s="638">
        <v>78.8</v>
      </c>
      <c r="H46" s="638">
        <v>58.5</v>
      </c>
      <c r="I46" s="638">
        <v>0.23</v>
      </c>
      <c r="J46" s="638">
        <v>0</v>
      </c>
      <c r="K46" s="638">
        <v>0.15</v>
      </c>
      <c r="L46" s="638">
        <v>0</v>
      </c>
      <c r="N46" s="638">
        <v>1972</v>
      </c>
      <c r="O46" s="638">
        <v>34</v>
      </c>
      <c r="P46" s="638">
        <v>94</v>
      </c>
      <c r="Q46" s="638">
        <v>49</v>
      </c>
      <c r="R46" s="638">
        <v>53</v>
      </c>
      <c r="S46" s="638">
        <v>41.6</v>
      </c>
      <c r="T46" s="638">
        <v>82.5</v>
      </c>
      <c r="U46" s="638">
        <v>62</v>
      </c>
      <c r="V46" s="638">
        <v>0.86</v>
      </c>
      <c r="W46" s="638">
        <v>0</v>
      </c>
      <c r="X46" s="638">
        <v>0.2</v>
      </c>
      <c r="Y46" s="638">
        <v>0</v>
      </c>
      <c r="AA46" s="638">
        <v>1972</v>
      </c>
      <c r="AB46" s="638">
        <v>34</v>
      </c>
      <c r="AC46" s="638">
        <v>90</v>
      </c>
      <c r="AD46" s="638">
        <v>51</v>
      </c>
      <c r="AE46" s="638">
        <v>65</v>
      </c>
      <c r="AF46" s="638">
        <v>43.7</v>
      </c>
      <c r="AG46" s="638">
        <v>80.3</v>
      </c>
      <c r="AH46" s="638">
        <v>62</v>
      </c>
      <c r="AI46" s="638">
        <v>4.37</v>
      </c>
      <c r="AJ46" s="638">
        <v>0</v>
      </c>
      <c r="AK46" s="638">
        <v>0.9</v>
      </c>
      <c r="AL46" s="638">
        <v>0</v>
      </c>
    </row>
    <row r="47" spans="1:38" x14ac:dyDescent="0.25">
      <c r="A47" s="638">
        <v>1970</v>
      </c>
      <c r="B47" s="638">
        <v>29</v>
      </c>
      <c r="C47" s="638">
        <v>93</v>
      </c>
      <c r="D47" s="638">
        <v>50</v>
      </c>
      <c r="E47" s="638">
        <v>53</v>
      </c>
      <c r="F47" s="638">
        <v>38.700000000000003</v>
      </c>
      <c r="G47" s="638">
        <v>74.7</v>
      </c>
      <c r="H47" s="638">
        <v>56.7</v>
      </c>
      <c r="I47" s="638">
        <v>2.62</v>
      </c>
      <c r="J47" s="638">
        <v>0</v>
      </c>
      <c r="K47" s="638">
        <v>2</v>
      </c>
      <c r="L47" s="638">
        <v>0</v>
      </c>
      <c r="N47" s="638">
        <v>1971</v>
      </c>
      <c r="O47" s="638">
        <v>36</v>
      </c>
      <c r="P47" s="638">
        <v>93</v>
      </c>
      <c r="Q47" s="638">
        <v>53</v>
      </c>
      <c r="R47" s="638">
        <v>60</v>
      </c>
      <c r="S47" s="638">
        <v>43.8</v>
      </c>
      <c r="T47" s="638">
        <v>79.5</v>
      </c>
      <c r="U47" s="638">
        <v>61.7</v>
      </c>
      <c r="V47" s="638">
        <v>1.65</v>
      </c>
      <c r="W47" s="638">
        <v>0</v>
      </c>
      <c r="X47" s="638">
        <v>0.6</v>
      </c>
      <c r="Y47" s="638">
        <v>0</v>
      </c>
      <c r="AA47" s="638">
        <v>1971</v>
      </c>
      <c r="AB47" s="638">
        <v>34</v>
      </c>
      <c r="AC47" s="638">
        <v>86</v>
      </c>
      <c r="AD47" s="638">
        <v>52</v>
      </c>
      <c r="AE47" s="638">
        <v>77</v>
      </c>
      <c r="AF47" s="638">
        <v>43.4</v>
      </c>
      <c r="AG47" s="638">
        <v>81.2</v>
      </c>
      <c r="AH47" s="638">
        <v>62.3</v>
      </c>
      <c r="AI47" s="638">
        <v>0.54</v>
      </c>
      <c r="AJ47" s="638">
        <v>0</v>
      </c>
      <c r="AK47" s="638">
        <v>0.17</v>
      </c>
      <c r="AL47" s="638">
        <v>0</v>
      </c>
    </row>
    <row r="48" spans="1:38" x14ac:dyDescent="0.25">
      <c r="A48" s="638">
        <v>1969</v>
      </c>
      <c r="B48" s="638">
        <v>30</v>
      </c>
      <c r="C48" s="638">
        <v>85</v>
      </c>
      <c r="D48" s="638">
        <v>52</v>
      </c>
      <c r="E48" s="638">
        <v>46</v>
      </c>
      <c r="F48" s="638">
        <v>38.700000000000003</v>
      </c>
      <c r="G48" s="638">
        <v>67.400000000000006</v>
      </c>
      <c r="H48" s="638">
        <v>53</v>
      </c>
      <c r="I48" s="638">
        <v>3.02</v>
      </c>
      <c r="J48" s="638">
        <v>0</v>
      </c>
      <c r="K48" s="638">
        <v>0.68</v>
      </c>
      <c r="L48" s="638">
        <v>0</v>
      </c>
      <c r="N48" s="638">
        <v>1970</v>
      </c>
      <c r="O48" s="638">
        <v>35</v>
      </c>
      <c r="P48" s="638">
        <v>87</v>
      </c>
      <c r="Q48" s="638">
        <v>53</v>
      </c>
      <c r="R48" s="638">
        <v>76</v>
      </c>
      <c r="S48" s="638">
        <v>45.4</v>
      </c>
      <c r="T48" s="638">
        <v>81.2</v>
      </c>
      <c r="U48" s="638">
        <v>63.3</v>
      </c>
      <c r="V48" s="638">
        <v>4.2</v>
      </c>
      <c r="W48" s="638">
        <v>0</v>
      </c>
      <c r="X48" s="638">
        <v>1.85</v>
      </c>
      <c r="Y48" s="638">
        <v>0</v>
      </c>
      <c r="AA48" s="638">
        <v>1970</v>
      </c>
      <c r="AB48" s="638">
        <v>39</v>
      </c>
      <c r="AC48" s="638">
        <v>90</v>
      </c>
      <c r="AD48" s="638">
        <v>58</v>
      </c>
      <c r="AE48" s="638">
        <v>70</v>
      </c>
      <c r="AF48" s="638">
        <v>45.5</v>
      </c>
      <c r="AG48" s="638">
        <v>82.2</v>
      </c>
      <c r="AH48" s="638">
        <v>63.9</v>
      </c>
      <c r="AI48" s="638">
        <v>2.41</v>
      </c>
      <c r="AJ48" s="638">
        <v>0</v>
      </c>
      <c r="AK48" s="638">
        <v>1.47</v>
      </c>
      <c r="AL48" s="638">
        <v>0</v>
      </c>
    </row>
    <row r="49" spans="1:38" x14ac:dyDescent="0.25">
      <c r="A49" s="638">
        <v>1968</v>
      </c>
      <c r="B49" s="638">
        <v>29</v>
      </c>
      <c r="C49" s="638">
        <v>90</v>
      </c>
      <c r="D49" s="638">
        <v>44</v>
      </c>
      <c r="E49" s="638">
        <v>62</v>
      </c>
      <c r="F49" s="638">
        <v>38.6</v>
      </c>
      <c r="G49" s="638">
        <v>77</v>
      </c>
      <c r="H49" s="638">
        <v>57.8</v>
      </c>
      <c r="I49" s="638">
        <v>0.9</v>
      </c>
      <c r="J49" s="638">
        <v>0</v>
      </c>
      <c r="K49" s="638">
        <v>0.64</v>
      </c>
      <c r="L49" s="638">
        <v>0</v>
      </c>
      <c r="N49" s="638">
        <v>1969</v>
      </c>
      <c r="O49" s="638">
        <v>39</v>
      </c>
      <c r="P49" s="638">
        <v>89</v>
      </c>
      <c r="Q49" s="638">
        <v>54</v>
      </c>
      <c r="R49" s="638">
        <v>71</v>
      </c>
      <c r="S49" s="638">
        <v>46.3</v>
      </c>
      <c r="T49" s="638">
        <v>81.900000000000006</v>
      </c>
      <c r="U49" s="638">
        <v>64.099999999999994</v>
      </c>
      <c r="V49" s="638">
        <v>1.43</v>
      </c>
      <c r="W49" s="638">
        <v>0</v>
      </c>
      <c r="X49" s="638">
        <v>0.28999999999999998</v>
      </c>
      <c r="Y49" s="638">
        <v>0</v>
      </c>
      <c r="AA49" s="638">
        <v>1969</v>
      </c>
      <c r="AB49" s="638">
        <v>39</v>
      </c>
      <c r="AC49" s="638">
        <v>93</v>
      </c>
      <c r="AD49" s="638">
        <v>51</v>
      </c>
      <c r="AE49" s="638">
        <v>74</v>
      </c>
      <c r="AF49" s="638">
        <v>45.1</v>
      </c>
      <c r="AG49" s="638">
        <v>82.8</v>
      </c>
      <c r="AH49" s="638">
        <v>64</v>
      </c>
      <c r="AI49" s="638">
        <v>1.81</v>
      </c>
      <c r="AJ49" s="638">
        <v>0</v>
      </c>
      <c r="AK49" s="638">
        <v>0.79</v>
      </c>
      <c r="AL49" s="638">
        <v>0</v>
      </c>
    </row>
    <row r="50" spans="1:38" x14ac:dyDescent="0.25">
      <c r="A50" s="638">
        <v>1967</v>
      </c>
      <c r="B50" s="638">
        <v>34</v>
      </c>
      <c r="C50" s="638">
        <v>81</v>
      </c>
      <c r="D50" s="638">
        <v>46</v>
      </c>
      <c r="E50" s="638">
        <v>54</v>
      </c>
      <c r="F50" s="638">
        <v>39.6</v>
      </c>
      <c r="G50" s="638">
        <v>69.099999999999994</v>
      </c>
      <c r="H50" s="638">
        <v>54.3</v>
      </c>
      <c r="I50" s="638">
        <v>4.2300000000000004</v>
      </c>
      <c r="J50" s="638">
        <v>0</v>
      </c>
      <c r="K50" s="638">
        <v>0.64</v>
      </c>
      <c r="L50" s="638">
        <v>0</v>
      </c>
      <c r="N50" s="638">
        <v>1968</v>
      </c>
      <c r="O50" s="638">
        <v>26</v>
      </c>
      <c r="P50" s="638">
        <v>88</v>
      </c>
      <c r="Q50" s="638">
        <v>54</v>
      </c>
      <c r="R50" s="638">
        <v>63</v>
      </c>
      <c r="S50" s="638">
        <v>42.8</v>
      </c>
      <c r="T50" s="638">
        <v>79.599999999999994</v>
      </c>
      <c r="U50" s="638">
        <v>61.2</v>
      </c>
      <c r="V50" s="638">
        <v>1.6</v>
      </c>
      <c r="W50" s="638">
        <v>0</v>
      </c>
      <c r="X50" s="638">
        <v>0.49</v>
      </c>
      <c r="Y50" s="638">
        <v>0</v>
      </c>
      <c r="AA50" s="638">
        <v>1968</v>
      </c>
      <c r="AB50" s="638">
        <v>29</v>
      </c>
      <c r="AC50" s="638">
        <v>85</v>
      </c>
      <c r="AD50" s="638">
        <v>54</v>
      </c>
      <c r="AE50" s="638">
        <v>60</v>
      </c>
      <c r="AF50" s="638">
        <v>42.7</v>
      </c>
      <c r="AG50" s="638">
        <v>77</v>
      </c>
      <c r="AH50" s="638">
        <v>59.9</v>
      </c>
      <c r="AI50" s="638">
        <v>1.04</v>
      </c>
      <c r="AJ50" s="638">
        <v>0</v>
      </c>
      <c r="AK50" s="638">
        <v>0.28999999999999998</v>
      </c>
      <c r="AL50" s="638">
        <v>0</v>
      </c>
    </row>
    <row r="51" spans="1:38" x14ac:dyDescent="0.25">
      <c r="A51" s="638">
        <v>1966</v>
      </c>
      <c r="B51" s="638">
        <v>31</v>
      </c>
      <c r="C51" s="638">
        <v>86</v>
      </c>
      <c r="D51" s="638">
        <v>50</v>
      </c>
      <c r="E51" s="638">
        <v>53</v>
      </c>
      <c r="F51" s="638">
        <v>40.700000000000003</v>
      </c>
      <c r="G51" s="638">
        <v>75.599999999999994</v>
      </c>
      <c r="H51" s="638">
        <v>58.2</v>
      </c>
      <c r="I51" s="638">
        <v>1.65</v>
      </c>
      <c r="J51" s="638">
        <v>0</v>
      </c>
      <c r="K51" s="638">
        <v>0.65</v>
      </c>
      <c r="L51" s="638">
        <v>0</v>
      </c>
      <c r="N51" s="638">
        <v>1967</v>
      </c>
      <c r="O51" s="638">
        <v>40</v>
      </c>
      <c r="P51" s="638">
        <v>87</v>
      </c>
      <c r="Q51" s="638">
        <v>57</v>
      </c>
      <c r="R51" s="638">
        <v>71</v>
      </c>
      <c r="S51" s="638">
        <v>46.5</v>
      </c>
      <c r="T51" s="638">
        <v>79.099999999999994</v>
      </c>
      <c r="U51" s="638">
        <v>62.8</v>
      </c>
      <c r="V51" s="638">
        <v>3.09</v>
      </c>
      <c r="W51" s="638">
        <v>0</v>
      </c>
      <c r="X51" s="638">
        <v>0.73</v>
      </c>
      <c r="Y51" s="638">
        <v>0</v>
      </c>
      <c r="AA51" s="638">
        <v>1967</v>
      </c>
      <c r="AB51" s="638">
        <v>34</v>
      </c>
      <c r="AC51" s="638">
        <v>86</v>
      </c>
      <c r="AD51" s="638">
        <v>51</v>
      </c>
      <c r="AE51" s="638">
        <v>55</v>
      </c>
      <c r="AF51" s="638">
        <v>42</v>
      </c>
      <c r="AG51" s="638">
        <v>77</v>
      </c>
      <c r="AH51" s="638">
        <v>59.5</v>
      </c>
      <c r="AI51" s="638">
        <v>1.67</v>
      </c>
      <c r="AJ51" s="638">
        <v>0</v>
      </c>
      <c r="AK51" s="638">
        <v>0.39</v>
      </c>
      <c r="AL51" s="638">
        <v>0</v>
      </c>
    </row>
    <row r="52" spans="1:38" x14ac:dyDescent="0.25">
      <c r="A52" s="638">
        <v>1965</v>
      </c>
      <c r="B52" s="638">
        <v>32</v>
      </c>
      <c r="C52" s="638">
        <v>81</v>
      </c>
      <c r="D52" s="638">
        <v>49</v>
      </c>
      <c r="E52" s="638">
        <v>48</v>
      </c>
      <c r="F52" s="638">
        <v>40.700000000000003</v>
      </c>
      <c r="G52" s="638">
        <v>72</v>
      </c>
      <c r="H52" s="638">
        <v>56.4</v>
      </c>
      <c r="I52" s="638">
        <v>4.75</v>
      </c>
      <c r="J52" s="638">
        <v>0</v>
      </c>
      <c r="K52" s="638">
        <v>2.06</v>
      </c>
      <c r="L52" s="638">
        <v>0</v>
      </c>
      <c r="N52" s="638">
        <v>1966</v>
      </c>
      <c r="O52" s="638">
        <v>41</v>
      </c>
      <c r="P52" s="638">
        <v>93</v>
      </c>
      <c r="Q52" s="638">
        <v>58</v>
      </c>
      <c r="R52" s="638">
        <v>77</v>
      </c>
      <c r="S52" s="638">
        <v>49.7</v>
      </c>
      <c r="T52" s="638">
        <v>85.2</v>
      </c>
      <c r="U52" s="638">
        <v>67.5</v>
      </c>
      <c r="V52" s="638">
        <v>0.64</v>
      </c>
      <c r="W52" s="638">
        <v>0</v>
      </c>
      <c r="X52" s="638">
        <v>0.22</v>
      </c>
      <c r="Y52" s="638">
        <v>0</v>
      </c>
      <c r="AA52" s="638">
        <v>1966</v>
      </c>
      <c r="AB52" s="638">
        <v>34</v>
      </c>
      <c r="AC52" s="638">
        <v>88</v>
      </c>
      <c r="AD52" s="638">
        <v>55</v>
      </c>
      <c r="AE52" s="638">
        <v>60</v>
      </c>
      <c r="AF52" s="638">
        <v>44.8</v>
      </c>
      <c r="AG52" s="638">
        <v>78.7</v>
      </c>
      <c r="AH52" s="638">
        <v>61.8</v>
      </c>
      <c r="AI52" s="638">
        <v>1.88</v>
      </c>
      <c r="AJ52" s="638">
        <v>0</v>
      </c>
      <c r="AK52" s="638">
        <v>0.44</v>
      </c>
      <c r="AL52" s="638">
        <v>0</v>
      </c>
    </row>
    <row r="53" spans="1:38" x14ac:dyDescent="0.25">
      <c r="A53" s="638">
        <v>1964</v>
      </c>
      <c r="B53" s="638">
        <v>30</v>
      </c>
      <c r="C53" s="638">
        <v>84</v>
      </c>
      <c r="D53" s="638">
        <v>49</v>
      </c>
      <c r="E53" s="638">
        <v>51</v>
      </c>
      <c r="F53" s="638">
        <v>39.5</v>
      </c>
      <c r="G53" s="638">
        <v>73.099999999999994</v>
      </c>
      <c r="H53" s="638">
        <v>56.3</v>
      </c>
      <c r="I53" s="638">
        <v>2.0099999999999998</v>
      </c>
      <c r="J53" s="638">
        <v>0</v>
      </c>
      <c r="K53" s="638">
        <v>0.48</v>
      </c>
      <c r="L53" s="638">
        <v>0</v>
      </c>
      <c r="N53" s="638">
        <v>1965</v>
      </c>
      <c r="O53" s="638">
        <v>41</v>
      </c>
      <c r="P53" s="638">
        <v>84</v>
      </c>
      <c r="Q53" s="638">
        <v>54</v>
      </c>
      <c r="R53" s="638">
        <v>62</v>
      </c>
      <c r="S53" s="638">
        <v>46.8</v>
      </c>
      <c r="T53" s="638">
        <v>79.5</v>
      </c>
      <c r="U53" s="638">
        <v>63.2</v>
      </c>
      <c r="V53" s="638">
        <v>6.92</v>
      </c>
      <c r="W53" s="638">
        <v>0</v>
      </c>
      <c r="X53" s="638">
        <v>1.32</v>
      </c>
      <c r="Y53" s="638">
        <v>0</v>
      </c>
      <c r="AA53" s="638">
        <v>1965</v>
      </c>
      <c r="AB53" s="638">
        <v>37</v>
      </c>
      <c r="AC53" s="638">
        <v>87</v>
      </c>
      <c r="AD53" s="638">
        <v>51</v>
      </c>
      <c r="AE53" s="638">
        <v>65</v>
      </c>
      <c r="AF53" s="638">
        <v>43.3</v>
      </c>
      <c r="AG53" s="638">
        <v>77.3</v>
      </c>
      <c r="AH53" s="638">
        <v>60.3</v>
      </c>
      <c r="AI53" s="638">
        <v>2.38</v>
      </c>
      <c r="AJ53" s="638">
        <v>0</v>
      </c>
      <c r="AK53" s="638">
        <v>0.43</v>
      </c>
      <c r="AL53" s="638">
        <v>0</v>
      </c>
    </row>
    <row r="54" spans="1:38" x14ac:dyDescent="0.25">
      <c r="A54" s="638">
        <v>1963</v>
      </c>
      <c r="B54" s="638">
        <v>34</v>
      </c>
      <c r="C54" s="638">
        <v>90</v>
      </c>
      <c r="D54" s="638">
        <v>45</v>
      </c>
      <c r="E54" s="638">
        <v>57</v>
      </c>
      <c r="F54" s="638">
        <v>40</v>
      </c>
      <c r="G54" s="638">
        <v>78.8</v>
      </c>
      <c r="H54" s="638">
        <v>59.4</v>
      </c>
      <c r="I54" s="638">
        <v>4.17</v>
      </c>
      <c r="J54" s="638">
        <v>0</v>
      </c>
      <c r="K54" s="638">
        <v>2.57</v>
      </c>
      <c r="L54" s="638">
        <v>0</v>
      </c>
      <c r="N54" s="638">
        <v>1964</v>
      </c>
      <c r="O54" s="638">
        <v>40</v>
      </c>
      <c r="P54" s="638">
        <v>88</v>
      </c>
      <c r="Q54" s="638">
        <v>58</v>
      </c>
      <c r="R54" s="638">
        <v>76</v>
      </c>
      <c r="S54" s="638">
        <v>47.6</v>
      </c>
      <c r="T54" s="638">
        <v>84</v>
      </c>
      <c r="U54" s="638">
        <v>65.8</v>
      </c>
      <c r="V54" s="638">
        <v>2.4</v>
      </c>
      <c r="W54" s="638">
        <v>0</v>
      </c>
      <c r="X54" s="638">
        <v>0.77</v>
      </c>
      <c r="Y54" s="638">
        <v>0</v>
      </c>
      <c r="AA54" s="638">
        <v>1964</v>
      </c>
      <c r="AB54" s="638">
        <v>30</v>
      </c>
      <c r="AC54" s="638">
        <v>88</v>
      </c>
      <c r="AD54" s="638">
        <v>51</v>
      </c>
      <c r="AE54" s="638">
        <v>67</v>
      </c>
      <c r="AF54" s="638">
        <v>42.8</v>
      </c>
      <c r="AG54" s="638">
        <v>78.5</v>
      </c>
      <c r="AH54" s="638">
        <v>60.7</v>
      </c>
      <c r="AI54" s="638">
        <v>2.81</v>
      </c>
      <c r="AJ54" s="638">
        <v>0</v>
      </c>
      <c r="AK54" s="638">
        <v>1.03</v>
      </c>
      <c r="AL54" s="638">
        <v>0</v>
      </c>
    </row>
    <row r="55" spans="1:38" x14ac:dyDescent="0.25">
      <c r="A55" s="638">
        <v>1962</v>
      </c>
      <c r="B55" s="638">
        <v>29</v>
      </c>
      <c r="C55" s="638">
        <v>92</v>
      </c>
      <c r="D55" s="638">
        <v>52</v>
      </c>
      <c r="E55" s="638">
        <v>60</v>
      </c>
      <c r="F55" s="638">
        <v>39</v>
      </c>
      <c r="G55" s="638">
        <v>77.099999999999994</v>
      </c>
      <c r="H55" s="638">
        <v>58.1</v>
      </c>
      <c r="I55" s="638">
        <v>2.8</v>
      </c>
      <c r="J55" s="638">
        <v>0</v>
      </c>
      <c r="K55" s="638">
        <v>0.92</v>
      </c>
      <c r="L55" s="638">
        <v>0</v>
      </c>
      <c r="N55" s="638">
        <v>1963</v>
      </c>
      <c r="O55" s="638">
        <v>39</v>
      </c>
      <c r="P55" s="638">
        <v>91</v>
      </c>
      <c r="Q55" s="638">
        <v>55</v>
      </c>
      <c r="R55" s="638">
        <v>79</v>
      </c>
      <c r="S55" s="638">
        <v>46.4</v>
      </c>
      <c r="T55" s="638">
        <v>85.1</v>
      </c>
      <c r="U55" s="638">
        <v>65.7</v>
      </c>
      <c r="V55" s="638">
        <v>0.37</v>
      </c>
      <c r="W55" s="638">
        <v>0</v>
      </c>
      <c r="X55" s="638">
        <v>0.2</v>
      </c>
      <c r="Y55" s="638">
        <v>0</v>
      </c>
      <c r="AA55" s="638">
        <v>1963</v>
      </c>
      <c r="AB55" s="638">
        <v>40</v>
      </c>
      <c r="AC55" s="638">
        <v>90</v>
      </c>
      <c r="AD55" s="638">
        <v>53</v>
      </c>
      <c r="AE55" s="638">
        <v>69</v>
      </c>
      <c r="AF55" s="638">
        <v>47.1</v>
      </c>
      <c r="AG55" s="638">
        <v>78.400000000000006</v>
      </c>
      <c r="AH55" s="638">
        <v>62.7</v>
      </c>
      <c r="AI55" s="638">
        <v>4.09</v>
      </c>
      <c r="AJ55" s="638">
        <v>0</v>
      </c>
      <c r="AK55" s="638">
        <v>0.78</v>
      </c>
      <c r="AL55" s="638">
        <v>0</v>
      </c>
    </row>
    <row r="56" spans="1:38" x14ac:dyDescent="0.25">
      <c r="A56" s="638">
        <v>1961</v>
      </c>
      <c r="B56" s="638">
        <v>33</v>
      </c>
      <c r="C56" s="638">
        <v>89</v>
      </c>
      <c r="D56" s="638">
        <v>47</v>
      </c>
      <c r="E56" s="638">
        <v>55</v>
      </c>
      <c r="F56" s="638">
        <v>39.9</v>
      </c>
      <c r="G56" s="638">
        <v>76.900000000000006</v>
      </c>
      <c r="H56" s="638">
        <v>58.4</v>
      </c>
      <c r="I56" s="638">
        <v>2.0499999999999998</v>
      </c>
      <c r="J56" s="638">
        <v>0</v>
      </c>
      <c r="K56" s="638">
        <v>0.69</v>
      </c>
      <c r="L56" s="638">
        <v>0</v>
      </c>
      <c r="N56" s="638">
        <v>1962</v>
      </c>
      <c r="O56" s="638">
        <v>36</v>
      </c>
      <c r="P56" s="638">
        <v>95</v>
      </c>
      <c r="Q56" s="638">
        <v>53</v>
      </c>
      <c r="R56" s="638">
        <v>76</v>
      </c>
      <c r="S56" s="638">
        <v>43.2</v>
      </c>
      <c r="T56" s="638">
        <v>86.8</v>
      </c>
      <c r="U56" s="638">
        <v>65</v>
      </c>
      <c r="V56" s="638">
        <v>1.34</v>
      </c>
      <c r="W56" s="638">
        <v>0</v>
      </c>
      <c r="X56" s="638">
        <v>0.59</v>
      </c>
      <c r="Y56" s="638">
        <v>0</v>
      </c>
      <c r="AA56" s="638">
        <v>1962</v>
      </c>
      <c r="AB56" s="638">
        <v>33</v>
      </c>
      <c r="AC56" s="638" t="s">
        <v>832</v>
      </c>
      <c r="AD56" s="638">
        <v>50</v>
      </c>
      <c r="AE56" s="638" t="s">
        <v>832</v>
      </c>
      <c r="AF56" s="638">
        <v>42.3</v>
      </c>
      <c r="AG56" s="638" t="s">
        <v>832</v>
      </c>
      <c r="AH56" s="638" t="s">
        <v>832</v>
      </c>
      <c r="AI56" s="638">
        <v>0.65</v>
      </c>
      <c r="AJ56" s="638">
        <v>0</v>
      </c>
      <c r="AK56" s="638">
        <v>0.23</v>
      </c>
      <c r="AL56" s="638">
        <v>0</v>
      </c>
    </row>
    <row r="57" spans="1:38" x14ac:dyDescent="0.25">
      <c r="G57">
        <f>PERCENTILE(G6:G56,0.9)</f>
        <v>79.3</v>
      </c>
      <c r="H57">
        <f t="shared" ref="H57" si="0">PERCENTILE(H6:H56,0.9)</f>
        <v>60.96</v>
      </c>
      <c r="I57">
        <f>PERCENTILE(I6:I56,0.45)</f>
        <v>1.85</v>
      </c>
      <c r="N57" s="638">
        <v>1961</v>
      </c>
      <c r="O57" s="638">
        <v>35</v>
      </c>
      <c r="P57" s="638">
        <v>89</v>
      </c>
      <c r="Q57" s="638">
        <v>52</v>
      </c>
      <c r="R57" s="638">
        <v>67</v>
      </c>
      <c r="S57" s="638">
        <v>44.6</v>
      </c>
      <c r="T57" s="638">
        <v>80.900000000000006</v>
      </c>
      <c r="U57" s="638">
        <v>62.7</v>
      </c>
      <c r="V57" s="638">
        <v>2.59</v>
      </c>
      <c r="W57" s="638">
        <v>0</v>
      </c>
      <c r="X57" s="638">
        <v>0.42</v>
      </c>
      <c r="Y57" s="638">
        <v>0</v>
      </c>
      <c r="AA57" s="638">
        <v>1961</v>
      </c>
      <c r="AB57" s="638">
        <v>40</v>
      </c>
      <c r="AC57" s="638">
        <v>86</v>
      </c>
      <c r="AD57" s="638">
        <v>52</v>
      </c>
      <c r="AE57" s="638">
        <v>72</v>
      </c>
      <c r="AF57" s="638">
        <v>44.8</v>
      </c>
      <c r="AG57" s="638">
        <v>78.400000000000006</v>
      </c>
      <c r="AH57" s="638">
        <v>61.6</v>
      </c>
      <c r="AI57" s="638">
        <v>3.71</v>
      </c>
      <c r="AJ57" s="638">
        <v>0</v>
      </c>
      <c r="AK57" s="638">
        <v>0.89</v>
      </c>
      <c r="AL57" s="638">
        <v>0</v>
      </c>
    </row>
    <row r="58" spans="1:38" x14ac:dyDescent="0.25">
      <c r="I58">
        <f>AVERAGE(I6:I56)</f>
        <v>2.1262000000000008</v>
      </c>
      <c r="T58">
        <f>PERCENTILE(T7:T57,0.9)</f>
        <v>85.5</v>
      </c>
      <c r="U58">
        <f>PERCENTILE(U7:U57,0.9)</f>
        <v>67</v>
      </c>
      <c r="V58">
        <f>PERCENTILE(V7:V57,0.4)</f>
        <v>1.9</v>
      </c>
      <c r="X58">
        <f>PERCENTILE(X7:X57,0.1)</f>
        <v>0.22</v>
      </c>
      <c r="AG58">
        <f>PERCENTILE(AG7:AG57,0.9)</f>
        <v>82.92</v>
      </c>
      <c r="AH58">
        <f>PERCENTILE(AH7:AH57,0.9)</f>
        <v>65.31</v>
      </c>
      <c r="AI58">
        <f>PERCENTILE(AI7:AI57,0.55)</f>
        <v>2.4670000000000005</v>
      </c>
      <c r="AK58">
        <f>PERCENTILE(AK7:AK57,0.1)</f>
        <v>0.19800000000000001</v>
      </c>
    </row>
    <row r="59" spans="1:38" x14ac:dyDescent="0.25">
      <c r="V59">
        <f>AVERAGE(V7:V57)</f>
        <v>2.2707843137254913</v>
      </c>
      <c r="AI59">
        <f>AVERAGE(AI7:AI57)</f>
        <v>2.2850000000000006</v>
      </c>
    </row>
  </sheetData>
  <mergeCells count="6">
    <mergeCell ref="A2:A5"/>
    <mergeCell ref="N3:N6"/>
    <mergeCell ref="AA3:AA6"/>
    <mergeCell ref="A1:L1"/>
    <mergeCell ref="N1:Y1"/>
    <mergeCell ref="AA1:AL1"/>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20"/>
  <sheetViews>
    <sheetView workbookViewId="0">
      <selection activeCell="O13" sqref="O13"/>
    </sheetView>
  </sheetViews>
  <sheetFormatPr defaultRowHeight="12.5" x14ac:dyDescent="0.25"/>
  <cols>
    <col min="1" max="1" width="38.54296875" bestFit="1" customWidth="1"/>
    <col min="2" max="4" width="5.08984375" bestFit="1" customWidth="1"/>
    <col min="5" max="9" width="6.08984375" bestFit="1" customWidth="1"/>
    <col min="10" max="10" width="4.54296875" bestFit="1" customWidth="1"/>
    <col min="11" max="12" width="4.08984375" bestFit="1" customWidth="1"/>
    <col min="13" max="13" width="4.453125" bestFit="1" customWidth="1"/>
    <col min="14" max="14" width="7.36328125" bestFit="1" customWidth="1"/>
    <col min="16" max="16" width="39.36328125" bestFit="1" customWidth="1"/>
    <col min="17" max="17" width="11.90625" bestFit="1" customWidth="1"/>
    <col min="18" max="19" width="9.36328125" bestFit="1" customWidth="1"/>
    <col min="20" max="20" width="11" bestFit="1" customWidth="1"/>
    <col min="21" max="21" width="9.36328125" bestFit="1" customWidth="1"/>
  </cols>
  <sheetData>
    <row r="1" spans="1:21" x14ac:dyDescent="0.25">
      <c r="A1" s="982" t="s">
        <v>328</v>
      </c>
      <c r="B1" s="910" t="s">
        <v>902</v>
      </c>
      <c r="C1" s="910"/>
      <c r="D1" s="910"/>
      <c r="E1" s="910"/>
      <c r="F1" s="910"/>
      <c r="G1" s="910"/>
      <c r="H1" s="910"/>
      <c r="I1" s="910"/>
      <c r="J1" s="910"/>
      <c r="K1" s="910"/>
      <c r="L1" s="910"/>
      <c r="M1" s="910"/>
      <c r="P1" s="82" t="s">
        <v>900</v>
      </c>
      <c r="Q1" s="82">
        <v>8.1999999999999993</v>
      </c>
      <c r="R1" s="82">
        <v>12</v>
      </c>
      <c r="S1" s="82">
        <v>2</v>
      </c>
      <c r="T1" s="82">
        <v>2.8</v>
      </c>
      <c r="U1" s="82">
        <v>7.5</v>
      </c>
    </row>
    <row r="2" spans="1:21" x14ac:dyDescent="0.25">
      <c r="A2" s="983"/>
      <c r="B2" s="274" t="s">
        <v>78</v>
      </c>
      <c r="C2" s="274" t="s">
        <v>79</v>
      </c>
      <c r="D2" s="274" t="s">
        <v>80</v>
      </c>
      <c r="E2" s="274" t="s">
        <v>81</v>
      </c>
      <c r="F2" s="274" t="s">
        <v>82</v>
      </c>
      <c r="G2" s="274" t="s">
        <v>83</v>
      </c>
      <c r="H2" s="274" t="s">
        <v>84</v>
      </c>
      <c r="I2" s="274" t="s">
        <v>85</v>
      </c>
      <c r="J2" s="274" t="s">
        <v>86</v>
      </c>
      <c r="K2" s="274" t="s">
        <v>87</v>
      </c>
      <c r="L2" s="274" t="s">
        <v>88</v>
      </c>
      <c r="M2" s="274" t="s">
        <v>89</v>
      </c>
      <c r="N2" s="274" t="s">
        <v>1099</v>
      </c>
      <c r="P2" s="82"/>
      <c r="Q2" s="274" t="s">
        <v>901</v>
      </c>
      <c r="R2" s="274" t="s">
        <v>1106</v>
      </c>
      <c r="S2" s="274" t="s">
        <v>1106</v>
      </c>
      <c r="T2" s="274" t="s">
        <v>1106</v>
      </c>
      <c r="U2" s="274" t="s">
        <v>1106</v>
      </c>
    </row>
    <row r="3" spans="1:21" x14ac:dyDescent="0.25">
      <c r="A3" s="82" t="s">
        <v>250</v>
      </c>
      <c r="B3" s="82">
        <v>2</v>
      </c>
      <c r="C3" s="82">
        <v>6</v>
      </c>
      <c r="D3" s="82">
        <v>2</v>
      </c>
      <c r="E3" s="82">
        <v>2</v>
      </c>
      <c r="F3" s="82">
        <v>1</v>
      </c>
      <c r="G3" s="82">
        <v>42</v>
      </c>
      <c r="H3" s="82">
        <v>31</v>
      </c>
      <c r="I3" s="82">
        <v>34</v>
      </c>
      <c r="J3" s="82">
        <v>23</v>
      </c>
      <c r="K3" s="82">
        <v>1</v>
      </c>
      <c r="L3" s="82"/>
      <c r="M3" s="82"/>
      <c r="N3" s="796">
        <f>AVERAGE(B3:M3)</f>
        <v>14.4</v>
      </c>
      <c r="P3" s="274" t="s">
        <v>896</v>
      </c>
      <c r="Q3" s="274" t="s">
        <v>897</v>
      </c>
      <c r="R3" s="274" t="s">
        <v>39</v>
      </c>
      <c r="S3" s="274" t="s">
        <v>898</v>
      </c>
      <c r="T3" s="274" t="s">
        <v>141</v>
      </c>
      <c r="U3" s="274" t="s">
        <v>899</v>
      </c>
    </row>
    <row r="4" spans="1:21" x14ac:dyDescent="0.25">
      <c r="A4" s="82" t="s">
        <v>490</v>
      </c>
      <c r="B4" s="82"/>
      <c r="C4" s="82"/>
      <c r="D4" s="82"/>
      <c r="E4" s="82">
        <v>16</v>
      </c>
      <c r="F4" s="82">
        <v>32</v>
      </c>
      <c r="G4" s="82">
        <v>26</v>
      </c>
      <c r="H4" s="82">
        <v>26</v>
      </c>
      <c r="I4" s="82">
        <v>14</v>
      </c>
      <c r="J4" s="82">
        <v>14</v>
      </c>
      <c r="K4" s="82"/>
      <c r="L4" s="82"/>
      <c r="M4" s="82"/>
      <c r="N4" s="796">
        <f t="shared" ref="N4:N5" si="0">AVERAGE(B4:M4)</f>
        <v>21.333333333333332</v>
      </c>
      <c r="P4" s="82" t="s">
        <v>250</v>
      </c>
      <c r="Q4" s="722">
        <f>Q1*N3</f>
        <v>118.08</v>
      </c>
      <c r="R4" s="722">
        <f>Q4*R1</f>
        <v>1416.96</v>
      </c>
      <c r="S4" s="722">
        <f>Q4*S1</f>
        <v>236.16</v>
      </c>
      <c r="T4" s="722">
        <f>Q4*T1</f>
        <v>330.62399999999997</v>
      </c>
      <c r="U4" s="722">
        <f>Q4*U1</f>
        <v>885.6</v>
      </c>
    </row>
    <row r="5" spans="1:21" x14ac:dyDescent="0.25">
      <c r="A5" s="511" t="s">
        <v>895</v>
      </c>
      <c r="B5" s="82">
        <f>SUM(B3:B4)</f>
        <v>2</v>
      </c>
      <c r="C5" s="82">
        <f t="shared" ref="C5:M5" si="1">SUM(C3:C4)</f>
        <v>6</v>
      </c>
      <c r="D5" s="82">
        <f t="shared" si="1"/>
        <v>2</v>
      </c>
      <c r="E5" s="82">
        <f t="shared" si="1"/>
        <v>18</v>
      </c>
      <c r="F5" s="82">
        <f t="shared" si="1"/>
        <v>33</v>
      </c>
      <c r="G5" s="82">
        <f t="shared" si="1"/>
        <v>68</v>
      </c>
      <c r="H5" s="82">
        <f t="shared" si="1"/>
        <v>57</v>
      </c>
      <c r="I5" s="82">
        <f t="shared" si="1"/>
        <v>48</v>
      </c>
      <c r="J5" s="82">
        <f t="shared" si="1"/>
        <v>37</v>
      </c>
      <c r="K5" s="82">
        <f t="shared" si="1"/>
        <v>1</v>
      </c>
      <c r="L5" s="82">
        <f t="shared" si="1"/>
        <v>0</v>
      </c>
      <c r="M5" s="82">
        <f t="shared" si="1"/>
        <v>0</v>
      </c>
      <c r="N5" s="796">
        <f t="shared" si="0"/>
        <v>22.666666666666668</v>
      </c>
      <c r="P5" s="82" t="s">
        <v>490</v>
      </c>
      <c r="Q5" s="722">
        <f>Q1*N4</f>
        <v>174.93333333333331</v>
      </c>
      <c r="R5" s="722">
        <f>Q5*R1</f>
        <v>2099.1999999999998</v>
      </c>
      <c r="S5" s="722">
        <f>Q5*S1</f>
        <v>349.86666666666662</v>
      </c>
      <c r="T5" s="722">
        <f>Q5*T1</f>
        <v>489.81333333333322</v>
      </c>
      <c r="U5" s="722">
        <f>Q5*U1</f>
        <v>1311.9999999999998</v>
      </c>
    </row>
    <row r="6" spans="1:21" x14ac:dyDescent="0.25">
      <c r="A6" s="777"/>
      <c r="B6" s="274" t="s">
        <v>78</v>
      </c>
      <c r="C6" s="274" t="s">
        <v>79</v>
      </c>
      <c r="D6" s="274" t="s">
        <v>80</v>
      </c>
      <c r="E6" s="274" t="s">
        <v>81</v>
      </c>
      <c r="F6" s="274" t="s">
        <v>82</v>
      </c>
      <c r="G6" s="274" t="s">
        <v>83</v>
      </c>
      <c r="H6" s="274" t="s">
        <v>84</v>
      </c>
      <c r="I6" s="274" t="s">
        <v>85</v>
      </c>
      <c r="J6" s="274" t="s">
        <v>86</v>
      </c>
      <c r="K6" s="274" t="s">
        <v>87</v>
      </c>
      <c r="L6" s="274" t="s">
        <v>88</v>
      </c>
      <c r="M6" s="274" t="s">
        <v>89</v>
      </c>
      <c r="N6" s="274" t="s">
        <v>1099</v>
      </c>
      <c r="P6" s="511" t="s">
        <v>895</v>
      </c>
      <c r="Q6" s="722">
        <f>Q1*N5</f>
        <v>185.86666666666667</v>
      </c>
      <c r="R6" s="722">
        <f>Q6*R1</f>
        <v>2230.4</v>
      </c>
      <c r="S6" s="722">
        <f>Q6*S1</f>
        <v>371.73333333333335</v>
      </c>
      <c r="T6" s="722">
        <f>Q6*T1</f>
        <v>520.42666666666662</v>
      </c>
      <c r="U6" s="722">
        <f>Q6*U1</f>
        <v>1394</v>
      </c>
    </row>
    <row r="7" spans="1:21" x14ac:dyDescent="0.25">
      <c r="A7" s="777" t="s">
        <v>1100</v>
      </c>
      <c r="B7" s="89"/>
      <c r="C7" s="89"/>
      <c r="D7" s="89"/>
      <c r="E7" s="89"/>
      <c r="F7" s="89"/>
      <c r="G7" s="89"/>
      <c r="H7" s="89"/>
      <c r="I7" s="89"/>
      <c r="J7" s="89"/>
      <c r="K7" s="89"/>
      <c r="L7" s="89"/>
      <c r="M7" s="89"/>
      <c r="N7" s="797"/>
    </row>
    <row r="8" spans="1:21" x14ac:dyDescent="0.25">
      <c r="A8" s="82" t="s">
        <v>250</v>
      </c>
      <c r="B8" s="89">
        <v>2</v>
      </c>
      <c r="C8" s="89">
        <v>2</v>
      </c>
      <c r="D8" s="89">
        <v>2</v>
      </c>
      <c r="E8" s="89"/>
      <c r="F8" s="89"/>
      <c r="G8" s="89"/>
      <c r="H8" s="89"/>
      <c r="I8" s="89"/>
      <c r="J8" s="89"/>
      <c r="K8" s="89">
        <v>2</v>
      </c>
      <c r="L8" s="89">
        <v>2</v>
      </c>
      <c r="M8" s="89">
        <v>2</v>
      </c>
      <c r="N8" s="797"/>
    </row>
    <row r="9" spans="1:21" x14ac:dyDescent="0.25">
      <c r="A9" s="82" t="s">
        <v>490</v>
      </c>
      <c r="B9" s="89"/>
      <c r="C9" s="89"/>
      <c r="D9" s="89"/>
      <c r="E9" s="89">
        <v>18</v>
      </c>
      <c r="F9" s="89">
        <v>33</v>
      </c>
      <c r="G9" s="89">
        <v>68</v>
      </c>
      <c r="H9" s="86">
        <v>57</v>
      </c>
      <c r="I9" s="86">
        <v>48</v>
      </c>
      <c r="J9" s="86">
        <v>14</v>
      </c>
      <c r="K9" s="89"/>
      <c r="L9" s="89"/>
      <c r="M9" s="89"/>
      <c r="N9" s="797"/>
    </row>
    <row r="10" spans="1:21" x14ac:dyDescent="0.25">
      <c r="A10" s="798" t="s">
        <v>1101</v>
      </c>
      <c r="B10" s="455">
        <f>B8*0.68</f>
        <v>1.36</v>
      </c>
      <c r="C10" s="455">
        <f t="shared" ref="C10:D10" si="2">C8*0.68</f>
        <v>1.36</v>
      </c>
      <c r="D10" s="455">
        <f t="shared" si="2"/>
        <v>1.36</v>
      </c>
      <c r="E10" s="455">
        <f>E9*0.81</f>
        <v>14.580000000000002</v>
      </c>
      <c r="F10" s="455">
        <f t="shared" ref="F10:J10" si="3">F9*0.81</f>
        <v>26.73</v>
      </c>
      <c r="G10" s="455">
        <f t="shared" si="3"/>
        <v>55.080000000000005</v>
      </c>
      <c r="H10" s="455">
        <f t="shared" si="3"/>
        <v>46.17</v>
      </c>
      <c r="I10" s="455">
        <f t="shared" si="3"/>
        <v>38.880000000000003</v>
      </c>
      <c r="J10" s="455">
        <f t="shared" si="3"/>
        <v>11.34</v>
      </c>
      <c r="K10" s="455">
        <f t="shared" ref="K10:M10" si="4">K8*0.68</f>
        <v>1.36</v>
      </c>
      <c r="L10" s="455">
        <f t="shared" si="4"/>
        <v>1.36</v>
      </c>
      <c r="M10" s="455">
        <f t="shared" si="4"/>
        <v>1.36</v>
      </c>
      <c r="N10" s="800">
        <f>SUM(B10:M10)</f>
        <v>200.94000000000003</v>
      </c>
    </row>
    <row r="11" spans="1:21" x14ac:dyDescent="0.25">
      <c r="A11" s="799" t="s">
        <v>1103</v>
      </c>
      <c r="B11">
        <f>B10*12</f>
        <v>16.32</v>
      </c>
      <c r="C11">
        <f t="shared" ref="C11:M11" si="5">C10*12</f>
        <v>16.32</v>
      </c>
      <c r="D11">
        <f t="shared" si="5"/>
        <v>16.32</v>
      </c>
      <c r="E11">
        <f t="shared" si="5"/>
        <v>174.96000000000004</v>
      </c>
      <c r="F11">
        <f t="shared" si="5"/>
        <v>320.76</v>
      </c>
      <c r="G11">
        <f t="shared" si="5"/>
        <v>660.96</v>
      </c>
      <c r="H11">
        <f t="shared" si="5"/>
        <v>554.04</v>
      </c>
      <c r="I11">
        <f t="shared" si="5"/>
        <v>466.56000000000006</v>
      </c>
      <c r="J11">
        <f t="shared" si="5"/>
        <v>136.07999999999998</v>
      </c>
      <c r="K11">
        <f t="shared" si="5"/>
        <v>16.32</v>
      </c>
      <c r="L11">
        <f t="shared" si="5"/>
        <v>16.32</v>
      </c>
      <c r="M11">
        <f t="shared" si="5"/>
        <v>16.32</v>
      </c>
      <c r="N11" s="800">
        <f t="shared" ref="N11:N14" si="6">SUM(B11:M11)</f>
        <v>2411.2800000000007</v>
      </c>
    </row>
    <row r="12" spans="1:21" x14ac:dyDescent="0.25">
      <c r="A12" s="799" t="s">
        <v>1102</v>
      </c>
      <c r="B12">
        <f>B10*2</f>
        <v>2.72</v>
      </c>
      <c r="C12">
        <f t="shared" ref="C12:M12" si="7">C10*2</f>
        <v>2.72</v>
      </c>
      <c r="D12">
        <f t="shared" si="7"/>
        <v>2.72</v>
      </c>
      <c r="E12">
        <f t="shared" si="7"/>
        <v>29.160000000000004</v>
      </c>
      <c r="F12">
        <f t="shared" si="7"/>
        <v>53.46</v>
      </c>
      <c r="G12">
        <f t="shared" si="7"/>
        <v>110.16000000000001</v>
      </c>
      <c r="H12">
        <f t="shared" si="7"/>
        <v>92.34</v>
      </c>
      <c r="I12">
        <f t="shared" si="7"/>
        <v>77.760000000000005</v>
      </c>
      <c r="J12">
        <f t="shared" si="7"/>
        <v>22.68</v>
      </c>
      <c r="K12">
        <f t="shared" si="7"/>
        <v>2.72</v>
      </c>
      <c r="L12">
        <f t="shared" si="7"/>
        <v>2.72</v>
      </c>
      <c r="M12">
        <f t="shared" si="7"/>
        <v>2.72</v>
      </c>
      <c r="N12" s="800">
        <f t="shared" si="6"/>
        <v>401.88000000000005</v>
      </c>
    </row>
    <row r="13" spans="1:21" x14ac:dyDescent="0.25">
      <c r="A13" s="799" t="s">
        <v>1104</v>
      </c>
      <c r="B13">
        <f>B10*2.8</f>
        <v>3.8079999999999998</v>
      </c>
      <c r="C13">
        <f t="shared" ref="C13:M13" si="8">C10*2.8</f>
        <v>3.8079999999999998</v>
      </c>
      <c r="D13">
        <f t="shared" si="8"/>
        <v>3.8079999999999998</v>
      </c>
      <c r="E13">
        <f t="shared" si="8"/>
        <v>40.824000000000005</v>
      </c>
      <c r="F13">
        <f t="shared" si="8"/>
        <v>74.843999999999994</v>
      </c>
      <c r="G13">
        <f t="shared" si="8"/>
        <v>154.22400000000002</v>
      </c>
      <c r="H13">
        <f t="shared" si="8"/>
        <v>129.27600000000001</v>
      </c>
      <c r="I13">
        <f t="shared" si="8"/>
        <v>108.864</v>
      </c>
      <c r="J13">
        <f t="shared" si="8"/>
        <v>31.751999999999999</v>
      </c>
      <c r="K13">
        <f t="shared" si="8"/>
        <v>3.8079999999999998</v>
      </c>
      <c r="L13">
        <f t="shared" si="8"/>
        <v>3.8079999999999998</v>
      </c>
      <c r="M13">
        <f t="shared" si="8"/>
        <v>3.8079999999999998</v>
      </c>
      <c r="N13" s="800">
        <f t="shared" si="6"/>
        <v>562.63199999999995</v>
      </c>
    </row>
    <row r="14" spans="1:21" x14ac:dyDescent="0.25">
      <c r="A14" s="799" t="s">
        <v>1105</v>
      </c>
      <c r="B14">
        <f>B10*7.5</f>
        <v>10.200000000000001</v>
      </c>
      <c r="C14">
        <f t="shared" ref="C14:M14" si="9">C10*7.5</f>
        <v>10.200000000000001</v>
      </c>
      <c r="D14">
        <f t="shared" si="9"/>
        <v>10.200000000000001</v>
      </c>
      <c r="E14">
        <f t="shared" si="9"/>
        <v>109.35000000000001</v>
      </c>
      <c r="F14">
        <f t="shared" si="9"/>
        <v>200.47499999999999</v>
      </c>
      <c r="G14">
        <f t="shared" si="9"/>
        <v>413.1</v>
      </c>
      <c r="H14">
        <f t="shared" si="9"/>
        <v>346.27500000000003</v>
      </c>
      <c r="I14">
        <f t="shared" si="9"/>
        <v>291.60000000000002</v>
      </c>
      <c r="J14">
        <f t="shared" si="9"/>
        <v>85.05</v>
      </c>
      <c r="K14">
        <f t="shared" si="9"/>
        <v>10.200000000000001</v>
      </c>
      <c r="L14">
        <f t="shared" si="9"/>
        <v>10.200000000000001</v>
      </c>
      <c r="M14">
        <f t="shared" si="9"/>
        <v>10.200000000000001</v>
      </c>
      <c r="N14" s="800">
        <f t="shared" si="6"/>
        <v>1507.0500000000002</v>
      </c>
    </row>
    <row r="17" spans="1:14" x14ac:dyDescent="0.25">
      <c r="A17" s="20" t="s">
        <v>1101</v>
      </c>
      <c r="B17" s="274" t="s">
        <v>78</v>
      </c>
      <c r="C17" s="274" t="s">
        <v>79</v>
      </c>
      <c r="D17" s="274" t="s">
        <v>80</v>
      </c>
      <c r="E17" s="274" t="s">
        <v>81</v>
      </c>
      <c r="F17" s="274" t="s">
        <v>82</v>
      </c>
      <c r="G17" s="274" t="s">
        <v>83</v>
      </c>
      <c r="H17" s="274" t="s">
        <v>84</v>
      </c>
      <c r="I17" s="274" t="s">
        <v>85</v>
      </c>
      <c r="J17" s="274" t="s">
        <v>86</v>
      </c>
      <c r="K17" s="274" t="s">
        <v>87</v>
      </c>
      <c r="L17" s="274" t="s">
        <v>88</v>
      </c>
      <c r="M17" s="274" t="s">
        <v>89</v>
      </c>
    </row>
    <row r="18" spans="1:14" x14ac:dyDescent="0.25">
      <c r="A18" s="82" t="s">
        <v>250</v>
      </c>
      <c r="B18">
        <f>B3*0.67</f>
        <v>1.34</v>
      </c>
      <c r="C18">
        <f t="shared" ref="C18:M18" si="10">C3*0.67</f>
        <v>4.0200000000000005</v>
      </c>
      <c r="D18">
        <f t="shared" si="10"/>
        <v>1.34</v>
      </c>
      <c r="E18">
        <f t="shared" si="10"/>
        <v>1.34</v>
      </c>
      <c r="F18">
        <f t="shared" si="10"/>
        <v>0.67</v>
      </c>
      <c r="G18">
        <f t="shared" si="10"/>
        <v>28.14</v>
      </c>
      <c r="H18">
        <f t="shared" si="10"/>
        <v>20.77</v>
      </c>
      <c r="I18">
        <f t="shared" si="10"/>
        <v>22.78</v>
      </c>
      <c r="J18">
        <f t="shared" si="10"/>
        <v>15.41</v>
      </c>
      <c r="K18">
        <f t="shared" si="10"/>
        <v>0.67</v>
      </c>
      <c r="L18">
        <f t="shared" si="10"/>
        <v>0</v>
      </c>
      <c r="M18">
        <f t="shared" si="10"/>
        <v>0</v>
      </c>
      <c r="N18">
        <f>SUM(B18:M18)</f>
        <v>96.48</v>
      </c>
    </row>
    <row r="19" spans="1:14" x14ac:dyDescent="0.25">
      <c r="A19" s="82" t="s">
        <v>490</v>
      </c>
      <c r="B19">
        <f>B4*0.67</f>
        <v>0</v>
      </c>
      <c r="C19">
        <f>C4*0.67</f>
        <v>0</v>
      </c>
      <c r="D19">
        <f>D4*0.67</f>
        <v>0</v>
      </c>
      <c r="E19">
        <f>E4*0.81</f>
        <v>12.96</v>
      </c>
      <c r="F19">
        <f t="shared" ref="F19:J19" si="11">F4*0.81</f>
        <v>25.92</v>
      </c>
      <c r="G19">
        <f t="shared" si="11"/>
        <v>21.060000000000002</v>
      </c>
      <c r="H19">
        <f t="shared" si="11"/>
        <v>21.060000000000002</v>
      </c>
      <c r="I19">
        <f t="shared" si="11"/>
        <v>11.34</v>
      </c>
      <c r="J19">
        <f t="shared" si="11"/>
        <v>11.34</v>
      </c>
      <c r="K19">
        <f t="shared" ref="K19:M20" si="12">K4*0.67</f>
        <v>0</v>
      </c>
      <c r="L19">
        <f t="shared" si="12"/>
        <v>0</v>
      </c>
      <c r="M19">
        <f t="shared" si="12"/>
        <v>0</v>
      </c>
      <c r="N19">
        <f>SUM(B19:M19)</f>
        <v>103.68</v>
      </c>
    </row>
    <row r="20" spans="1:14" x14ac:dyDescent="0.25">
      <c r="A20" s="511" t="s">
        <v>895</v>
      </c>
      <c r="B20">
        <f>B5*0.67</f>
        <v>1.34</v>
      </c>
      <c r="C20">
        <f>C5*0.67</f>
        <v>4.0200000000000005</v>
      </c>
      <c r="D20">
        <f>D5*0.67</f>
        <v>1.34</v>
      </c>
      <c r="E20">
        <f>E5*0.81</f>
        <v>14.580000000000002</v>
      </c>
      <c r="F20">
        <f t="shared" ref="F20:J20" si="13">F5*0.81</f>
        <v>26.73</v>
      </c>
      <c r="G20">
        <f t="shared" si="13"/>
        <v>55.080000000000005</v>
      </c>
      <c r="H20">
        <f t="shared" si="13"/>
        <v>46.17</v>
      </c>
      <c r="I20">
        <f t="shared" si="13"/>
        <v>38.880000000000003</v>
      </c>
      <c r="J20">
        <f t="shared" si="13"/>
        <v>29.970000000000002</v>
      </c>
      <c r="K20">
        <f t="shared" si="12"/>
        <v>0.67</v>
      </c>
      <c r="L20">
        <f t="shared" si="12"/>
        <v>0</v>
      </c>
      <c r="M20">
        <f t="shared" si="12"/>
        <v>0</v>
      </c>
      <c r="N20">
        <f>SUM(B20:M20)</f>
        <v>218.77999999999997</v>
      </c>
    </row>
  </sheetData>
  <mergeCells count="2">
    <mergeCell ref="A1:A2"/>
    <mergeCell ref="B1:M1"/>
  </mergeCell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61"/>
  <sheetViews>
    <sheetView topLeftCell="A14" workbookViewId="0">
      <selection activeCell="N38" sqref="N38"/>
    </sheetView>
  </sheetViews>
  <sheetFormatPr defaultRowHeight="12.5" x14ac:dyDescent="0.25"/>
  <cols>
    <col min="1" max="1" width="22.08984375" customWidth="1"/>
    <col min="2" max="2" width="9" bestFit="1" customWidth="1"/>
    <col min="3" max="3" width="6.453125" bestFit="1" customWidth="1"/>
    <col min="4" max="4" width="8.36328125" customWidth="1"/>
    <col min="5" max="6" width="7.54296875" bestFit="1" customWidth="1"/>
    <col min="7" max="7" width="7.453125" bestFit="1" customWidth="1"/>
    <col min="8" max="8" width="8.36328125" customWidth="1"/>
    <col min="9" max="9" width="7" bestFit="1" customWidth="1"/>
    <col min="10" max="10" width="7.453125" bestFit="1" customWidth="1"/>
    <col min="11" max="12" width="6.54296875" bestFit="1" customWidth="1"/>
    <col min="13" max="13" width="6.453125" bestFit="1" customWidth="1"/>
    <col min="14" max="14" width="13.54296875" customWidth="1"/>
    <col min="15" max="15" width="10" customWidth="1"/>
    <col min="16" max="16" width="9.54296875" customWidth="1"/>
    <col min="18" max="18" width="9.36328125" bestFit="1" customWidth="1"/>
    <col min="19" max="19" width="7" bestFit="1" customWidth="1"/>
  </cols>
  <sheetData>
    <row r="1" spans="1:20" ht="15.5" x14ac:dyDescent="0.35">
      <c r="A1" s="829" t="s">
        <v>107</v>
      </c>
      <c r="B1" s="829"/>
      <c r="C1" s="829"/>
      <c r="D1" s="829"/>
      <c r="E1" s="829"/>
      <c r="F1" s="829"/>
      <c r="G1" s="829"/>
      <c r="H1" s="829"/>
      <c r="I1" s="829"/>
      <c r="J1" s="829"/>
      <c r="K1" s="829"/>
      <c r="L1" s="829"/>
      <c r="M1" s="829"/>
      <c r="N1" s="829"/>
      <c r="O1" s="33"/>
      <c r="P1" s="33"/>
      <c r="Q1" s="33"/>
      <c r="R1" s="34"/>
      <c r="S1" s="33"/>
      <c r="T1" s="33"/>
    </row>
    <row r="2" spans="1:20" ht="15.5" x14ac:dyDescent="0.35">
      <c r="A2" s="8"/>
      <c r="B2" s="830" t="s">
        <v>99</v>
      </c>
      <c r="C2" s="830"/>
      <c r="D2" s="830"/>
      <c r="E2" s="830"/>
      <c r="F2" s="830"/>
      <c r="G2" s="830"/>
      <c r="H2" s="830"/>
      <c r="I2" s="830"/>
      <c r="J2" s="830"/>
      <c r="K2" s="830"/>
      <c r="L2" s="830"/>
      <c r="M2" s="830"/>
      <c r="O2" s="33"/>
      <c r="P2" s="33"/>
      <c r="Q2" s="33"/>
      <c r="R2" s="34"/>
      <c r="S2" s="33"/>
      <c r="T2" s="33"/>
    </row>
    <row r="3" spans="1:20" ht="13" x14ac:dyDescent="0.3">
      <c r="A3" s="35"/>
      <c r="B3" s="44" t="s">
        <v>78</v>
      </c>
      <c r="C3" s="44" t="s">
        <v>79</v>
      </c>
      <c r="D3" s="44" t="s">
        <v>80</v>
      </c>
      <c r="E3" s="44" t="s">
        <v>81</v>
      </c>
      <c r="F3" s="44" t="s">
        <v>82</v>
      </c>
      <c r="G3" s="44" t="s">
        <v>83</v>
      </c>
      <c r="H3" s="44" t="s">
        <v>84</v>
      </c>
      <c r="I3" s="44" t="s">
        <v>85</v>
      </c>
      <c r="J3" s="44" t="s">
        <v>86</v>
      </c>
      <c r="K3" s="44" t="s">
        <v>87</v>
      </c>
      <c r="L3" s="44" t="s">
        <v>88</v>
      </c>
      <c r="M3" s="44" t="s">
        <v>89</v>
      </c>
      <c r="N3" s="36" t="s">
        <v>100</v>
      </c>
      <c r="O3" s="33"/>
      <c r="P3" s="33"/>
      <c r="Q3" s="33"/>
      <c r="R3" s="34"/>
      <c r="S3" s="33"/>
      <c r="T3" s="33"/>
    </row>
    <row r="4" spans="1:20" ht="13" x14ac:dyDescent="0.3">
      <c r="A4" s="37" t="s">
        <v>28</v>
      </c>
      <c r="B4" s="73">
        <v>23.974470000000004</v>
      </c>
      <c r="C4" s="73">
        <v>258.20643000000001</v>
      </c>
      <c r="D4" s="73">
        <v>270.48120000000006</v>
      </c>
      <c r="E4" s="73">
        <v>166.57199999999997</v>
      </c>
      <c r="F4" s="73">
        <v>175.81278</v>
      </c>
      <c r="G4" s="73">
        <v>59.49</v>
      </c>
      <c r="H4" s="73">
        <v>127.55647500000002</v>
      </c>
      <c r="I4" s="73">
        <v>47.026845000000002</v>
      </c>
      <c r="J4" s="73">
        <v>44.320050000000002</v>
      </c>
      <c r="K4" s="73">
        <v>67.00557000000002</v>
      </c>
      <c r="L4" s="73">
        <v>48.186900000000009</v>
      </c>
      <c r="M4" s="73">
        <v>59.628810000000001</v>
      </c>
      <c r="N4" s="51">
        <f>SUM(B4:M4)</f>
        <v>1348.26153</v>
      </c>
      <c r="O4" s="38"/>
      <c r="P4" s="33"/>
      <c r="Q4" s="33"/>
      <c r="R4" s="34"/>
      <c r="S4" s="33"/>
      <c r="T4" s="33"/>
    </row>
    <row r="5" spans="1:20" ht="13" x14ac:dyDescent="0.3">
      <c r="A5" s="39" t="s">
        <v>29</v>
      </c>
      <c r="B5" s="73">
        <v>141.3879</v>
      </c>
      <c r="C5" s="73">
        <v>607.27391999999998</v>
      </c>
      <c r="D5" s="73">
        <v>219.45861000000002</v>
      </c>
      <c r="E5" s="73">
        <v>215.9487</v>
      </c>
      <c r="F5" s="73">
        <v>1463.0574000000001</v>
      </c>
      <c r="G5" s="73">
        <v>1005.3809999999999</v>
      </c>
      <c r="H5" s="73">
        <v>1555.2669000000001</v>
      </c>
      <c r="I5" s="73">
        <v>897.81316500000003</v>
      </c>
      <c r="J5" s="73">
        <v>368.83799999999997</v>
      </c>
      <c r="K5" s="73">
        <v>191.79576000000003</v>
      </c>
      <c r="L5" s="73">
        <v>565.15499999999997</v>
      </c>
      <c r="M5" s="73">
        <v>852.63050999999996</v>
      </c>
      <c r="N5" s="51">
        <f>SUM(B5:M5)</f>
        <v>8084.0068650000003</v>
      </c>
      <c r="O5" s="33"/>
      <c r="P5" s="33"/>
      <c r="Q5" s="33"/>
      <c r="R5" s="33"/>
      <c r="S5" s="33"/>
      <c r="T5" s="33"/>
    </row>
    <row r="6" spans="1:20" ht="13" x14ac:dyDescent="0.3">
      <c r="A6" s="37" t="s">
        <v>32</v>
      </c>
      <c r="B6" s="74">
        <v>848.32740000000001</v>
      </c>
      <c r="C6" s="74">
        <v>747.59100000000001</v>
      </c>
      <c r="D6" s="74">
        <v>1672.0656000000001</v>
      </c>
      <c r="E6" s="74">
        <v>7531.4339999999993</v>
      </c>
      <c r="F6" s="74">
        <v>9073.4148000000005</v>
      </c>
      <c r="G6" s="74">
        <v>4360.6170000000002</v>
      </c>
      <c r="H6" s="74">
        <v>1223.3126999999999</v>
      </c>
      <c r="I6" s="74">
        <v>1736.6122499999999</v>
      </c>
      <c r="J6" s="74">
        <v>404.53200000000004</v>
      </c>
      <c r="K6" s="74">
        <v>897.50579999999991</v>
      </c>
      <c r="L6" s="74">
        <v>339.09299999999996</v>
      </c>
      <c r="M6" s="74">
        <v>172.12440000000004</v>
      </c>
      <c r="N6" s="51">
        <f>SUM(N4:N5)</f>
        <v>9432.268395000001</v>
      </c>
      <c r="O6" s="33"/>
      <c r="P6" s="33"/>
      <c r="Q6" s="33"/>
      <c r="R6" s="33"/>
      <c r="S6" s="33"/>
      <c r="T6" s="33"/>
    </row>
    <row r="7" spans="1:20" ht="13" x14ac:dyDescent="0.3">
      <c r="A7" s="808"/>
      <c r="B7" s="804">
        <v>30.736500000000003</v>
      </c>
      <c r="C7" s="804">
        <v>517.56299999999999</v>
      </c>
      <c r="D7" s="804">
        <v>922.09500000000003</v>
      </c>
      <c r="E7" s="804">
        <v>240.93450000000001</v>
      </c>
      <c r="F7" s="804">
        <v>1161.8397</v>
      </c>
      <c r="G7" s="804">
        <v>642.49200000000008</v>
      </c>
      <c r="H7" s="804">
        <v>1444.6155000000001</v>
      </c>
      <c r="I7" s="804">
        <v>288.92309999999998</v>
      </c>
      <c r="J7" s="804">
        <v>202.26600000000005</v>
      </c>
      <c r="K7" s="804">
        <v>18.4419</v>
      </c>
      <c r="L7" s="804">
        <v>267.70500000000004</v>
      </c>
      <c r="M7" s="804">
        <v>817.59090000000003</v>
      </c>
      <c r="N7" s="51">
        <f>SUM(B7:M7)</f>
        <v>6555.2030999999997</v>
      </c>
      <c r="O7" s="33"/>
      <c r="P7" s="33"/>
      <c r="Q7" s="33"/>
      <c r="R7" s="33"/>
      <c r="S7" s="33"/>
      <c r="T7" s="33"/>
    </row>
    <row r="8" spans="1:20" x14ac:dyDescent="0.25">
      <c r="A8" s="42"/>
      <c r="B8" s="33"/>
      <c r="C8" s="33"/>
      <c r="D8" s="33"/>
      <c r="E8" s="33"/>
      <c r="F8" s="33"/>
      <c r="G8" s="33"/>
      <c r="H8" s="33"/>
      <c r="I8" s="33"/>
      <c r="J8" s="33"/>
      <c r="K8" s="33"/>
      <c r="L8" s="33"/>
      <c r="M8" s="33"/>
      <c r="N8" s="33"/>
      <c r="O8" s="33"/>
      <c r="P8" s="33"/>
      <c r="Q8" s="33"/>
      <c r="R8" s="33"/>
      <c r="S8" s="33"/>
      <c r="T8" s="33"/>
    </row>
    <row r="9" spans="1:20" x14ac:dyDescent="0.25">
      <c r="A9" s="43" t="s">
        <v>75</v>
      </c>
      <c r="B9" s="44" t="s">
        <v>78</v>
      </c>
      <c r="C9" s="44" t="s">
        <v>79</v>
      </c>
      <c r="D9" s="44" t="s">
        <v>80</v>
      </c>
      <c r="E9" s="44" t="s">
        <v>81</v>
      </c>
      <c r="F9" s="44" t="s">
        <v>82</v>
      </c>
      <c r="G9" s="44" t="s">
        <v>83</v>
      </c>
      <c r="H9" s="44" t="s">
        <v>84</v>
      </c>
      <c r="I9" s="44" t="s">
        <v>85</v>
      </c>
      <c r="J9" s="44" t="s">
        <v>86</v>
      </c>
      <c r="K9" s="44" t="s">
        <v>87</v>
      </c>
      <c r="L9" s="44" t="s">
        <v>88</v>
      </c>
      <c r="M9" s="44" t="s">
        <v>89</v>
      </c>
      <c r="N9" s="45" t="s">
        <v>101</v>
      </c>
      <c r="O9" s="46"/>
      <c r="P9" s="46"/>
      <c r="Q9" s="46"/>
      <c r="R9" s="46"/>
      <c r="T9" s="33"/>
    </row>
    <row r="10" spans="1:20" ht="13" x14ac:dyDescent="0.3">
      <c r="A10" s="41" t="s">
        <v>127</v>
      </c>
      <c r="B10" s="92">
        <v>695</v>
      </c>
      <c r="C10" s="92">
        <v>789</v>
      </c>
      <c r="D10" s="92">
        <v>784</v>
      </c>
      <c r="E10" s="92">
        <v>465</v>
      </c>
      <c r="F10" s="92">
        <v>466</v>
      </c>
      <c r="G10" s="92">
        <v>339</v>
      </c>
      <c r="H10" s="92">
        <v>382.5</v>
      </c>
      <c r="I10" s="92">
        <v>361</v>
      </c>
      <c r="J10" s="92">
        <v>1057</v>
      </c>
      <c r="K10" s="92">
        <v>167</v>
      </c>
      <c r="L10" s="92">
        <v>483</v>
      </c>
      <c r="M10" s="92">
        <v>752</v>
      </c>
      <c r="N10" s="47">
        <f>AVERAGE(B10:M10)</f>
        <v>561.70833333333337</v>
      </c>
      <c r="O10" s="48"/>
      <c r="P10" s="48"/>
      <c r="Q10" s="48"/>
      <c r="R10" s="48"/>
      <c r="T10" s="33"/>
    </row>
    <row r="11" spans="1:20" ht="13" x14ac:dyDescent="0.3">
      <c r="A11" s="41" t="s">
        <v>128</v>
      </c>
      <c r="B11" s="92">
        <v>1958</v>
      </c>
      <c r="C11" s="92">
        <v>1160</v>
      </c>
      <c r="D11" s="92">
        <v>766</v>
      </c>
      <c r="E11" s="92">
        <v>962</v>
      </c>
      <c r="F11" s="92">
        <v>537</v>
      </c>
      <c r="G11" s="92">
        <v>350</v>
      </c>
      <c r="H11" s="92">
        <v>136.5</v>
      </c>
      <c r="I11" s="92">
        <v>346</v>
      </c>
      <c r="J11" s="92">
        <v>1135</v>
      </c>
      <c r="K11" s="92">
        <v>937</v>
      </c>
      <c r="L11" s="92">
        <v>753</v>
      </c>
      <c r="M11" s="92">
        <v>742</v>
      </c>
      <c r="N11" s="47">
        <f>AVERAGE(B11:M11)</f>
        <v>815.20833333333337</v>
      </c>
      <c r="O11" s="48"/>
      <c r="P11" s="48"/>
      <c r="Q11" s="48"/>
      <c r="R11" s="48"/>
      <c r="T11" s="33"/>
    </row>
    <row r="12" spans="1:20" x14ac:dyDescent="0.25">
      <c r="A12" s="42" t="s">
        <v>90</v>
      </c>
      <c r="B12" s="33">
        <v>2.7230000000000002E-3</v>
      </c>
      <c r="C12" s="33"/>
      <c r="D12" s="33"/>
      <c r="E12" s="33"/>
      <c r="F12" s="33"/>
      <c r="G12" s="33"/>
      <c r="H12" s="33"/>
      <c r="I12" s="33"/>
      <c r="J12" s="33"/>
      <c r="K12" s="33"/>
      <c r="L12" s="33"/>
      <c r="M12" s="33"/>
      <c r="N12" s="33"/>
      <c r="O12" s="33"/>
      <c r="P12" s="33"/>
      <c r="Q12" s="33"/>
      <c r="R12" s="33"/>
      <c r="S12" s="33"/>
      <c r="T12" s="33"/>
    </row>
    <row r="13" spans="1:20" x14ac:dyDescent="0.25">
      <c r="A13" s="42"/>
      <c r="B13" s="33"/>
      <c r="C13" s="33"/>
      <c r="D13" s="33"/>
      <c r="E13" s="33"/>
      <c r="F13" s="33"/>
      <c r="G13" s="33"/>
      <c r="H13" s="33"/>
      <c r="I13" s="33"/>
      <c r="J13" s="33"/>
      <c r="K13" s="33"/>
      <c r="L13" s="33"/>
      <c r="M13" s="33"/>
      <c r="N13" s="33"/>
      <c r="O13" s="33"/>
      <c r="P13" s="33"/>
      <c r="Q13" s="33"/>
      <c r="R13" s="33"/>
      <c r="S13" s="33"/>
      <c r="T13" s="33"/>
    </row>
    <row r="14" spans="1:20" x14ac:dyDescent="0.25">
      <c r="A14" s="43" t="s">
        <v>91</v>
      </c>
      <c r="B14" s="49" t="s">
        <v>78</v>
      </c>
      <c r="C14" s="49" t="s">
        <v>79</v>
      </c>
      <c r="D14" s="49" t="s">
        <v>80</v>
      </c>
      <c r="E14" s="49" t="s">
        <v>81</v>
      </c>
      <c r="F14" s="49" t="s">
        <v>82</v>
      </c>
      <c r="G14" s="49" t="s">
        <v>83</v>
      </c>
      <c r="H14" s="49" t="s">
        <v>84</v>
      </c>
      <c r="I14" s="49" t="s">
        <v>85</v>
      </c>
      <c r="J14" s="49" t="s">
        <v>86</v>
      </c>
      <c r="K14" s="49" t="s">
        <v>87</v>
      </c>
      <c r="L14" s="49" t="s">
        <v>88</v>
      </c>
      <c r="M14" s="49" t="s">
        <v>89</v>
      </c>
      <c r="N14" s="49" t="s">
        <v>513</v>
      </c>
      <c r="O14" s="33"/>
      <c r="P14" s="33"/>
      <c r="Q14" s="33"/>
      <c r="R14" s="33"/>
      <c r="S14" s="33"/>
      <c r="T14" s="33"/>
    </row>
    <row r="15" spans="1:20" ht="13" x14ac:dyDescent="0.3">
      <c r="A15" s="41" t="s">
        <v>127</v>
      </c>
      <c r="B15" s="62">
        <f>B4*$B$12*B10</f>
        <v>45.371324857950007</v>
      </c>
      <c r="C15" s="62">
        <f t="shared" ref="C15:M15" si="0">C4*$B$12*C10</f>
        <v>554.74282991421001</v>
      </c>
      <c r="D15" s="62">
        <f t="shared" si="0"/>
        <v>577.4319211584002</v>
      </c>
      <c r="E15" s="62">
        <f t="shared" si="0"/>
        <v>210.91263353999997</v>
      </c>
      <c r="F15" s="62">
        <f t="shared" si="0"/>
        <v>223.09200117204003</v>
      </c>
      <c r="G15" s="62">
        <f t="shared" si="0"/>
        <v>54.915040530000006</v>
      </c>
      <c r="H15" s="62">
        <f t="shared" si="0"/>
        <v>132.85612764506251</v>
      </c>
      <c r="I15" s="62">
        <f t="shared" si="0"/>
        <v>46.227529715534999</v>
      </c>
      <c r="J15" s="62">
        <f t="shared" si="0"/>
        <v>127.56245543055002</v>
      </c>
      <c r="K15" s="62">
        <f t="shared" si="0"/>
        <v>30.47017990737001</v>
      </c>
      <c r="L15" s="62">
        <f t="shared" si="0"/>
        <v>63.375844562100021</v>
      </c>
      <c r="M15" s="62">
        <f t="shared" si="0"/>
        <v>122.10167572176002</v>
      </c>
      <c r="N15" s="51">
        <f>SUM(B15:M15)</f>
        <v>2189.0595641549776</v>
      </c>
      <c r="O15" s="33"/>
      <c r="P15" s="33"/>
      <c r="Q15" s="33"/>
      <c r="R15" s="33"/>
      <c r="S15" s="33"/>
      <c r="T15" s="33"/>
    </row>
    <row r="16" spans="1:20" ht="13" x14ac:dyDescent="0.3">
      <c r="A16" s="41" t="s">
        <v>128</v>
      </c>
      <c r="B16" s="62">
        <f>B5*$B$12*B11</f>
        <v>753.82853482860014</v>
      </c>
      <c r="C16" s="62">
        <f t="shared" ref="C16:M16" si="1">C5*$B$12*C11</f>
        <v>1918.1839856255999</v>
      </c>
      <c r="D16" s="62">
        <f t="shared" si="1"/>
        <v>457.75071899298007</v>
      </c>
      <c r="E16" s="62">
        <f t="shared" si="1"/>
        <v>565.68323431620001</v>
      </c>
      <c r="F16" s="62">
        <f t="shared" si="1"/>
        <v>2139.3571462074001</v>
      </c>
      <c r="G16" s="62">
        <f t="shared" si="1"/>
        <v>958.17836204999992</v>
      </c>
      <c r="H16" s="62">
        <f t="shared" si="1"/>
        <v>578.07637642755003</v>
      </c>
      <c r="I16" s="62">
        <f t="shared" si="1"/>
        <v>845.88185591007004</v>
      </c>
      <c r="J16" s="62">
        <f t="shared" si="1"/>
        <v>1139.9325669899999</v>
      </c>
      <c r="K16" s="62">
        <f t="shared" si="1"/>
        <v>489.35748364776009</v>
      </c>
      <c r="L16" s="62">
        <f t="shared" si="1"/>
        <v>1158.804549945</v>
      </c>
      <c r="M16" s="62">
        <f t="shared" si="1"/>
        <v>1722.71095601766</v>
      </c>
      <c r="N16" s="51">
        <f>SUM(B16:M16)</f>
        <v>12727.74577095882</v>
      </c>
      <c r="O16" s="33"/>
      <c r="P16" s="33"/>
      <c r="Q16" s="33"/>
      <c r="R16" s="33"/>
      <c r="S16" s="33"/>
      <c r="T16" s="33"/>
    </row>
    <row r="17" spans="1:20" x14ac:dyDescent="0.25">
      <c r="A17" s="52" t="s">
        <v>102</v>
      </c>
      <c r="B17" s="47">
        <f>SUM(B15:B16)</f>
        <v>799.1998596865501</v>
      </c>
      <c r="C17" s="47">
        <f t="shared" ref="C17:N17" si="2">SUM(C15:C16)</f>
        <v>2472.9268155398099</v>
      </c>
      <c r="D17" s="47">
        <f t="shared" si="2"/>
        <v>1035.1826401513804</v>
      </c>
      <c r="E17" s="47">
        <f t="shared" si="2"/>
        <v>776.59586785620002</v>
      </c>
      <c r="F17" s="47">
        <f t="shared" si="2"/>
        <v>2362.4491473794401</v>
      </c>
      <c r="G17" s="47">
        <f t="shared" si="2"/>
        <v>1013.09340258</v>
      </c>
      <c r="H17" s="47">
        <f t="shared" si="2"/>
        <v>710.93250407261257</v>
      </c>
      <c r="I17" s="47">
        <f t="shared" si="2"/>
        <v>892.109385625605</v>
      </c>
      <c r="J17" s="47">
        <f t="shared" si="2"/>
        <v>1267.49502242055</v>
      </c>
      <c r="K17" s="47">
        <f t="shared" si="2"/>
        <v>519.82766355513013</v>
      </c>
      <c r="L17" s="47">
        <f t="shared" si="2"/>
        <v>1222.1803945070999</v>
      </c>
      <c r="M17" s="47">
        <f t="shared" si="2"/>
        <v>1844.8126317394201</v>
      </c>
      <c r="N17" s="47">
        <f t="shared" si="2"/>
        <v>14916.805335113797</v>
      </c>
      <c r="O17" s="33"/>
      <c r="P17" s="33"/>
      <c r="Q17" s="33"/>
      <c r="R17" s="33"/>
      <c r="S17" s="33"/>
      <c r="T17" s="33"/>
    </row>
    <row r="18" spans="1:20" s="10" customFormat="1" x14ac:dyDescent="0.25">
      <c r="A18" s="769"/>
      <c r="B18" s="770"/>
      <c r="C18" s="770"/>
      <c r="D18" s="770"/>
      <c r="E18" s="770"/>
      <c r="F18" s="770"/>
      <c r="G18" s="770"/>
      <c r="H18" s="770"/>
      <c r="I18" s="770"/>
      <c r="J18" s="770"/>
      <c r="K18" s="770"/>
      <c r="L18" s="770"/>
      <c r="M18" s="770"/>
      <c r="N18" s="770"/>
      <c r="O18" s="771"/>
      <c r="P18" s="771"/>
      <c r="Q18" s="771"/>
      <c r="R18" s="771"/>
      <c r="S18" s="771"/>
      <c r="T18" s="771"/>
    </row>
    <row r="19" spans="1:20" s="10" customFormat="1" x14ac:dyDescent="0.25">
      <c r="A19" s="43" t="s">
        <v>564</v>
      </c>
      <c r="B19" s="44" t="s">
        <v>78</v>
      </c>
      <c r="C19" s="44" t="s">
        <v>79</v>
      </c>
      <c r="D19" s="44" t="s">
        <v>80</v>
      </c>
      <c r="E19" s="44" t="s">
        <v>81</v>
      </c>
      <c r="F19" s="44" t="s">
        <v>82</v>
      </c>
      <c r="G19" s="44" t="s">
        <v>83</v>
      </c>
      <c r="H19" s="44" t="s">
        <v>84</v>
      </c>
      <c r="I19" s="44" t="s">
        <v>85</v>
      </c>
      <c r="J19" s="44" t="s">
        <v>86</v>
      </c>
      <c r="K19" s="44" t="s">
        <v>87</v>
      </c>
      <c r="L19" s="44" t="s">
        <v>88</v>
      </c>
      <c r="M19" s="44" t="s">
        <v>89</v>
      </c>
      <c r="N19" s="45" t="s">
        <v>101</v>
      </c>
      <c r="O19" s="771"/>
      <c r="P19" s="771"/>
      <c r="Q19" s="771"/>
      <c r="R19" s="771"/>
      <c r="S19" s="771"/>
      <c r="T19" s="771"/>
    </row>
    <row r="20" spans="1:20" s="10" customFormat="1" ht="13" x14ac:dyDescent="0.3">
      <c r="A20" s="41" t="s">
        <v>127</v>
      </c>
      <c r="B20" s="92">
        <v>747</v>
      </c>
      <c r="C20" s="92">
        <v>935</v>
      </c>
      <c r="D20" s="92">
        <v>568</v>
      </c>
      <c r="E20" s="92">
        <v>553</v>
      </c>
      <c r="F20" s="92">
        <v>418</v>
      </c>
      <c r="G20" s="92">
        <v>664</v>
      </c>
      <c r="H20" s="92">
        <v>602</v>
      </c>
      <c r="I20" s="92">
        <v>628.5</v>
      </c>
      <c r="J20" s="92">
        <v>632.5</v>
      </c>
      <c r="K20" s="92">
        <v>643</v>
      </c>
      <c r="L20" s="92">
        <v>729</v>
      </c>
      <c r="M20" s="92">
        <v>630</v>
      </c>
      <c r="N20" s="47">
        <f>AVERAGE(B20:M20)</f>
        <v>645.83333333333337</v>
      </c>
      <c r="O20" s="771"/>
      <c r="P20" s="771"/>
      <c r="Q20" s="771"/>
      <c r="R20" s="771"/>
      <c r="S20" s="771"/>
      <c r="T20" s="771"/>
    </row>
    <row r="21" spans="1:20" s="10" customFormat="1" ht="13" x14ac:dyDescent="0.3">
      <c r="A21" s="41" t="s">
        <v>128</v>
      </c>
      <c r="B21" s="92">
        <v>2248</v>
      </c>
      <c r="C21" s="92">
        <v>1373</v>
      </c>
      <c r="D21" s="92">
        <v>1119</v>
      </c>
      <c r="E21" s="92">
        <v>1689</v>
      </c>
      <c r="F21" s="92">
        <v>932</v>
      </c>
      <c r="G21" s="92">
        <v>669</v>
      </c>
      <c r="H21" s="92">
        <v>481.5</v>
      </c>
      <c r="I21" s="92">
        <v>624</v>
      </c>
      <c r="J21" s="92">
        <v>1257</v>
      </c>
      <c r="K21" s="92">
        <v>1166</v>
      </c>
      <c r="L21" s="92">
        <v>1023</v>
      </c>
      <c r="M21" s="92">
        <v>897</v>
      </c>
      <c r="N21" s="47">
        <f>AVERAGE(B21:M21)</f>
        <v>1123.2083333333333</v>
      </c>
      <c r="O21" s="771"/>
      <c r="P21" s="771"/>
      <c r="Q21" s="771"/>
      <c r="R21" s="771"/>
      <c r="S21" s="771"/>
      <c r="T21" s="771"/>
    </row>
    <row r="22" spans="1:20" s="10" customFormat="1" x14ac:dyDescent="0.25">
      <c r="A22" s="43" t="s">
        <v>1059</v>
      </c>
      <c r="B22" s="49" t="s">
        <v>78</v>
      </c>
      <c r="C22" s="49" t="s">
        <v>79</v>
      </c>
      <c r="D22" s="49" t="s">
        <v>80</v>
      </c>
      <c r="E22" s="49" t="s">
        <v>81</v>
      </c>
      <c r="F22" s="49" t="s">
        <v>82</v>
      </c>
      <c r="G22" s="49" t="s">
        <v>83</v>
      </c>
      <c r="H22" s="49" t="s">
        <v>84</v>
      </c>
      <c r="I22" s="49" t="s">
        <v>85</v>
      </c>
      <c r="J22" s="49" t="s">
        <v>86</v>
      </c>
      <c r="K22" s="49" t="s">
        <v>87</v>
      </c>
      <c r="L22" s="49" t="s">
        <v>88</v>
      </c>
      <c r="M22" s="49" t="s">
        <v>89</v>
      </c>
      <c r="N22" s="49" t="s">
        <v>513</v>
      </c>
      <c r="O22" s="771"/>
      <c r="P22" s="771"/>
      <c r="Q22" s="771"/>
      <c r="R22" s="771"/>
      <c r="S22" s="771"/>
      <c r="T22" s="771"/>
    </row>
    <row r="23" spans="1:20" s="10" customFormat="1" ht="13" x14ac:dyDescent="0.3">
      <c r="A23" s="41" t="s">
        <v>127</v>
      </c>
      <c r="B23" s="62">
        <f>B4*$B$12*B20</f>
        <v>48.766013912070008</v>
      </c>
      <c r="C23" s="62">
        <f t="shared" ref="C23:M23" si="3">C4*$B$12*C20</f>
        <v>657.39486181215011</v>
      </c>
      <c r="D23" s="62">
        <f t="shared" si="3"/>
        <v>418.34353471680009</v>
      </c>
      <c r="E23" s="62">
        <f t="shared" si="3"/>
        <v>250.82728246799996</v>
      </c>
      <c r="F23" s="62">
        <f t="shared" si="3"/>
        <v>200.11256757492004</v>
      </c>
      <c r="G23" s="62">
        <f t="shared" si="3"/>
        <v>107.56220328000002</v>
      </c>
      <c r="H23" s="62">
        <f t="shared" si="3"/>
        <v>209.09644141785003</v>
      </c>
      <c r="I23" s="62">
        <f t="shared" si="3"/>
        <v>80.482001180647501</v>
      </c>
      <c r="J23" s="62">
        <f t="shared" si="3"/>
        <v>76.332311314875014</v>
      </c>
      <c r="K23" s="62">
        <f t="shared" si="3"/>
        <v>117.31931545173005</v>
      </c>
      <c r="L23" s="62">
        <f t="shared" si="3"/>
        <v>95.654225022300025</v>
      </c>
      <c r="M23" s="62">
        <f t="shared" si="3"/>
        <v>102.29262726690001</v>
      </c>
      <c r="N23" s="51">
        <f>SUM(B23:M23)</f>
        <v>2364.1833854182428</v>
      </c>
      <c r="O23" s="771"/>
      <c r="P23" s="771"/>
      <c r="Q23" s="771"/>
      <c r="R23" s="771"/>
      <c r="S23" s="771"/>
      <c r="T23" s="771"/>
    </row>
    <row r="24" spans="1:20" s="10" customFormat="1" ht="13" x14ac:dyDescent="0.3">
      <c r="A24" s="41" t="s">
        <v>128</v>
      </c>
      <c r="B24" s="62">
        <f>B5*$B$12*B21</f>
        <v>865.47831782160006</v>
      </c>
      <c r="C24" s="62">
        <f t="shared" ref="C24:M24" si="4">C5*$B$12*C21</f>
        <v>2270.4022519516802</v>
      </c>
      <c r="D24" s="62">
        <f t="shared" si="4"/>
        <v>668.69850463857006</v>
      </c>
      <c r="E24" s="62">
        <f t="shared" si="4"/>
        <v>993.17981575889996</v>
      </c>
      <c r="F24" s="62">
        <f t="shared" si="4"/>
        <v>3712.9997397864004</v>
      </c>
      <c r="G24" s="62">
        <f t="shared" si="4"/>
        <v>1831.4894977469999</v>
      </c>
      <c r="H24" s="62">
        <f t="shared" si="4"/>
        <v>2039.1485366290503</v>
      </c>
      <c r="I24" s="62">
        <f t="shared" si="4"/>
        <v>1525.5210349360802</v>
      </c>
      <c r="J24" s="62">
        <f t="shared" si="4"/>
        <v>1262.4627636180001</v>
      </c>
      <c r="K24" s="62">
        <f t="shared" si="4"/>
        <v>608.95499032368014</v>
      </c>
      <c r="L24" s="62">
        <f t="shared" si="4"/>
        <v>1574.3121574949998</v>
      </c>
      <c r="M24" s="62">
        <f t="shared" si="4"/>
        <v>2082.5764522208101</v>
      </c>
      <c r="N24" s="51">
        <f>SUM(B24:M24)</f>
        <v>19435.224062926769</v>
      </c>
      <c r="O24" s="771"/>
      <c r="P24" s="771"/>
      <c r="Q24" s="771"/>
      <c r="R24" s="771"/>
      <c r="S24" s="771"/>
      <c r="T24" s="771"/>
    </row>
    <row r="25" spans="1:20" x14ac:dyDescent="0.25">
      <c r="A25" s="52" t="s">
        <v>102</v>
      </c>
      <c r="B25" s="47">
        <f>SUM(B23:B24)</f>
        <v>914.24433173367004</v>
      </c>
      <c r="C25" s="47">
        <f t="shared" ref="C25:N25" si="5">SUM(C23:C24)</f>
        <v>2927.7971137638306</v>
      </c>
      <c r="D25" s="47">
        <f t="shared" si="5"/>
        <v>1087.0420393553702</v>
      </c>
      <c r="E25" s="47">
        <f t="shared" si="5"/>
        <v>1244.0070982268999</v>
      </c>
      <c r="F25" s="47">
        <f t="shared" si="5"/>
        <v>3913.1123073613203</v>
      </c>
      <c r="G25" s="47">
        <f t="shared" si="5"/>
        <v>1939.0517010269998</v>
      </c>
      <c r="H25" s="47">
        <f t="shared" si="5"/>
        <v>2248.2449780469005</v>
      </c>
      <c r="I25" s="47">
        <f t="shared" si="5"/>
        <v>1606.0030361167278</v>
      </c>
      <c r="J25" s="47">
        <f t="shared" si="5"/>
        <v>1338.795074932875</v>
      </c>
      <c r="K25" s="47">
        <f t="shared" si="5"/>
        <v>726.2743057754102</v>
      </c>
      <c r="L25" s="47">
        <f t="shared" si="5"/>
        <v>1669.9663825173</v>
      </c>
      <c r="M25" s="47">
        <f t="shared" si="5"/>
        <v>2184.8690794877102</v>
      </c>
      <c r="N25" s="47">
        <f t="shared" si="5"/>
        <v>21799.407448345013</v>
      </c>
      <c r="O25" s="53"/>
      <c r="P25" s="53"/>
      <c r="Q25" s="53"/>
      <c r="R25" s="53"/>
      <c r="S25" s="33"/>
      <c r="T25" s="33"/>
    </row>
    <row r="26" spans="1:20" s="10" customFormat="1" x14ac:dyDescent="0.25">
      <c r="A26" s="772"/>
      <c r="B26" s="773"/>
      <c r="C26" s="773"/>
      <c r="D26" s="773"/>
      <c r="E26" s="773"/>
      <c r="F26" s="773"/>
      <c r="G26" s="773"/>
      <c r="H26" s="773"/>
      <c r="I26" s="773"/>
      <c r="J26" s="773"/>
      <c r="K26" s="773"/>
      <c r="L26" s="773"/>
      <c r="M26" s="773"/>
      <c r="N26" s="773"/>
      <c r="O26" s="774"/>
      <c r="P26" s="774"/>
      <c r="Q26" s="774"/>
      <c r="R26" s="774"/>
      <c r="S26" s="771"/>
      <c r="T26" s="771"/>
    </row>
    <row r="27" spans="1:20" x14ac:dyDescent="0.25">
      <c r="A27" s="43" t="s">
        <v>76</v>
      </c>
      <c r="B27" s="44" t="s">
        <v>78</v>
      </c>
      <c r="C27" s="44" t="s">
        <v>79</v>
      </c>
      <c r="D27" s="44" t="s">
        <v>80</v>
      </c>
      <c r="E27" s="44" t="s">
        <v>81</v>
      </c>
      <c r="F27" s="44" t="s">
        <v>82</v>
      </c>
      <c r="G27" s="44" t="s">
        <v>83</v>
      </c>
      <c r="H27" s="44" t="s">
        <v>84</v>
      </c>
      <c r="I27" s="44" t="s">
        <v>85</v>
      </c>
      <c r="J27" s="44" t="s">
        <v>86</v>
      </c>
      <c r="K27" s="44" t="s">
        <v>87</v>
      </c>
      <c r="L27" s="44" t="s">
        <v>88</v>
      </c>
      <c r="M27" s="44" t="s">
        <v>89</v>
      </c>
      <c r="N27" s="49" t="s">
        <v>101</v>
      </c>
      <c r="O27" s="54"/>
      <c r="P27" s="54"/>
      <c r="Q27" s="54"/>
      <c r="R27" s="54"/>
      <c r="T27" s="33"/>
    </row>
    <row r="28" spans="1:20" ht="13" x14ac:dyDescent="0.3">
      <c r="A28" s="41" t="s">
        <v>129</v>
      </c>
      <c r="B28" s="73">
        <v>2</v>
      </c>
      <c r="C28" s="73">
        <v>23</v>
      </c>
      <c r="D28" s="99">
        <v>15</v>
      </c>
      <c r="E28" s="73">
        <v>8</v>
      </c>
      <c r="F28" s="73">
        <v>7</v>
      </c>
      <c r="G28" s="74">
        <v>27</v>
      </c>
      <c r="H28" s="74">
        <v>26.5</v>
      </c>
      <c r="I28" s="74">
        <v>14</v>
      </c>
      <c r="J28" s="99">
        <v>5.5</v>
      </c>
      <c r="K28" s="99">
        <v>8</v>
      </c>
      <c r="L28" s="99">
        <v>4</v>
      </c>
      <c r="M28" s="99">
        <v>2</v>
      </c>
      <c r="N28" s="55">
        <f>AVERAGE(B28:M28)</f>
        <v>11.833333333333334</v>
      </c>
      <c r="O28" s="56"/>
      <c r="P28" s="56"/>
      <c r="Q28" s="56"/>
      <c r="R28" s="56"/>
      <c r="T28" s="33"/>
    </row>
    <row r="29" spans="1:20" ht="13" x14ac:dyDescent="0.3">
      <c r="A29" s="41" t="s">
        <v>128</v>
      </c>
      <c r="B29" s="73">
        <v>38</v>
      </c>
      <c r="C29" s="73">
        <v>29</v>
      </c>
      <c r="D29" s="100">
        <v>37</v>
      </c>
      <c r="E29" s="73">
        <v>31</v>
      </c>
      <c r="F29" s="73">
        <v>60</v>
      </c>
      <c r="G29" s="74">
        <v>49</v>
      </c>
      <c r="H29" s="74">
        <v>22.5</v>
      </c>
      <c r="I29" s="74">
        <v>35.5</v>
      </c>
      <c r="J29" s="100">
        <v>75</v>
      </c>
      <c r="K29" s="100">
        <v>15</v>
      </c>
      <c r="L29" s="100">
        <v>18</v>
      </c>
      <c r="M29" s="100">
        <v>11</v>
      </c>
      <c r="N29" s="15">
        <f>AVERAGE(B29:M29)</f>
        <v>35.083333333333336</v>
      </c>
      <c r="O29" s="56"/>
      <c r="P29" s="56"/>
      <c r="Q29" s="56"/>
      <c r="R29" s="56"/>
      <c r="T29" s="33"/>
    </row>
    <row r="30" spans="1:20" ht="13" x14ac:dyDescent="0.3">
      <c r="A30" s="801" t="s">
        <v>1107</v>
      </c>
      <c r="B30" s="802">
        <v>32</v>
      </c>
      <c r="C30" s="802">
        <v>24</v>
      </c>
      <c r="D30" s="803">
        <v>20</v>
      </c>
      <c r="E30" s="802">
        <v>23</v>
      </c>
      <c r="F30" s="802">
        <v>30</v>
      </c>
      <c r="G30" s="804">
        <v>89</v>
      </c>
      <c r="H30" s="804">
        <v>35</v>
      </c>
      <c r="I30" s="804">
        <v>50</v>
      </c>
      <c r="J30" s="803">
        <v>61.5</v>
      </c>
      <c r="K30" s="803">
        <v>24</v>
      </c>
      <c r="L30" s="803">
        <v>45</v>
      </c>
      <c r="M30" s="803">
        <v>12</v>
      </c>
      <c r="N30" s="15">
        <f>AVERAGE(B30:M30)</f>
        <v>37.125</v>
      </c>
      <c r="O30" s="56"/>
      <c r="P30" s="56"/>
      <c r="Q30" s="56"/>
      <c r="R30" s="56"/>
      <c r="T30" s="33"/>
    </row>
    <row r="31" spans="1:20" x14ac:dyDescent="0.25">
      <c r="A31" s="42"/>
      <c r="B31" s="33"/>
      <c r="C31" s="33"/>
      <c r="D31" s="33"/>
      <c r="E31" s="33"/>
      <c r="F31" s="33"/>
      <c r="G31" s="33"/>
      <c r="H31" s="33"/>
      <c r="I31" s="33"/>
      <c r="J31" s="33"/>
      <c r="K31" s="33"/>
      <c r="L31" s="33"/>
      <c r="M31" s="33"/>
      <c r="N31" s="33"/>
      <c r="O31" s="33"/>
      <c r="P31" s="33"/>
      <c r="Q31" s="33"/>
      <c r="R31" s="33"/>
      <c r="S31" s="33"/>
      <c r="T31" s="33"/>
    </row>
    <row r="32" spans="1:20" x14ac:dyDescent="0.25">
      <c r="A32" s="43" t="s">
        <v>126</v>
      </c>
      <c r="B32" s="49" t="s">
        <v>78</v>
      </c>
      <c r="C32" s="49" t="s">
        <v>79</v>
      </c>
      <c r="D32" s="49" t="s">
        <v>80</v>
      </c>
      <c r="E32" s="49" t="s">
        <v>81</v>
      </c>
      <c r="F32" s="49" t="s">
        <v>82</v>
      </c>
      <c r="G32" s="49" t="s">
        <v>83</v>
      </c>
      <c r="H32" s="49" t="s">
        <v>84</v>
      </c>
      <c r="I32" s="49" t="s">
        <v>85</v>
      </c>
      <c r="J32" s="49" t="s">
        <v>86</v>
      </c>
      <c r="K32" s="49" t="s">
        <v>87</v>
      </c>
      <c r="L32" s="49" t="s">
        <v>88</v>
      </c>
      <c r="M32" s="49" t="s">
        <v>89</v>
      </c>
      <c r="N32" s="49" t="s">
        <v>513</v>
      </c>
      <c r="O32" s="33"/>
      <c r="P32" s="33"/>
      <c r="Q32" s="33"/>
      <c r="R32" s="33"/>
      <c r="S32" s="33"/>
      <c r="T32" s="33"/>
    </row>
    <row r="33" spans="1:20" x14ac:dyDescent="0.25">
      <c r="A33" s="41" t="s">
        <v>129</v>
      </c>
      <c r="B33" s="62">
        <f t="shared" ref="B33:M33" si="6">B28*$B$12*B4</f>
        <v>0.13056496362000003</v>
      </c>
      <c r="C33" s="100">
        <f t="shared" si="6"/>
        <v>16.17121050447</v>
      </c>
      <c r="D33" s="100">
        <f t="shared" si="6"/>
        <v>11.047804614000002</v>
      </c>
      <c r="E33" s="62">
        <f t="shared" si="6"/>
        <v>3.6286044479999995</v>
      </c>
      <c r="F33" s="100">
        <f t="shared" si="6"/>
        <v>3.3511673995800004</v>
      </c>
      <c r="G33" s="100">
        <f t="shared" si="6"/>
        <v>4.3737642900000004</v>
      </c>
      <c r="H33" s="100">
        <f t="shared" si="6"/>
        <v>9.204411457762502</v>
      </c>
      <c r="I33" s="100">
        <f t="shared" si="6"/>
        <v>1.7927573850900003</v>
      </c>
      <c r="J33" s="100">
        <f t="shared" si="6"/>
        <v>0.66375922882500005</v>
      </c>
      <c r="K33" s="100">
        <f t="shared" si="6"/>
        <v>1.4596493368800005</v>
      </c>
      <c r="L33" s="100">
        <f t="shared" si="6"/>
        <v>0.52485171480000015</v>
      </c>
      <c r="M33" s="100">
        <f t="shared" si="6"/>
        <v>0.32473849926000004</v>
      </c>
      <c r="N33" s="47">
        <f>SUM(B33:M33)</f>
        <v>52.67328384228751</v>
      </c>
      <c r="O33" s="33"/>
      <c r="P33" s="33"/>
      <c r="Q33" s="33"/>
      <c r="R33" s="33"/>
      <c r="S33" s="33"/>
      <c r="T33" s="33"/>
    </row>
    <row r="34" spans="1:20" x14ac:dyDescent="0.25">
      <c r="A34" s="41" t="s">
        <v>128</v>
      </c>
      <c r="B34" s="100">
        <f t="shared" ref="B34:M34" si="7">B29*$B$12*B5</f>
        <v>14.629971564600002</v>
      </c>
      <c r="C34" s="100">
        <f t="shared" si="7"/>
        <v>47.954599640640005</v>
      </c>
      <c r="D34" s="100">
        <f t="shared" si="7"/>
        <v>22.110674416110005</v>
      </c>
      <c r="E34" s="100">
        <f t="shared" si="7"/>
        <v>18.2288776131</v>
      </c>
      <c r="F34" s="100">
        <f t="shared" si="7"/>
        <v>239.03431801200003</v>
      </c>
      <c r="G34" s="100">
        <f t="shared" si="7"/>
        <v>134.14497068700001</v>
      </c>
      <c r="H34" s="100">
        <f t="shared" si="7"/>
        <v>95.287314795750007</v>
      </c>
      <c r="I34" s="100">
        <f t="shared" si="7"/>
        <v>86.788456314472498</v>
      </c>
      <c r="J34" s="100">
        <f t="shared" si="7"/>
        <v>75.325940549999999</v>
      </c>
      <c r="K34" s="100">
        <f t="shared" si="7"/>
        <v>7.8338978172000013</v>
      </c>
      <c r="L34" s="100">
        <f t="shared" si="7"/>
        <v>27.700507169999998</v>
      </c>
      <c r="M34" s="100">
        <f t="shared" si="7"/>
        <v>25.538841666029999</v>
      </c>
      <c r="N34" s="47">
        <f>SUM(B34:M34)</f>
        <v>794.57837024690252</v>
      </c>
      <c r="O34" s="33"/>
      <c r="P34" s="33"/>
      <c r="Q34" s="33"/>
      <c r="R34" s="33"/>
      <c r="S34" s="33"/>
      <c r="T34" s="33"/>
    </row>
    <row r="35" spans="1:20" x14ac:dyDescent="0.25">
      <c r="A35" s="52" t="s">
        <v>102</v>
      </c>
      <c r="B35" s="16">
        <f>SUM(B33:B34)</f>
        <v>14.760536528220001</v>
      </c>
      <c r="C35" s="16">
        <f t="shared" ref="C35:N35" si="8">SUM(C33:C34)</f>
        <v>64.125810145110009</v>
      </c>
      <c r="D35" s="16">
        <f t="shared" si="8"/>
        <v>33.158479030110009</v>
      </c>
      <c r="E35" s="16">
        <f t="shared" si="8"/>
        <v>21.857482061100001</v>
      </c>
      <c r="F35" s="16">
        <f t="shared" si="8"/>
        <v>242.38548541158002</v>
      </c>
      <c r="G35" s="16">
        <f t="shared" si="8"/>
        <v>138.51873497700001</v>
      </c>
      <c r="H35" s="16">
        <f t="shared" si="8"/>
        <v>104.49172625351251</v>
      </c>
      <c r="I35" s="16">
        <f t="shared" si="8"/>
        <v>88.581213699562497</v>
      </c>
      <c r="J35" s="16">
        <f t="shared" si="8"/>
        <v>75.989699778824999</v>
      </c>
      <c r="K35" s="16">
        <f t="shared" si="8"/>
        <v>9.2935471540800023</v>
      </c>
      <c r="L35" s="16">
        <f t="shared" si="8"/>
        <v>28.225358884799999</v>
      </c>
      <c r="M35" s="16">
        <f t="shared" si="8"/>
        <v>25.863580165289999</v>
      </c>
      <c r="N35" s="47">
        <f t="shared" si="8"/>
        <v>847.25165408919008</v>
      </c>
      <c r="O35" s="33"/>
      <c r="P35" s="33"/>
      <c r="Q35" s="33"/>
      <c r="R35" s="33"/>
      <c r="S35" s="33"/>
      <c r="T35" s="33"/>
    </row>
    <row r="36" spans="1:20" x14ac:dyDescent="0.25">
      <c r="A36" s="805" t="s">
        <v>1107</v>
      </c>
      <c r="B36" s="100">
        <f>B30*$B$12*B7</f>
        <v>2.6782556640000004</v>
      </c>
      <c r="C36" s="100">
        <f t="shared" ref="C36:M36" si="9">C30*$B$12*C7</f>
        <v>33.823777176</v>
      </c>
      <c r="D36" s="100">
        <f t="shared" si="9"/>
        <v>50.217293700000006</v>
      </c>
      <c r="E36" s="100">
        <f t="shared" si="9"/>
        <v>15.089486800500001</v>
      </c>
      <c r="F36" s="100">
        <f t="shared" si="9"/>
        <v>94.910685092999998</v>
      </c>
      <c r="G36" s="100">
        <f t="shared" si="9"/>
        <v>155.70600872400001</v>
      </c>
      <c r="H36" s="100">
        <f t="shared" si="9"/>
        <v>137.67908022750001</v>
      </c>
      <c r="I36" s="100">
        <f t="shared" si="9"/>
        <v>39.336880065000003</v>
      </c>
      <c r="J36" s="100">
        <f t="shared" si="9"/>
        <v>33.872374557000015</v>
      </c>
      <c r="K36" s="100">
        <f t="shared" si="9"/>
        <v>1.2052150488000002</v>
      </c>
      <c r="L36" s="100">
        <f t="shared" si="9"/>
        <v>32.803232175000005</v>
      </c>
      <c r="M36" s="100">
        <f t="shared" si="9"/>
        <v>26.715600248400005</v>
      </c>
      <c r="N36" s="807">
        <f>SUM(B36:M36)</f>
        <v>624.0378894792002</v>
      </c>
      <c r="O36" s="33"/>
      <c r="P36" s="33"/>
      <c r="Q36" s="33"/>
      <c r="R36" s="33"/>
      <c r="S36" s="33"/>
      <c r="T36" s="33"/>
    </row>
    <row r="37" spans="1:20" x14ac:dyDescent="0.25">
      <c r="A37" s="805" t="s">
        <v>1108</v>
      </c>
      <c r="B37" s="806">
        <f>B35-B36</f>
        <v>12.082280864220001</v>
      </c>
      <c r="C37" s="806">
        <f t="shared" ref="C37:M37" si="10">C35-C36</f>
        <v>30.302032969110009</v>
      </c>
      <c r="D37" s="806">
        <f t="shared" si="10"/>
        <v>-17.058814669889998</v>
      </c>
      <c r="E37" s="806">
        <f t="shared" si="10"/>
        <v>6.7679952605999993</v>
      </c>
      <c r="F37" s="806">
        <f t="shared" si="10"/>
        <v>147.47480031858004</v>
      </c>
      <c r="G37" s="806">
        <f t="shared" si="10"/>
        <v>-17.187273747000006</v>
      </c>
      <c r="H37" s="806">
        <f t="shared" si="10"/>
        <v>-33.187353973987499</v>
      </c>
      <c r="I37" s="806">
        <f t="shared" si="10"/>
        <v>49.244333634562494</v>
      </c>
      <c r="J37" s="806">
        <f t="shared" si="10"/>
        <v>42.117325221824984</v>
      </c>
      <c r="K37" s="806">
        <f t="shared" si="10"/>
        <v>8.0883321052800028</v>
      </c>
      <c r="L37" s="806">
        <f t="shared" si="10"/>
        <v>-4.5778732902000066</v>
      </c>
      <c r="M37" s="806">
        <f t="shared" si="10"/>
        <v>-0.85202008311000554</v>
      </c>
      <c r="N37" s="807">
        <f>SUM(B37:M37)</f>
        <v>223.21376460999002</v>
      </c>
      <c r="O37" s="33"/>
      <c r="P37" s="33"/>
      <c r="Q37" s="33"/>
      <c r="R37" s="33"/>
      <c r="S37" s="33"/>
      <c r="T37" s="33"/>
    </row>
    <row r="38" spans="1:20" x14ac:dyDescent="0.25">
      <c r="A38" s="57"/>
      <c r="B38" s="58"/>
      <c r="C38" s="58"/>
      <c r="D38" s="58"/>
      <c r="E38" s="58"/>
      <c r="F38" s="58"/>
      <c r="G38" s="58"/>
      <c r="H38" s="58"/>
      <c r="I38" s="58"/>
      <c r="J38" s="58"/>
      <c r="K38" s="58"/>
      <c r="L38" s="58"/>
      <c r="M38" s="58"/>
      <c r="N38" s="59"/>
      <c r="O38" s="53"/>
      <c r="P38" s="53"/>
      <c r="Q38" s="53"/>
      <c r="R38" s="53"/>
      <c r="S38" s="33"/>
      <c r="T38" s="33"/>
    </row>
    <row r="39" spans="1:20" ht="22.5" customHeight="1" x14ac:dyDescent="0.25">
      <c r="A39" s="60" t="s">
        <v>74</v>
      </c>
      <c r="B39" s="61" t="s">
        <v>78</v>
      </c>
      <c r="C39" s="61" t="s">
        <v>79</v>
      </c>
      <c r="D39" s="61" t="s">
        <v>80</v>
      </c>
      <c r="E39" s="61" t="s">
        <v>81</v>
      </c>
      <c r="F39" s="61" t="s">
        <v>82</v>
      </c>
      <c r="G39" s="61" t="s">
        <v>83</v>
      </c>
      <c r="H39" s="61" t="s">
        <v>84</v>
      </c>
      <c r="I39" s="61" t="s">
        <v>85</v>
      </c>
      <c r="J39" s="61" t="s">
        <v>86</v>
      </c>
      <c r="K39" s="61" t="s">
        <v>87</v>
      </c>
      <c r="L39" s="61" t="s">
        <v>88</v>
      </c>
      <c r="M39" s="61" t="s">
        <v>89</v>
      </c>
      <c r="N39" s="49" t="s">
        <v>101</v>
      </c>
      <c r="O39" s="46"/>
      <c r="P39" s="46"/>
      <c r="Q39" s="46"/>
      <c r="R39" s="46"/>
      <c r="T39" s="33"/>
    </row>
    <row r="40" spans="1:20" ht="13" x14ac:dyDescent="0.3">
      <c r="A40" s="41" t="s">
        <v>127</v>
      </c>
      <c r="B40" s="73">
        <v>4</v>
      </c>
      <c r="C40" s="73">
        <v>15</v>
      </c>
      <c r="D40" s="62">
        <v>4</v>
      </c>
      <c r="E40" s="62">
        <v>6.4</v>
      </c>
      <c r="F40" s="62">
        <v>6</v>
      </c>
      <c r="G40" s="62">
        <v>27.6</v>
      </c>
      <c r="H40" s="62">
        <v>19</v>
      </c>
      <c r="I40" s="62">
        <v>88.5</v>
      </c>
      <c r="J40" s="62">
        <v>25.1</v>
      </c>
      <c r="K40" s="73">
        <v>12.6</v>
      </c>
      <c r="L40" s="73">
        <v>4</v>
      </c>
      <c r="M40" s="73">
        <v>4</v>
      </c>
      <c r="N40" s="15">
        <f>AVERAGE(B40:M40)</f>
        <v>18.016666666666666</v>
      </c>
      <c r="O40" s="63"/>
      <c r="P40" s="63"/>
      <c r="Q40" s="63"/>
      <c r="R40" s="63"/>
      <c r="T40" s="33"/>
    </row>
    <row r="41" spans="1:20" ht="13" x14ac:dyDescent="0.3">
      <c r="A41" s="41" t="s">
        <v>130</v>
      </c>
      <c r="B41" s="73">
        <v>10.4</v>
      </c>
      <c r="C41" s="73">
        <v>6.8</v>
      </c>
      <c r="D41" s="73">
        <v>8.1999999999999993</v>
      </c>
      <c r="E41" s="73">
        <v>6</v>
      </c>
      <c r="F41" s="73">
        <v>23.4</v>
      </c>
      <c r="G41" s="73">
        <v>10.6</v>
      </c>
      <c r="H41" s="73">
        <v>23.4</v>
      </c>
      <c r="I41" s="73">
        <v>8</v>
      </c>
      <c r="J41" s="73">
        <v>15.2</v>
      </c>
      <c r="K41" s="73">
        <v>6.6</v>
      </c>
      <c r="L41" s="73">
        <v>7.8</v>
      </c>
      <c r="M41" s="73">
        <v>4</v>
      </c>
      <c r="N41" s="15">
        <f>AVERAGE(B41:M41)</f>
        <v>10.866666666666665</v>
      </c>
      <c r="O41" s="64"/>
      <c r="P41" s="64"/>
      <c r="Q41" s="64"/>
      <c r="R41" s="64"/>
      <c r="T41" s="33"/>
    </row>
    <row r="42" spans="1:20" x14ac:dyDescent="0.25">
      <c r="A42" s="42"/>
      <c r="B42" s="33"/>
      <c r="C42" s="33"/>
      <c r="D42" s="33"/>
      <c r="E42" s="33"/>
      <c r="F42" s="33"/>
      <c r="G42" s="33"/>
      <c r="H42" s="33"/>
      <c r="I42" s="33"/>
      <c r="J42" s="33"/>
      <c r="K42" s="33"/>
      <c r="L42" s="33"/>
      <c r="M42" s="33"/>
      <c r="N42" s="65"/>
      <c r="O42" s="33"/>
      <c r="P42" s="33"/>
      <c r="Q42" s="33"/>
      <c r="R42" s="33"/>
      <c r="S42" s="33"/>
      <c r="T42" s="33"/>
    </row>
    <row r="43" spans="1:20" x14ac:dyDescent="0.25">
      <c r="A43" s="60" t="s">
        <v>125</v>
      </c>
      <c r="B43" s="49" t="s">
        <v>78</v>
      </c>
      <c r="C43" s="49" t="s">
        <v>79</v>
      </c>
      <c r="D43" s="49" t="s">
        <v>80</v>
      </c>
      <c r="E43" s="49" t="s">
        <v>81</v>
      </c>
      <c r="F43" s="49" t="s">
        <v>82</v>
      </c>
      <c r="G43" s="49" t="s">
        <v>83</v>
      </c>
      <c r="H43" s="49" t="s">
        <v>84</v>
      </c>
      <c r="I43" s="49" t="s">
        <v>85</v>
      </c>
      <c r="J43" s="49" t="s">
        <v>86</v>
      </c>
      <c r="K43" s="49" t="s">
        <v>87</v>
      </c>
      <c r="L43" s="49" t="s">
        <v>88</v>
      </c>
      <c r="M43" s="49" t="s">
        <v>89</v>
      </c>
      <c r="N43" s="15" t="s">
        <v>513</v>
      </c>
      <c r="O43" s="33"/>
      <c r="P43" s="33"/>
      <c r="Q43" s="33"/>
      <c r="R43" s="33"/>
      <c r="S43" s="33"/>
      <c r="T43" s="33"/>
    </row>
    <row r="44" spans="1:20" x14ac:dyDescent="0.25">
      <c r="A44" s="41" t="s">
        <v>129</v>
      </c>
      <c r="B44" s="50">
        <f t="shared" ref="B44:M44" si="11">B40*$B$12*$B4*1000</f>
        <v>261.12992724000009</v>
      </c>
      <c r="C44" s="50">
        <f t="shared" si="11"/>
        <v>979.23722715000019</v>
      </c>
      <c r="D44" s="50">
        <f t="shared" si="11"/>
        <v>261.12992724000009</v>
      </c>
      <c r="E44" s="50">
        <f t="shared" si="11"/>
        <v>417.80788358400008</v>
      </c>
      <c r="F44" s="50">
        <f t="shared" si="11"/>
        <v>391.6948908600001</v>
      </c>
      <c r="G44" s="50">
        <f t="shared" si="11"/>
        <v>1801.7964979560004</v>
      </c>
      <c r="H44" s="50">
        <f t="shared" si="11"/>
        <v>1240.3671543900005</v>
      </c>
      <c r="I44" s="50">
        <f t="shared" si="11"/>
        <v>5777.4996401850012</v>
      </c>
      <c r="J44" s="50">
        <f t="shared" si="11"/>
        <v>1638.5902934310006</v>
      </c>
      <c r="K44" s="50">
        <f t="shared" si="11"/>
        <v>822.55927080600009</v>
      </c>
      <c r="L44" s="50">
        <f t="shared" si="11"/>
        <v>261.12992724000009</v>
      </c>
      <c r="M44" s="50">
        <f t="shared" si="11"/>
        <v>261.12992724000009</v>
      </c>
      <c r="N44" s="47">
        <f>SUM(B44:M44)</f>
        <v>14114.072567322</v>
      </c>
      <c r="O44" s="38"/>
      <c r="P44" s="33"/>
      <c r="Q44" s="33"/>
      <c r="R44" s="33"/>
      <c r="S44" s="33"/>
      <c r="T44" s="33"/>
    </row>
    <row r="45" spans="1:20" x14ac:dyDescent="0.25">
      <c r="A45" s="41" t="s">
        <v>128</v>
      </c>
      <c r="B45" s="50">
        <f t="shared" ref="B45:M45" si="12">B41*$B$12*$B5*1000</f>
        <v>4003.9922176800005</v>
      </c>
      <c r="C45" s="50">
        <f t="shared" si="12"/>
        <v>2617.9949115600002</v>
      </c>
      <c r="D45" s="50">
        <f t="shared" si="12"/>
        <v>3156.9938639399998</v>
      </c>
      <c r="E45" s="50">
        <f t="shared" si="12"/>
        <v>2309.9955102000004</v>
      </c>
      <c r="F45" s="50">
        <f t="shared" si="12"/>
        <v>9008.9824897800008</v>
      </c>
      <c r="G45" s="50">
        <f t="shared" si="12"/>
        <v>4080.9920680200003</v>
      </c>
      <c r="H45" s="50">
        <f t="shared" si="12"/>
        <v>9008.9824897800008</v>
      </c>
      <c r="I45" s="50">
        <f t="shared" si="12"/>
        <v>3079.9940136000005</v>
      </c>
      <c r="J45" s="50">
        <f t="shared" si="12"/>
        <v>5851.9886258400002</v>
      </c>
      <c r="K45" s="50">
        <f t="shared" si="12"/>
        <v>2540.99506122</v>
      </c>
      <c r="L45" s="50">
        <f t="shared" si="12"/>
        <v>3002.9941632600003</v>
      </c>
      <c r="M45" s="50">
        <f t="shared" si="12"/>
        <v>1539.9970068000002</v>
      </c>
      <c r="N45" s="47">
        <f>SUM(B45:M45)</f>
        <v>50203.902421680003</v>
      </c>
      <c r="O45" s="33"/>
      <c r="P45" s="33"/>
      <c r="Q45" s="33"/>
      <c r="R45" s="33"/>
      <c r="S45" s="33"/>
      <c r="T45" s="33"/>
    </row>
    <row r="46" spans="1:20" x14ac:dyDescent="0.25">
      <c r="A46" s="52" t="s">
        <v>102</v>
      </c>
      <c r="B46" s="47">
        <f>SUM(B44:B45)</f>
        <v>4265.1221449200002</v>
      </c>
      <c r="C46" s="47">
        <f t="shared" ref="C46:N46" si="13">SUM(C44:C45)</f>
        <v>3597.2321387100005</v>
      </c>
      <c r="D46" s="47">
        <f t="shared" si="13"/>
        <v>3418.1237911799999</v>
      </c>
      <c r="E46" s="47">
        <f t="shared" si="13"/>
        <v>2727.8033937840005</v>
      </c>
      <c r="F46" s="47">
        <f t="shared" si="13"/>
        <v>9400.6773806400015</v>
      </c>
      <c r="G46" s="47">
        <f t="shared" si="13"/>
        <v>5882.7885659760004</v>
      </c>
      <c r="H46" s="47">
        <f t="shared" si="13"/>
        <v>10249.349644170001</v>
      </c>
      <c r="I46" s="47">
        <f t="shared" si="13"/>
        <v>8857.4936537850008</v>
      </c>
      <c r="J46" s="47">
        <f t="shared" si="13"/>
        <v>7490.5789192710008</v>
      </c>
      <c r="K46" s="47">
        <f t="shared" si="13"/>
        <v>3363.5543320260003</v>
      </c>
      <c r="L46" s="47">
        <f t="shared" si="13"/>
        <v>3264.1240905000004</v>
      </c>
      <c r="M46" s="47">
        <f t="shared" si="13"/>
        <v>1801.1269340400004</v>
      </c>
      <c r="N46" s="47">
        <f t="shared" si="13"/>
        <v>64317.974989002003</v>
      </c>
      <c r="O46" s="33"/>
      <c r="P46" s="33"/>
      <c r="Q46" s="33"/>
      <c r="R46" s="33"/>
      <c r="S46" s="33"/>
      <c r="T46" s="33"/>
    </row>
    <row r="47" spans="1:20" x14ac:dyDescent="0.25">
      <c r="A47" s="42"/>
      <c r="B47" s="33"/>
      <c r="C47" s="33"/>
      <c r="D47" s="33"/>
      <c r="E47" s="33"/>
      <c r="F47" s="33"/>
      <c r="G47" s="33"/>
      <c r="H47" s="33"/>
      <c r="I47" s="33"/>
      <c r="J47" s="33"/>
      <c r="K47" s="33"/>
      <c r="L47" s="33"/>
      <c r="M47" s="33"/>
      <c r="N47" s="33"/>
      <c r="O47" s="33"/>
      <c r="P47" s="33"/>
      <c r="Q47" s="33"/>
      <c r="R47" s="33"/>
      <c r="S47" s="33"/>
      <c r="T47" s="33"/>
    </row>
    <row r="48" spans="1:20" x14ac:dyDescent="0.25">
      <c r="A48" s="42"/>
      <c r="B48" s="33"/>
      <c r="C48" s="33"/>
      <c r="D48" s="33"/>
      <c r="E48" s="33"/>
      <c r="F48" s="33"/>
      <c r="G48" s="33"/>
      <c r="H48" s="33"/>
      <c r="I48" s="33"/>
      <c r="J48" s="33"/>
      <c r="K48" s="33"/>
      <c r="L48" s="33"/>
      <c r="M48" s="33"/>
      <c r="N48" s="33"/>
      <c r="O48" s="33"/>
      <c r="P48" s="33"/>
      <c r="Q48" s="33"/>
      <c r="R48" s="33"/>
      <c r="S48" s="33"/>
      <c r="T48" s="33"/>
    </row>
    <row r="49" spans="1:20" x14ac:dyDescent="0.25">
      <c r="A49" s="42"/>
      <c r="B49" s="33"/>
      <c r="C49" s="33"/>
      <c r="D49" s="33"/>
      <c r="E49" s="33"/>
      <c r="F49" s="33"/>
      <c r="G49" s="33"/>
      <c r="H49" s="33"/>
      <c r="I49" s="33"/>
      <c r="J49" s="33"/>
      <c r="K49" s="33"/>
      <c r="L49" s="33"/>
      <c r="M49" s="33"/>
      <c r="N49" s="33"/>
      <c r="O49" s="33"/>
      <c r="P49" s="33"/>
      <c r="Q49" s="33"/>
      <c r="R49" s="33"/>
      <c r="S49" s="33"/>
      <c r="T49" s="33"/>
    </row>
    <row r="50" spans="1:20" x14ac:dyDescent="0.25">
      <c r="A50" s="42"/>
      <c r="B50" s="33"/>
      <c r="C50" s="33"/>
      <c r="D50" s="33"/>
      <c r="E50" s="33"/>
      <c r="F50" s="33"/>
      <c r="G50" s="33"/>
      <c r="H50" s="33"/>
      <c r="I50" s="33"/>
      <c r="J50" s="33"/>
      <c r="K50" s="33"/>
      <c r="L50" s="33"/>
      <c r="M50" s="33"/>
      <c r="N50" s="33"/>
      <c r="O50" s="33"/>
      <c r="P50" s="33"/>
      <c r="Q50" s="33"/>
      <c r="R50" s="33"/>
      <c r="S50" s="33"/>
      <c r="T50" s="33"/>
    </row>
    <row r="51" spans="1:20" x14ac:dyDescent="0.25">
      <c r="A51" s="42"/>
      <c r="B51" s="33"/>
      <c r="C51" s="33"/>
      <c r="D51" s="33"/>
      <c r="E51" s="33"/>
      <c r="F51" s="33"/>
      <c r="G51" s="33"/>
      <c r="H51" s="33"/>
      <c r="I51" s="33"/>
      <c r="J51" s="33"/>
      <c r="K51" s="33"/>
      <c r="L51" s="33"/>
      <c r="M51" s="33"/>
      <c r="N51" s="33"/>
      <c r="O51" s="33"/>
      <c r="P51" s="33"/>
      <c r="Q51" s="33"/>
      <c r="R51" s="33"/>
      <c r="S51" s="33"/>
      <c r="T51" s="33"/>
    </row>
    <row r="52" spans="1:20" x14ac:dyDescent="0.25">
      <c r="A52" s="42"/>
      <c r="B52" s="33"/>
      <c r="C52" s="33"/>
      <c r="D52" s="33"/>
      <c r="E52" s="33"/>
      <c r="F52" s="33"/>
      <c r="G52" s="33"/>
      <c r="H52" s="33"/>
      <c r="I52" s="33"/>
      <c r="J52" s="33"/>
      <c r="K52" s="33"/>
      <c r="L52" s="33"/>
      <c r="M52" s="33"/>
      <c r="N52" s="33"/>
      <c r="O52" s="33"/>
      <c r="P52" s="33"/>
      <c r="Q52" s="33"/>
      <c r="R52" s="33"/>
      <c r="S52" s="33"/>
      <c r="T52" s="33"/>
    </row>
    <row r="53" spans="1:20" x14ac:dyDescent="0.25">
      <c r="A53" s="42"/>
      <c r="B53" s="33"/>
      <c r="C53" s="33"/>
      <c r="D53" s="33"/>
      <c r="E53" s="33"/>
      <c r="F53" s="33"/>
      <c r="G53" s="33"/>
      <c r="H53" s="33"/>
      <c r="I53" s="33"/>
      <c r="J53" s="33"/>
      <c r="K53" s="33"/>
      <c r="L53" s="33"/>
      <c r="M53" s="33"/>
      <c r="N53" s="33"/>
      <c r="O53" s="33"/>
      <c r="P53" s="33"/>
      <c r="Q53" s="33"/>
      <c r="R53" s="33"/>
      <c r="S53" s="33"/>
      <c r="T53" s="33"/>
    </row>
    <row r="54" spans="1:20" x14ac:dyDescent="0.25">
      <c r="A54" s="42"/>
      <c r="B54" s="33"/>
      <c r="C54" s="33"/>
      <c r="D54" s="33"/>
      <c r="E54" s="33"/>
      <c r="F54" s="33"/>
      <c r="G54" s="33"/>
      <c r="H54" s="33"/>
      <c r="I54" s="33"/>
      <c r="J54" s="33"/>
      <c r="K54" s="33"/>
      <c r="L54" s="33"/>
      <c r="M54" s="33"/>
      <c r="N54" s="33"/>
      <c r="O54" s="33"/>
      <c r="P54" s="33"/>
      <c r="Q54" s="33"/>
      <c r="R54" s="33"/>
      <c r="S54" s="33"/>
      <c r="T54" s="33"/>
    </row>
    <row r="55" spans="1:20" x14ac:dyDescent="0.25">
      <c r="A55" s="42"/>
      <c r="B55" s="33"/>
      <c r="C55" s="33"/>
      <c r="D55" s="33"/>
      <c r="E55" s="33"/>
      <c r="F55" s="33"/>
      <c r="G55" s="33"/>
      <c r="H55" s="33"/>
      <c r="I55" s="33"/>
      <c r="J55" s="33"/>
      <c r="K55" s="33"/>
      <c r="L55" s="33"/>
      <c r="M55" s="33"/>
      <c r="N55" s="33"/>
      <c r="O55" s="33"/>
      <c r="P55" s="33"/>
      <c r="Q55" s="33"/>
      <c r="R55" s="33"/>
      <c r="S55" s="33"/>
      <c r="T55" s="33"/>
    </row>
    <row r="56" spans="1:20" x14ac:dyDescent="0.25">
      <c r="A56" s="42"/>
      <c r="B56" s="33"/>
      <c r="C56" s="33"/>
      <c r="D56" s="33"/>
      <c r="E56" s="33"/>
      <c r="F56" s="33"/>
      <c r="G56" s="33"/>
      <c r="H56" s="33"/>
      <c r="I56" s="33"/>
      <c r="J56" s="33"/>
      <c r="K56" s="33"/>
      <c r="L56" s="33"/>
      <c r="M56" s="33"/>
      <c r="N56" s="33"/>
      <c r="O56" s="33"/>
      <c r="P56" s="33"/>
      <c r="Q56" s="33"/>
      <c r="R56" s="33"/>
      <c r="S56" s="33"/>
      <c r="T56" s="33"/>
    </row>
    <row r="57" spans="1:20" x14ac:dyDescent="0.25">
      <c r="A57" s="42"/>
      <c r="B57" s="33"/>
      <c r="C57" s="33"/>
      <c r="D57" s="33"/>
      <c r="E57" s="33"/>
      <c r="F57" s="33"/>
      <c r="G57" s="33"/>
      <c r="H57" s="33"/>
      <c r="I57" s="33"/>
      <c r="J57" s="33"/>
      <c r="K57" s="33"/>
      <c r="L57" s="33"/>
      <c r="M57" s="33"/>
      <c r="N57" s="33"/>
      <c r="O57" s="33"/>
      <c r="P57" s="33"/>
      <c r="Q57" s="33"/>
      <c r="R57" s="33"/>
      <c r="S57" s="33"/>
      <c r="T57" s="33"/>
    </row>
    <row r="58" spans="1:20" x14ac:dyDescent="0.25">
      <c r="A58" s="42"/>
      <c r="B58" s="33"/>
      <c r="C58" s="33"/>
      <c r="D58" s="33"/>
      <c r="E58" s="33"/>
      <c r="F58" s="33"/>
      <c r="G58" s="33"/>
      <c r="H58" s="33"/>
      <c r="I58" s="33"/>
      <c r="J58" s="33"/>
      <c r="K58" s="33"/>
      <c r="L58" s="33"/>
      <c r="M58" s="33"/>
      <c r="N58" s="33"/>
      <c r="O58" s="33"/>
      <c r="P58" s="33"/>
      <c r="Q58" s="33"/>
      <c r="R58" s="33"/>
      <c r="S58" s="33"/>
      <c r="T58" s="33"/>
    </row>
    <row r="59" spans="1:20" x14ac:dyDescent="0.25">
      <c r="A59" s="42"/>
      <c r="B59" s="33"/>
      <c r="C59" s="33"/>
      <c r="D59" s="33"/>
      <c r="E59" s="33"/>
      <c r="F59" s="33"/>
      <c r="G59" s="33"/>
      <c r="H59" s="33"/>
      <c r="I59" s="33"/>
      <c r="J59" s="33"/>
      <c r="K59" s="33"/>
      <c r="L59" s="33"/>
      <c r="M59" s="33"/>
      <c r="N59" s="33"/>
      <c r="O59" s="33"/>
      <c r="P59" s="33"/>
      <c r="Q59" s="33"/>
      <c r="R59" s="33"/>
      <c r="S59" s="33"/>
      <c r="T59" s="33"/>
    </row>
    <row r="60" spans="1:20" x14ac:dyDescent="0.25">
      <c r="A60" s="42"/>
      <c r="B60" s="33"/>
      <c r="C60" s="33"/>
      <c r="D60" s="33"/>
      <c r="E60" s="33"/>
      <c r="F60" s="33"/>
      <c r="G60" s="33"/>
      <c r="H60" s="33"/>
      <c r="I60" s="33"/>
      <c r="J60" s="33"/>
      <c r="K60" s="33"/>
      <c r="L60" s="33"/>
      <c r="M60" s="33"/>
      <c r="N60" s="33"/>
      <c r="O60" s="33"/>
      <c r="P60" s="33"/>
      <c r="Q60" s="33"/>
      <c r="R60" s="33"/>
      <c r="S60" s="33"/>
      <c r="T60" s="33"/>
    </row>
    <row r="61" spans="1:20" x14ac:dyDescent="0.25">
      <c r="A61" s="42"/>
      <c r="B61" s="33"/>
      <c r="C61" s="33"/>
      <c r="D61" s="33"/>
      <c r="E61" s="33"/>
      <c r="F61" s="33"/>
      <c r="G61" s="33"/>
      <c r="H61" s="33"/>
      <c r="I61" s="33"/>
      <c r="J61" s="33"/>
      <c r="K61" s="33"/>
      <c r="L61" s="33"/>
      <c r="M61" s="33"/>
      <c r="N61" s="33"/>
      <c r="O61" s="33"/>
      <c r="P61" s="33"/>
      <c r="Q61" s="33"/>
      <c r="R61" s="33"/>
      <c r="S61" s="33"/>
      <c r="T61" s="33"/>
    </row>
  </sheetData>
  <mergeCells count="2">
    <mergeCell ref="A1:N1"/>
    <mergeCell ref="B2:M2"/>
  </mergeCells>
  <phoneticPr fontId="8" type="noConversion"/>
  <pageMargins left="0.75" right="0.75" top="1" bottom="1" header="0.5" footer="0.5"/>
  <pageSetup orientation="landscape" horizontalDpi="4294967294"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65"/>
  <sheetViews>
    <sheetView topLeftCell="A10" workbookViewId="0">
      <selection activeCell="W62" sqref="W62"/>
    </sheetView>
  </sheetViews>
  <sheetFormatPr defaultRowHeight="12.5" x14ac:dyDescent="0.25"/>
  <cols>
    <col min="1" max="1" width="8.36328125" bestFit="1" customWidth="1"/>
    <col min="2" max="2" width="6.54296875" bestFit="1" customWidth="1"/>
    <col min="3" max="7" width="7" bestFit="1" customWidth="1"/>
    <col min="8" max="9" width="6.54296875" bestFit="1" customWidth="1"/>
    <col min="10" max="11" width="5.54296875" bestFit="1" customWidth="1"/>
    <col min="12" max="12" width="6" bestFit="1" customWidth="1"/>
    <col min="13" max="14" width="5.54296875" bestFit="1" customWidth="1"/>
    <col min="15" max="15" width="8" customWidth="1"/>
    <col min="16" max="16" width="7.6328125" customWidth="1"/>
  </cols>
  <sheetData>
    <row r="1" spans="1:23" ht="13" x14ac:dyDescent="0.3">
      <c r="A1" s="831" t="s">
        <v>46</v>
      </c>
      <c r="B1" s="831"/>
      <c r="C1" s="831"/>
      <c r="D1" s="831"/>
      <c r="E1" s="831"/>
      <c r="F1" s="831"/>
      <c r="G1" s="831"/>
      <c r="H1" s="831"/>
      <c r="I1" s="831"/>
      <c r="J1" s="831"/>
      <c r="K1" s="831"/>
      <c r="L1" s="831"/>
      <c r="M1" s="831"/>
      <c r="N1" s="831"/>
    </row>
    <row r="2" spans="1:23" x14ac:dyDescent="0.25">
      <c r="B2" s="66">
        <v>1988</v>
      </c>
      <c r="C2" s="66">
        <v>1991</v>
      </c>
      <c r="D2" s="66">
        <v>1992</v>
      </c>
      <c r="E2" s="66">
        <v>1993</v>
      </c>
      <c r="F2" s="66">
        <v>1994</v>
      </c>
      <c r="G2" s="66">
        <v>1995</v>
      </c>
      <c r="H2" s="66">
        <v>1996</v>
      </c>
      <c r="I2" s="66">
        <v>1997</v>
      </c>
      <c r="J2" s="66">
        <v>1998</v>
      </c>
      <c r="K2" s="66">
        <v>1999</v>
      </c>
      <c r="L2" s="66">
        <v>2000</v>
      </c>
      <c r="M2" s="66">
        <v>2001</v>
      </c>
      <c r="N2" s="66">
        <v>2002</v>
      </c>
      <c r="O2" s="66">
        <v>2003</v>
      </c>
      <c r="P2" s="66">
        <v>2004</v>
      </c>
      <c r="Q2" s="66">
        <v>2005</v>
      </c>
      <c r="R2" s="66">
        <v>2006</v>
      </c>
      <c r="S2" s="66">
        <v>2007</v>
      </c>
      <c r="T2" s="66">
        <v>2008</v>
      </c>
      <c r="U2" s="66">
        <v>2009</v>
      </c>
      <c r="V2" s="66">
        <v>2010</v>
      </c>
      <c r="W2" s="66">
        <v>2011</v>
      </c>
    </row>
    <row r="3" spans="1:23" x14ac:dyDescent="0.25">
      <c r="A3" s="66" t="s">
        <v>38</v>
      </c>
      <c r="B3">
        <v>166</v>
      </c>
      <c r="C3">
        <v>184.16</v>
      </c>
      <c r="D3">
        <v>162.26</v>
      </c>
      <c r="E3">
        <v>167.91</v>
      </c>
      <c r="F3">
        <v>87.03</v>
      </c>
      <c r="G3">
        <v>40.909999999999997</v>
      </c>
      <c r="H3" s="6">
        <v>29.44</v>
      </c>
      <c r="I3" s="6">
        <v>37.700000000000003</v>
      </c>
      <c r="J3">
        <v>36.6</v>
      </c>
      <c r="K3">
        <v>41.6</v>
      </c>
      <c r="L3">
        <v>60</v>
      </c>
      <c r="M3">
        <v>49.8</v>
      </c>
      <c r="N3">
        <v>50.2</v>
      </c>
      <c r="O3">
        <v>49.5</v>
      </c>
      <c r="P3">
        <v>31.9</v>
      </c>
      <c r="Q3">
        <v>39.200000000000003</v>
      </c>
      <c r="R3">
        <v>24</v>
      </c>
      <c r="S3">
        <v>30.7</v>
      </c>
      <c r="T3">
        <v>50.6</v>
      </c>
      <c r="U3">
        <v>34.799999999999997</v>
      </c>
      <c r="V3">
        <v>33.6</v>
      </c>
      <c r="W3">
        <v>40.799999999999997</v>
      </c>
    </row>
    <row r="4" spans="1:23" x14ac:dyDescent="0.25">
      <c r="A4" s="66" t="s">
        <v>39</v>
      </c>
      <c r="B4" s="6">
        <v>255.14285714285714</v>
      </c>
      <c r="C4">
        <v>349.27</v>
      </c>
      <c r="D4">
        <v>266.27</v>
      </c>
      <c r="E4">
        <v>442.5</v>
      </c>
      <c r="F4">
        <v>348.74</v>
      </c>
      <c r="G4">
        <v>492.7</v>
      </c>
      <c r="H4" s="6">
        <v>577.75</v>
      </c>
      <c r="I4" s="6">
        <v>393</v>
      </c>
      <c r="J4" s="67">
        <v>358</v>
      </c>
      <c r="K4" s="67">
        <v>402</v>
      </c>
      <c r="L4">
        <v>441</v>
      </c>
      <c r="M4">
        <v>387</v>
      </c>
      <c r="N4">
        <v>282</v>
      </c>
      <c r="O4">
        <v>266</v>
      </c>
      <c r="P4">
        <v>247</v>
      </c>
      <c r="Q4">
        <v>207</v>
      </c>
      <c r="R4">
        <v>153</v>
      </c>
      <c r="S4">
        <v>229</v>
      </c>
      <c r="T4">
        <v>232</v>
      </c>
      <c r="U4">
        <v>267</v>
      </c>
      <c r="V4">
        <v>254</v>
      </c>
      <c r="W4">
        <v>172</v>
      </c>
    </row>
    <row r="5" spans="1:23" x14ac:dyDescent="0.25">
      <c r="A5" s="66" t="s">
        <v>40</v>
      </c>
      <c r="B5" s="6">
        <v>7.4714285714285706</v>
      </c>
      <c r="C5">
        <v>21.22</v>
      </c>
      <c r="D5">
        <v>19.010000000000002</v>
      </c>
      <c r="E5">
        <v>8.9</v>
      </c>
      <c r="F5">
        <v>20.43</v>
      </c>
      <c r="G5">
        <v>5.09</v>
      </c>
      <c r="H5" s="6">
        <v>17.100000000000001</v>
      </c>
      <c r="I5" s="6">
        <v>8.1999999999999993</v>
      </c>
      <c r="J5">
        <v>4.3</v>
      </c>
      <c r="K5">
        <v>5.8</v>
      </c>
      <c r="L5">
        <v>14.1</v>
      </c>
      <c r="M5">
        <v>24.6</v>
      </c>
      <c r="N5">
        <v>15.4</v>
      </c>
      <c r="O5">
        <v>14.8</v>
      </c>
      <c r="P5">
        <v>6.6</v>
      </c>
      <c r="Q5">
        <v>15.5</v>
      </c>
      <c r="R5">
        <v>9.1</v>
      </c>
      <c r="S5">
        <v>9.3000000000000007</v>
      </c>
      <c r="T5">
        <v>17.3</v>
      </c>
      <c r="U5">
        <v>12.5</v>
      </c>
      <c r="V5">
        <v>10.6</v>
      </c>
      <c r="W5">
        <v>10.8</v>
      </c>
    </row>
    <row r="6" spans="1:23" x14ac:dyDescent="0.25">
      <c r="A6" s="66" t="s">
        <v>41</v>
      </c>
      <c r="B6">
        <v>14</v>
      </c>
      <c r="C6">
        <v>69.67</v>
      </c>
      <c r="D6">
        <v>65.67</v>
      </c>
      <c r="E6">
        <v>32</v>
      </c>
      <c r="F6">
        <v>69.5</v>
      </c>
      <c r="G6">
        <v>36.85</v>
      </c>
      <c r="H6" s="6">
        <v>97.3</v>
      </c>
      <c r="I6" s="6">
        <v>31.7</v>
      </c>
      <c r="J6">
        <v>41.3</v>
      </c>
      <c r="K6">
        <v>36.700000000000003</v>
      </c>
      <c r="L6">
        <v>104.9</v>
      </c>
      <c r="M6">
        <v>69.7</v>
      </c>
      <c r="N6">
        <v>43.7</v>
      </c>
      <c r="O6">
        <v>37.700000000000003</v>
      </c>
      <c r="P6">
        <v>15.2</v>
      </c>
      <c r="Q6">
        <v>75.5</v>
      </c>
      <c r="R6">
        <v>28.7</v>
      </c>
      <c r="S6">
        <v>50.8</v>
      </c>
      <c r="T6">
        <v>73.900000000000006</v>
      </c>
      <c r="U6">
        <v>80.400000000000006</v>
      </c>
      <c r="V6">
        <v>24.1</v>
      </c>
      <c r="W6">
        <v>17.399999999999999</v>
      </c>
    </row>
    <row r="7" spans="1:23" x14ac:dyDescent="0.25">
      <c r="A7" s="66" t="s">
        <v>36</v>
      </c>
      <c r="B7">
        <v>1.625</v>
      </c>
      <c r="C7">
        <v>2.17</v>
      </c>
      <c r="D7">
        <v>2.1</v>
      </c>
      <c r="E7">
        <v>2.84</v>
      </c>
      <c r="F7">
        <v>1.79</v>
      </c>
      <c r="G7">
        <v>2.14</v>
      </c>
      <c r="H7" s="6">
        <v>2.5125000000000002</v>
      </c>
      <c r="I7" s="6">
        <v>1.7</v>
      </c>
      <c r="J7">
        <v>1.8</v>
      </c>
      <c r="K7">
        <v>1.8</v>
      </c>
      <c r="L7">
        <v>2.4</v>
      </c>
      <c r="M7">
        <v>2.2999999999999998</v>
      </c>
      <c r="N7">
        <v>3</v>
      </c>
      <c r="O7">
        <v>1.7</v>
      </c>
      <c r="P7">
        <v>2.6</v>
      </c>
      <c r="Q7">
        <v>2.1</v>
      </c>
      <c r="R7">
        <v>2.4</v>
      </c>
      <c r="S7">
        <v>1.7</v>
      </c>
      <c r="T7">
        <v>2.4</v>
      </c>
      <c r="U7">
        <v>2.7</v>
      </c>
      <c r="V7">
        <v>1.7</v>
      </c>
      <c r="W7">
        <v>2.2000000000000002</v>
      </c>
    </row>
    <row r="10" spans="1:23" ht="13" x14ac:dyDescent="0.3">
      <c r="A10" s="831" t="s">
        <v>42</v>
      </c>
      <c r="B10" s="831"/>
      <c r="C10" s="831"/>
      <c r="D10" s="831"/>
      <c r="E10" s="831"/>
      <c r="F10" s="831"/>
      <c r="G10" s="831"/>
      <c r="H10" s="831"/>
      <c r="I10" s="831"/>
      <c r="J10" s="831"/>
      <c r="K10" s="831"/>
      <c r="L10" s="831"/>
      <c r="M10" s="831"/>
      <c r="N10" s="831"/>
    </row>
    <row r="11" spans="1:23" x14ac:dyDescent="0.25">
      <c r="C11" s="66">
        <v>1991</v>
      </c>
      <c r="D11" s="66">
        <v>1992</v>
      </c>
      <c r="E11" s="66">
        <v>1993</v>
      </c>
      <c r="F11" s="66">
        <v>1994</v>
      </c>
      <c r="G11" s="66">
        <v>1995</v>
      </c>
      <c r="H11" s="66">
        <v>1996</v>
      </c>
      <c r="I11" s="66">
        <v>1997</v>
      </c>
      <c r="J11" s="66">
        <v>1998</v>
      </c>
      <c r="K11" s="66">
        <v>1999</v>
      </c>
      <c r="L11" s="66">
        <v>2000</v>
      </c>
      <c r="M11" s="66">
        <v>2001</v>
      </c>
      <c r="N11" s="66">
        <v>2002</v>
      </c>
      <c r="O11" s="66">
        <v>2003</v>
      </c>
      <c r="P11" s="66">
        <v>2004</v>
      </c>
      <c r="Q11" s="66">
        <v>2005</v>
      </c>
      <c r="R11" s="66">
        <v>2006</v>
      </c>
      <c r="S11" s="66">
        <v>2007</v>
      </c>
      <c r="T11" s="66">
        <v>2008</v>
      </c>
      <c r="U11" s="66">
        <v>2009</v>
      </c>
      <c r="V11" s="66">
        <v>2010</v>
      </c>
      <c r="W11" s="66">
        <v>2011</v>
      </c>
    </row>
    <row r="12" spans="1:23" x14ac:dyDescent="0.25">
      <c r="A12" s="66" t="s">
        <v>38</v>
      </c>
      <c r="C12">
        <v>191.83</v>
      </c>
      <c r="D12">
        <v>181.66</v>
      </c>
      <c r="E12">
        <v>206.9</v>
      </c>
      <c r="F12">
        <v>92.27</v>
      </c>
      <c r="G12">
        <v>58.4</v>
      </c>
      <c r="H12">
        <v>30.9</v>
      </c>
      <c r="I12">
        <v>39</v>
      </c>
      <c r="J12" s="6">
        <v>35</v>
      </c>
      <c r="K12" s="6">
        <v>46.4</v>
      </c>
      <c r="L12">
        <v>42.4</v>
      </c>
      <c r="M12">
        <v>62.2</v>
      </c>
      <c r="N12">
        <v>51</v>
      </c>
      <c r="O12">
        <v>62.4</v>
      </c>
      <c r="P12">
        <v>40.299999999999997</v>
      </c>
      <c r="Q12">
        <v>45.8</v>
      </c>
      <c r="R12">
        <v>25.5</v>
      </c>
      <c r="S12">
        <v>28.6</v>
      </c>
      <c r="T12">
        <v>61.4</v>
      </c>
      <c r="U12">
        <v>49.1</v>
      </c>
      <c r="V12">
        <v>38.799999999999997</v>
      </c>
      <c r="W12">
        <v>55.2</v>
      </c>
    </row>
    <row r="13" spans="1:23" x14ac:dyDescent="0.25">
      <c r="A13" s="66" t="s">
        <v>39</v>
      </c>
      <c r="C13">
        <v>234.14</v>
      </c>
      <c r="D13">
        <v>133.19999999999999</v>
      </c>
      <c r="E13">
        <v>198.57</v>
      </c>
      <c r="F13">
        <v>156.69999999999999</v>
      </c>
      <c r="G13">
        <v>284.52999999999997</v>
      </c>
      <c r="H13">
        <v>340.4</v>
      </c>
      <c r="I13">
        <v>302.89999999999998</v>
      </c>
      <c r="J13">
        <v>228</v>
      </c>
      <c r="K13">
        <v>201</v>
      </c>
      <c r="L13">
        <v>347</v>
      </c>
      <c r="M13">
        <v>208</v>
      </c>
      <c r="N13">
        <v>171</v>
      </c>
      <c r="O13">
        <v>121</v>
      </c>
      <c r="P13">
        <v>175</v>
      </c>
      <c r="Q13">
        <v>150</v>
      </c>
      <c r="R13">
        <v>102</v>
      </c>
      <c r="S13">
        <v>145</v>
      </c>
      <c r="T13">
        <v>79</v>
      </c>
      <c r="U13">
        <v>180</v>
      </c>
      <c r="V13">
        <v>112</v>
      </c>
      <c r="W13">
        <v>111</v>
      </c>
    </row>
    <row r="14" spans="1:23" x14ac:dyDescent="0.25">
      <c r="A14" s="66" t="s">
        <v>40</v>
      </c>
      <c r="C14">
        <v>3.99</v>
      </c>
      <c r="D14">
        <v>11.78</v>
      </c>
      <c r="E14">
        <v>14.4</v>
      </c>
      <c r="F14">
        <v>26.4</v>
      </c>
      <c r="G14">
        <v>10.96</v>
      </c>
      <c r="H14">
        <v>23.81</v>
      </c>
      <c r="I14">
        <v>6</v>
      </c>
      <c r="J14">
        <v>2.7</v>
      </c>
      <c r="K14">
        <v>3.1</v>
      </c>
      <c r="L14">
        <v>14.6</v>
      </c>
      <c r="M14">
        <v>23.5</v>
      </c>
      <c r="N14">
        <v>20.3</v>
      </c>
      <c r="O14">
        <v>18.5</v>
      </c>
      <c r="P14">
        <v>8.5</v>
      </c>
      <c r="Q14">
        <v>15.4</v>
      </c>
      <c r="R14">
        <v>13.2</v>
      </c>
      <c r="S14">
        <v>6.5</v>
      </c>
      <c r="T14">
        <v>25.8</v>
      </c>
      <c r="U14">
        <v>23.3</v>
      </c>
      <c r="V14">
        <v>15.2</v>
      </c>
      <c r="W14">
        <v>9</v>
      </c>
    </row>
    <row r="15" spans="1:23" x14ac:dyDescent="0.25">
      <c r="A15" s="66" t="s">
        <v>41</v>
      </c>
      <c r="C15">
        <v>6.25</v>
      </c>
      <c r="D15">
        <v>26.18</v>
      </c>
      <c r="E15">
        <v>32</v>
      </c>
      <c r="F15">
        <v>69.5</v>
      </c>
      <c r="G15">
        <v>36.85</v>
      </c>
      <c r="H15">
        <v>91.4</v>
      </c>
      <c r="I15">
        <v>16.399999999999999</v>
      </c>
      <c r="J15">
        <v>5.8</v>
      </c>
      <c r="K15">
        <v>7.7</v>
      </c>
      <c r="L15">
        <v>95.9</v>
      </c>
      <c r="M15">
        <v>69.7</v>
      </c>
      <c r="N15">
        <v>43.7</v>
      </c>
      <c r="O15">
        <v>37.700000000000003</v>
      </c>
      <c r="P15">
        <v>15.2</v>
      </c>
      <c r="Q15">
        <v>75.5</v>
      </c>
      <c r="R15">
        <v>28.7</v>
      </c>
      <c r="S15">
        <v>20.7</v>
      </c>
      <c r="T15">
        <v>73.900000000000006</v>
      </c>
      <c r="U15">
        <v>80.400000000000006</v>
      </c>
      <c r="V15">
        <v>22.8</v>
      </c>
      <c r="W15">
        <v>17.399999999999999</v>
      </c>
    </row>
    <row r="16" spans="1:23" x14ac:dyDescent="0.25">
      <c r="A16" s="66" t="s">
        <v>36</v>
      </c>
      <c r="C16">
        <v>2.0299999999999998</v>
      </c>
      <c r="D16">
        <v>2.12</v>
      </c>
      <c r="E16">
        <v>2.23</v>
      </c>
      <c r="F16">
        <v>1.7</v>
      </c>
      <c r="G16">
        <v>1.24</v>
      </c>
      <c r="H16">
        <v>2.5329999999999999</v>
      </c>
      <c r="I16">
        <v>1.4</v>
      </c>
      <c r="J16">
        <v>1.7</v>
      </c>
      <c r="K16">
        <v>1.8</v>
      </c>
      <c r="L16">
        <v>2.31</v>
      </c>
      <c r="M16">
        <v>2.2999999999999998</v>
      </c>
      <c r="N16">
        <v>2.7</v>
      </c>
      <c r="O16">
        <v>1.6</v>
      </c>
      <c r="P16">
        <v>2</v>
      </c>
      <c r="Q16">
        <v>1.5</v>
      </c>
      <c r="R16">
        <v>2.4</v>
      </c>
      <c r="S16">
        <v>2.5</v>
      </c>
      <c r="T16">
        <v>1.5</v>
      </c>
      <c r="U16">
        <v>1.8</v>
      </c>
      <c r="V16">
        <v>1.6</v>
      </c>
      <c r="W16">
        <v>2.2000000000000002</v>
      </c>
    </row>
    <row r="18" spans="1:23" ht="13" x14ac:dyDescent="0.3">
      <c r="A18" s="831" t="s">
        <v>47</v>
      </c>
      <c r="B18" s="831"/>
      <c r="C18" s="831"/>
      <c r="D18" s="831"/>
      <c r="E18" s="831"/>
      <c r="F18" s="831"/>
      <c r="G18" s="831"/>
      <c r="H18" s="831"/>
      <c r="I18" s="831"/>
      <c r="J18" s="831"/>
      <c r="K18" s="831"/>
      <c r="L18" s="831"/>
      <c r="M18" s="831"/>
      <c r="N18" s="831"/>
    </row>
    <row r="19" spans="1:23" x14ac:dyDescent="0.25">
      <c r="A19" s="68" t="s">
        <v>43</v>
      </c>
      <c r="B19" s="6">
        <f>LN(B7)</f>
        <v>0.48550781578170082</v>
      </c>
      <c r="C19" s="6">
        <f t="shared" ref="C19:R19" si="0">LN(C7)</f>
        <v>0.77472716755236815</v>
      </c>
      <c r="D19" s="6">
        <f t="shared" si="0"/>
        <v>0.74193734472937733</v>
      </c>
      <c r="E19" s="6">
        <f t="shared" si="0"/>
        <v>1.0438040521731147</v>
      </c>
      <c r="F19" s="6">
        <f t="shared" si="0"/>
        <v>0.58221561985266368</v>
      </c>
      <c r="G19" s="6">
        <f t="shared" si="0"/>
        <v>0.76080582903376015</v>
      </c>
      <c r="H19" s="6">
        <f t="shared" si="0"/>
        <v>0.92127827338519419</v>
      </c>
      <c r="I19" s="6">
        <f t="shared" si="0"/>
        <v>0.53062825106217038</v>
      </c>
      <c r="J19" s="6">
        <f t="shared" si="0"/>
        <v>0.58778666490211906</v>
      </c>
      <c r="K19" s="6">
        <f t="shared" si="0"/>
        <v>0.58778666490211906</v>
      </c>
      <c r="L19" s="6">
        <f t="shared" si="0"/>
        <v>0.87546873735389985</v>
      </c>
      <c r="M19" s="6">
        <f t="shared" si="0"/>
        <v>0.83290912293510388</v>
      </c>
      <c r="N19" s="6">
        <f t="shared" si="0"/>
        <v>1.0986122886681098</v>
      </c>
      <c r="O19" s="6">
        <f t="shared" si="0"/>
        <v>0.53062825106217038</v>
      </c>
      <c r="P19" s="6">
        <f t="shared" si="0"/>
        <v>0.95551144502743635</v>
      </c>
      <c r="Q19" s="6">
        <f t="shared" si="0"/>
        <v>0.74193734472937733</v>
      </c>
      <c r="R19" s="6">
        <f t="shared" si="0"/>
        <v>0.87546873735389985</v>
      </c>
      <c r="S19" s="6">
        <f>LN(S7)</f>
        <v>0.53062825106217038</v>
      </c>
      <c r="T19" s="6">
        <f>LN(T7)</f>
        <v>0.87546873735389985</v>
      </c>
      <c r="U19" s="6">
        <f>LN(U7)</f>
        <v>0.99325177301028345</v>
      </c>
      <c r="V19" s="6">
        <f>LN(V7)</f>
        <v>0.53062825106217038</v>
      </c>
      <c r="W19" s="6">
        <f>LN(W7)</f>
        <v>0.78845736036427028</v>
      </c>
    </row>
    <row r="20" spans="1:23" x14ac:dyDescent="0.25">
      <c r="A20" s="68"/>
      <c r="B20" s="6">
        <f>60-(14.41*B19)</f>
        <v>53.003832374585691</v>
      </c>
      <c r="C20" s="6">
        <f t="shared" ref="C20:R20" si="1">60-(14.41*C19)</f>
        <v>48.836181515570374</v>
      </c>
      <c r="D20" s="6">
        <f t="shared" si="1"/>
        <v>49.308682862449672</v>
      </c>
      <c r="E20" s="6">
        <f t="shared" si="1"/>
        <v>44.958783608185414</v>
      </c>
      <c r="F20" s="6">
        <f t="shared" si="1"/>
        <v>51.610272917923112</v>
      </c>
      <c r="G20" s="6">
        <f t="shared" si="1"/>
        <v>49.036788003623514</v>
      </c>
      <c r="H20" s="6">
        <f t="shared" si="1"/>
        <v>46.724380080519353</v>
      </c>
      <c r="I20" s="6">
        <f t="shared" si="1"/>
        <v>52.353646902194129</v>
      </c>
      <c r="J20" s="6">
        <f t="shared" si="1"/>
        <v>51.529994158760466</v>
      </c>
      <c r="K20" s="6">
        <f t="shared" si="1"/>
        <v>51.529994158760466</v>
      </c>
      <c r="L20" s="6">
        <f t="shared" si="1"/>
        <v>47.384495494730302</v>
      </c>
      <c r="M20" s="6">
        <f t="shared" si="1"/>
        <v>47.997779538505156</v>
      </c>
      <c r="N20" s="6">
        <f t="shared" si="1"/>
        <v>44.168996920292535</v>
      </c>
      <c r="O20" s="6">
        <f t="shared" si="1"/>
        <v>52.353646902194129</v>
      </c>
      <c r="P20" s="6">
        <f t="shared" si="1"/>
        <v>46.231080077154644</v>
      </c>
      <c r="Q20" s="6">
        <f t="shared" si="1"/>
        <v>49.308682862449672</v>
      </c>
      <c r="R20" s="6">
        <f t="shared" si="1"/>
        <v>47.384495494730302</v>
      </c>
      <c r="S20" s="6">
        <f>60-(14.41*S19)</f>
        <v>52.353646902194129</v>
      </c>
      <c r="T20" s="6">
        <f>60-(14.41*T19)</f>
        <v>47.384495494730302</v>
      </c>
      <c r="U20" s="6">
        <f>60-(14.41*U19)</f>
        <v>45.687241950921816</v>
      </c>
      <c r="V20" s="6">
        <f>60-(14.41*V19)</f>
        <v>52.353646902194129</v>
      </c>
      <c r="W20" s="6">
        <f>60-(14.41*W19)</f>
        <v>48.638329437150865</v>
      </c>
    </row>
    <row r="21" spans="1:23" x14ac:dyDescent="0.25">
      <c r="A21" s="68"/>
      <c r="B21" s="6"/>
      <c r="C21" s="6"/>
      <c r="D21" s="6"/>
      <c r="E21" s="6"/>
      <c r="F21" s="6"/>
      <c r="G21" s="6"/>
      <c r="H21" s="6"/>
      <c r="I21" s="6"/>
      <c r="J21" s="6"/>
      <c r="K21" s="6"/>
      <c r="L21" s="6"/>
      <c r="M21" s="6"/>
      <c r="N21" s="6"/>
    </row>
    <row r="22" spans="1:23" x14ac:dyDescent="0.25">
      <c r="A22" s="68" t="s">
        <v>44</v>
      </c>
      <c r="B22" s="6">
        <f>LN(B5)</f>
        <v>2.0110862220155639</v>
      </c>
      <c r="C22" s="6">
        <f t="shared" ref="C22:R22" si="2">LN(C5)</f>
        <v>3.0549441331858369</v>
      </c>
      <c r="D22" s="6">
        <f t="shared" si="2"/>
        <v>2.9449651565003379</v>
      </c>
      <c r="E22" s="6">
        <f t="shared" si="2"/>
        <v>2.1860512767380942</v>
      </c>
      <c r="F22" s="6">
        <f t="shared" si="2"/>
        <v>3.0170044088295307</v>
      </c>
      <c r="G22" s="6">
        <f t="shared" si="2"/>
        <v>1.6272778305624314</v>
      </c>
      <c r="H22" s="6">
        <f t="shared" si="2"/>
        <v>2.8390784635086144</v>
      </c>
      <c r="I22" s="6">
        <f t="shared" si="2"/>
        <v>2.1041341542702074</v>
      </c>
      <c r="J22" s="6">
        <f t="shared" si="2"/>
        <v>1.4586150226995167</v>
      </c>
      <c r="K22" s="6">
        <f t="shared" si="2"/>
        <v>1.7578579175523736</v>
      </c>
      <c r="L22" s="6">
        <f t="shared" si="2"/>
        <v>2.6461747973841225</v>
      </c>
      <c r="M22" s="6">
        <f t="shared" si="2"/>
        <v>3.202746442938317</v>
      </c>
      <c r="N22" s="6">
        <f t="shared" si="2"/>
        <v>2.7343675094195836</v>
      </c>
      <c r="O22" s="6">
        <f t="shared" si="2"/>
        <v>2.6946271807700692</v>
      </c>
      <c r="P22" s="6">
        <f t="shared" si="2"/>
        <v>1.8870696490323797</v>
      </c>
      <c r="Q22" s="6">
        <f t="shared" si="2"/>
        <v>2.7408400239252009</v>
      </c>
      <c r="R22" s="6">
        <f t="shared" si="2"/>
        <v>2.2082744135228043</v>
      </c>
      <c r="S22" s="6">
        <f>LN(S5)</f>
        <v>2.2300144001592104</v>
      </c>
      <c r="T22" s="6">
        <f>LN(T5)</f>
        <v>2.8507065015037334</v>
      </c>
      <c r="U22" s="6">
        <f>LN(U5)</f>
        <v>2.5257286443082556</v>
      </c>
      <c r="V22" s="6">
        <f>LN(V5)</f>
        <v>2.3608540011180215</v>
      </c>
      <c r="W22" s="6">
        <f>LN(W5)</f>
        <v>2.379546134130174</v>
      </c>
    </row>
    <row r="23" spans="1:23" x14ac:dyDescent="0.25">
      <c r="A23" s="68"/>
      <c r="B23" s="6">
        <f>(9.81*B22)+30.6</f>
        <v>50.328755837972679</v>
      </c>
      <c r="C23" s="6">
        <f t="shared" ref="C23:R23" si="3">(9.81*C22)+30.6</f>
        <v>60.569001946553058</v>
      </c>
      <c r="D23" s="6">
        <f t="shared" si="3"/>
        <v>59.490108185268312</v>
      </c>
      <c r="E23" s="6">
        <f t="shared" si="3"/>
        <v>52.045163024800708</v>
      </c>
      <c r="F23" s="6">
        <f t="shared" si="3"/>
        <v>60.196813250617694</v>
      </c>
      <c r="G23" s="6">
        <f t="shared" si="3"/>
        <v>46.563595517817454</v>
      </c>
      <c r="H23" s="6">
        <f t="shared" si="3"/>
        <v>58.451359727019508</v>
      </c>
      <c r="I23" s="6">
        <f t="shared" si="3"/>
        <v>51.241556053390738</v>
      </c>
      <c r="J23" s="6">
        <f t="shared" si="3"/>
        <v>44.90901337268226</v>
      </c>
      <c r="K23" s="6">
        <f t="shared" si="3"/>
        <v>47.844586171188787</v>
      </c>
      <c r="L23" s="6">
        <f t="shared" si="3"/>
        <v>56.558974762338245</v>
      </c>
      <c r="M23" s="6">
        <f t="shared" si="3"/>
        <v>62.018942605224893</v>
      </c>
      <c r="N23" s="6">
        <f t="shared" si="3"/>
        <v>57.424145267406118</v>
      </c>
      <c r="O23" s="6">
        <f t="shared" si="3"/>
        <v>57.034292643354384</v>
      </c>
      <c r="P23" s="6">
        <f t="shared" si="3"/>
        <v>49.112153257007648</v>
      </c>
      <c r="Q23" s="6">
        <f t="shared" si="3"/>
        <v>57.487640634706224</v>
      </c>
      <c r="R23" s="6">
        <f t="shared" si="3"/>
        <v>52.263171996658713</v>
      </c>
      <c r="S23" s="6">
        <f>(9.81*S22)+30.6</f>
        <v>52.47644126556186</v>
      </c>
      <c r="T23" s="6">
        <f>(9.81*T22)+30.6</f>
        <v>58.565430779751622</v>
      </c>
      <c r="U23" s="6">
        <f>(9.81*U22)+30.6</f>
        <v>55.377398000663987</v>
      </c>
      <c r="V23" s="6">
        <f>(9.81*V22)+30.6</f>
        <v>53.759977750967792</v>
      </c>
      <c r="W23" s="6">
        <f>(9.81*W22)+30.6</f>
        <v>53.943347575817015</v>
      </c>
    </row>
    <row r="24" spans="1:23" x14ac:dyDescent="0.25">
      <c r="A24" s="68"/>
      <c r="B24" s="6"/>
      <c r="C24" s="6"/>
      <c r="D24" s="6"/>
      <c r="E24" s="6"/>
      <c r="F24" s="6"/>
      <c r="G24" s="6"/>
      <c r="H24" s="6"/>
      <c r="I24" s="6"/>
      <c r="J24" s="6"/>
      <c r="K24" s="6"/>
      <c r="L24" s="6"/>
      <c r="M24" s="6"/>
      <c r="N24" s="6"/>
    </row>
    <row r="25" spans="1:23" x14ac:dyDescent="0.25">
      <c r="A25" s="68" t="s">
        <v>45</v>
      </c>
      <c r="B25" s="6">
        <f>LN(B3)</f>
        <v>5.1119877883565437</v>
      </c>
      <c r="C25" s="6">
        <f t="shared" ref="C25:R25" si="4">LN(C3)</f>
        <v>5.2158049449735726</v>
      </c>
      <c r="D25" s="6">
        <f t="shared" si="4"/>
        <v>5.0891999869669187</v>
      </c>
      <c r="E25" s="6">
        <f t="shared" si="4"/>
        <v>5.1234281215713775</v>
      </c>
      <c r="F25" s="6">
        <f t="shared" si="4"/>
        <v>4.4662528868014224</v>
      </c>
      <c r="G25" s="6">
        <f t="shared" si="4"/>
        <v>3.7113745319413072</v>
      </c>
      <c r="H25" s="6">
        <f t="shared" si="4"/>
        <v>3.3823542938606757</v>
      </c>
      <c r="I25" s="6">
        <f t="shared" si="4"/>
        <v>3.629660094453965</v>
      </c>
      <c r="J25" s="6">
        <f t="shared" si="4"/>
        <v>3.6000482404073204</v>
      </c>
      <c r="K25" s="6">
        <f t="shared" si="4"/>
        <v>3.7281001672672178</v>
      </c>
      <c r="L25" s="6">
        <f t="shared" si="4"/>
        <v>4.0943445622221004</v>
      </c>
      <c r="M25" s="6">
        <f t="shared" si="4"/>
        <v>3.9080149840306073</v>
      </c>
      <c r="N25" s="6">
        <f t="shared" si="4"/>
        <v>3.9160150266976834</v>
      </c>
      <c r="O25" s="6">
        <f t="shared" si="4"/>
        <v>3.9019726695746448</v>
      </c>
      <c r="P25" s="6">
        <f t="shared" si="4"/>
        <v>3.4626060097907989</v>
      </c>
      <c r="Q25" s="6">
        <f t="shared" si="4"/>
        <v>3.6686767467964168</v>
      </c>
      <c r="R25" s="6">
        <f t="shared" si="4"/>
        <v>3.1780538303479458</v>
      </c>
      <c r="S25" s="6">
        <f>LN(S3)</f>
        <v>3.4242626545931514</v>
      </c>
      <c r="T25" s="6">
        <f>LN(T3)</f>
        <v>3.9239515762934198</v>
      </c>
      <c r="U25" s="6">
        <f>LN(U3)</f>
        <v>3.5496173867804286</v>
      </c>
      <c r="V25" s="6">
        <f>LN(V3)</f>
        <v>3.5145260669691587</v>
      </c>
      <c r="W25" s="6">
        <f>LN(W3)</f>
        <v>3.708682081410116</v>
      </c>
    </row>
    <row r="26" spans="1:23" x14ac:dyDescent="0.25">
      <c r="A26" s="68"/>
      <c r="B26" s="6">
        <f>+(14.42*B25)+4.15</f>
        <v>77.86486390810137</v>
      </c>
      <c r="C26" s="6">
        <f t="shared" ref="C26:R26" si="5">+(14.42*C25)+4.15</f>
        <v>79.361907306518916</v>
      </c>
      <c r="D26" s="6">
        <f t="shared" si="5"/>
        <v>77.53626381206297</v>
      </c>
      <c r="E26" s="6">
        <f t="shared" si="5"/>
        <v>78.029833513059273</v>
      </c>
      <c r="F26" s="6">
        <f t="shared" si="5"/>
        <v>68.55336662767651</v>
      </c>
      <c r="G26" s="6">
        <f t="shared" si="5"/>
        <v>57.668020750593648</v>
      </c>
      <c r="H26" s="6">
        <f t="shared" si="5"/>
        <v>52.923548917470939</v>
      </c>
      <c r="I26" s="6">
        <f t="shared" si="5"/>
        <v>56.48969856202617</v>
      </c>
      <c r="J26" s="6">
        <f t="shared" si="5"/>
        <v>56.062695626673559</v>
      </c>
      <c r="K26" s="6">
        <f t="shared" si="5"/>
        <v>57.909204411993279</v>
      </c>
      <c r="L26" s="6">
        <f t="shared" si="5"/>
        <v>63.190448587242685</v>
      </c>
      <c r="M26" s="6">
        <f t="shared" si="5"/>
        <v>60.503576069721355</v>
      </c>
      <c r="N26" s="6">
        <f t="shared" si="5"/>
        <v>60.618936684980596</v>
      </c>
      <c r="O26" s="6">
        <f t="shared" si="5"/>
        <v>60.416445895266378</v>
      </c>
      <c r="P26" s="6">
        <f t="shared" si="5"/>
        <v>54.080778661183317</v>
      </c>
      <c r="Q26" s="6">
        <f t="shared" si="5"/>
        <v>57.052318688804327</v>
      </c>
      <c r="R26" s="6">
        <f t="shared" si="5"/>
        <v>49.977536233617379</v>
      </c>
      <c r="S26" s="6">
        <f>+(14.42*S25)+4.15</f>
        <v>53.527867479233244</v>
      </c>
      <c r="T26" s="6">
        <f>+(14.42*T25)+4.15</f>
        <v>60.733381730151109</v>
      </c>
      <c r="U26" s="6">
        <f>+(14.42*U25)+4.15</f>
        <v>55.335482717373779</v>
      </c>
      <c r="V26" s="6">
        <f>+(14.42*V25)+4.15</f>
        <v>54.829465885695264</v>
      </c>
      <c r="W26" s="6">
        <f>+(14.42*W25)+4.15</f>
        <v>57.629195613933874</v>
      </c>
    </row>
    <row r="27" spans="1:23" x14ac:dyDescent="0.25">
      <c r="A27" s="68"/>
      <c r="B27" s="66">
        <v>1988</v>
      </c>
      <c r="C27" s="66">
        <v>1991</v>
      </c>
      <c r="D27" s="66">
        <v>1992</v>
      </c>
      <c r="E27" s="66">
        <v>1993</v>
      </c>
      <c r="F27" s="66">
        <v>1994</v>
      </c>
      <c r="G27" s="66">
        <v>1995</v>
      </c>
      <c r="H27" s="66">
        <v>1996</v>
      </c>
      <c r="I27" s="66">
        <v>1997</v>
      </c>
      <c r="J27" s="66">
        <v>1998</v>
      </c>
      <c r="K27" s="66">
        <v>1999</v>
      </c>
      <c r="L27" s="66">
        <v>2000</v>
      </c>
      <c r="M27" s="66">
        <v>2001</v>
      </c>
      <c r="N27" s="66">
        <v>2002</v>
      </c>
      <c r="O27" s="66">
        <v>2003</v>
      </c>
      <c r="P27" s="66">
        <v>2004</v>
      </c>
      <c r="Q27" s="66">
        <v>2005</v>
      </c>
      <c r="R27" s="66">
        <v>2006</v>
      </c>
      <c r="S27" s="66">
        <v>2007</v>
      </c>
      <c r="T27" s="66">
        <v>2008</v>
      </c>
      <c r="U27" s="66">
        <v>2009</v>
      </c>
      <c r="V27" s="66">
        <v>2010</v>
      </c>
      <c r="W27" s="66">
        <v>2011</v>
      </c>
    </row>
    <row r="28" spans="1:23" x14ac:dyDescent="0.25">
      <c r="A28" s="6"/>
      <c r="B28" s="6"/>
      <c r="C28" s="6"/>
      <c r="D28" s="6"/>
      <c r="E28" s="6"/>
      <c r="F28" s="6"/>
      <c r="G28" s="6"/>
      <c r="H28" s="6"/>
      <c r="I28" s="6"/>
      <c r="J28" s="6"/>
      <c r="K28" s="6"/>
      <c r="L28" s="6"/>
      <c r="M28" s="6"/>
      <c r="N28" s="6"/>
    </row>
    <row r="29" spans="1:23" ht="13" x14ac:dyDescent="0.3">
      <c r="A29" s="832" t="s">
        <v>48</v>
      </c>
      <c r="B29" s="832"/>
      <c r="C29" s="832"/>
      <c r="D29" s="832"/>
      <c r="E29" s="832"/>
      <c r="F29" s="832"/>
      <c r="G29" s="832"/>
      <c r="H29" s="832"/>
      <c r="I29" s="832"/>
      <c r="J29" s="832"/>
      <c r="K29" s="832"/>
      <c r="L29" s="832"/>
      <c r="M29" s="832"/>
      <c r="N29" s="832"/>
    </row>
    <row r="30" spans="1:23" x14ac:dyDescent="0.25">
      <c r="A30" s="68" t="s">
        <v>43</v>
      </c>
      <c r="B30" s="6"/>
      <c r="C30" s="6">
        <f>LN(C16)</f>
        <v>0.70803579305369591</v>
      </c>
      <c r="D30" s="6">
        <f t="shared" ref="D30:R30" si="6">LN(D16)</f>
        <v>0.75141608868392118</v>
      </c>
      <c r="E30" s="6">
        <f t="shared" si="6"/>
        <v>0.80200158547202738</v>
      </c>
      <c r="F30" s="6">
        <f t="shared" si="6"/>
        <v>0.53062825106217038</v>
      </c>
      <c r="G30" s="6">
        <f t="shared" si="6"/>
        <v>0.21511137961694549</v>
      </c>
      <c r="H30" s="6">
        <f t="shared" si="6"/>
        <v>0.9294043710195381</v>
      </c>
      <c r="I30" s="6">
        <f t="shared" si="6"/>
        <v>0.33647223662121289</v>
      </c>
      <c r="J30" s="6">
        <f t="shared" si="6"/>
        <v>0.53062825106217038</v>
      </c>
      <c r="K30" s="6">
        <f t="shared" si="6"/>
        <v>0.58778666490211906</v>
      </c>
      <c r="L30" s="6">
        <f t="shared" si="6"/>
        <v>0.83724752453370221</v>
      </c>
      <c r="M30" s="6">
        <f t="shared" si="6"/>
        <v>0.83290912293510388</v>
      </c>
      <c r="N30" s="6">
        <f t="shared" si="6"/>
        <v>0.99325177301028345</v>
      </c>
      <c r="O30" s="6">
        <f t="shared" si="6"/>
        <v>0.47000362924573563</v>
      </c>
      <c r="P30" s="6">
        <f t="shared" si="6"/>
        <v>0.69314718055994529</v>
      </c>
      <c r="Q30" s="6">
        <f t="shared" si="6"/>
        <v>0.40546510810816438</v>
      </c>
      <c r="R30" s="6">
        <f t="shared" si="6"/>
        <v>0.87546873735389985</v>
      </c>
      <c r="S30" s="6">
        <f>LN(S16)</f>
        <v>0.91629073187415511</v>
      </c>
      <c r="T30" s="6">
        <f>LN(T16)</f>
        <v>0.40546510810816438</v>
      </c>
      <c r="U30" s="6">
        <f>LN(U16)</f>
        <v>0.58778666490211906</v>
      </c>
      <c r="V30" s="6">
        <f>LN(V16)</f>
        <v>0.47000362924573563</v>
      </c>
      <c r="W30" s="6">
        <f>LN(W16)</f>
        <v>0.78845736036427028</v>
      </c>
    </row>
    <row r="31" spans="1:23" x14ac:dyDescent="0.25">
      <c r="A31" s="68"/>
      <c r="B31" s="6"/>
      <c r="C31" s="6">
        <f t="shared" ref="C31:R31" si="7">60-(14.41*C30)</f>
        <v>49.797204222096241</v>
      </c>
      <c r="D31" s="6">
        <f t="shared" si="7"/>
        <v>49.172094162064695</v>
      </c>
      <c r="E31" s="6">
        <f t="shared" si="7"/>
        <v>48.443157153348082</v>
      </c>
      <c r="F31" s="6">
        <f t="shared" si="7"/>
        <v>52.353646902194129</v>
      </c>
      <c r="G31" s="6">
        <f t="shared" si="7"/>
        <v>56.900245019719819</v>
      </c>
      <c r="H31" s="6">
        <f t="shared" si="7"/>
        <v>46.607283013608452</v>
      </c>
      <c r="I31" s="6">
        <f t="shared" si="7"/>
        <v>55.151435070288322</v>
      </c>
      <c r="J31" s="6">
        <f t="shared" si="7"/>
        <v>52.353646902194129</v>
      </c>
      <c r="K31" s="6">
        <f t="shared" si="7"/>
        <v>51.529994158760466</v>
      </c>
      <c r="L31" s="6">
        <f t="shared" si="7"/>
        <v>47.935263171469352</v>
      </c>
      <c r="M31" s="6">
        <f t="shared" si="7"/>
        <v>47.997779538505156</v>
      </c>
      <c r="N31" s="6">
        <f t="shared" si="7"/>
        <v>45.687241950921816</v>
      </c>
      <c r="O31" s="6">
        <f t="shared" si="7"/>
        <v>53.227247702568953</v>
      </c>
      <c r="P31" s="6">
        <f t="shared" si="7"/>
        <v>50.011749128131186</v>
      </c>
      <c r="Q31" s="6">
        <f t="shared" si="7"/>
        <v>54.15724779216135</v>
      </c>
      <c r="R31" s="6">
        <f t="shared" si="7"/>
        <v>47.384495494730302</v>
      </c>
      <c r="S31" s="6">
        <f>60-(14.41*S30)</f>
        <v>46.796250553693426</v>
      </c>
      <c r="T31" s="6">
        <f>60-(14.41*T30)</f>
        <v>54.15724779216135</v>
      </c>
      <c r="U31" s="6">
        <f>60-(14.41*U30)</f>
        <v>51.529994158760466</v>
      </c>
      <c r="V31" s="6">
        <f>60-(14.41*V30)</f>
        <v>53.227247702568953</v>
      </c>
      <c r="W31" s="6">
        <f>60-(14.41*W30)</f>
        <v>48.638329437150865</v>
      </c>
    </row>
    <row r="32" spans="1:23" x14ac:dyDescent="0.25">
      <c r="A32" s="68"/>
      <c r="B32" s="6"/>
      <c r="C32" s="6"/>
      <c r="D32" s="6"/>
      <c r="E32" s="6"/>
      <c r="F32" s="6"/>
      <c r="G32" s="6"/>
      <c r="H32" s="6"/>
      <c r="I32" s="6"/>
      <c r="J32" s="6"/>
      <c r="K32" s="6"/>
      <c r="L32" s="6"/>
      <c r="M32" s="6"/>
      <c r="N32" s="6"/>
    </row>
    <row r="33" spans="1:26" x14ac:dyDescent="0.25">
      <c r="A33" s="68" t="s">
        <v>44</v>
      </c>
      <c r="B33" s="6"/>
      <c r="C33" s="6">
        <f>LN(C14)</f>
        <v>1.3837912309017721</v>
      </c>
      <c r="D33" s="6">
        <f t="shared" ref="D33:R33" si="8">LN(D14)</f>
        <v>2.4664031782234406</v>
      </c>
      <c r="E33" s="6">
        <f t="shared" si="8"/>
        <v>2.6672282065819548</v>
      </c>
      <c r="F33" s="6">
        <f t="shared" si="8"/>
        <v>3.2733640101522705</v>
      </c>
      <c r="G33" s="6">
        <f t="shared" si="8"/>
        <v>2.3942522815198695</v>
      </c>
      <c r="H33" s="6">
        <f t="shared" si="8"/>
        <v>3.1701056604987712</v>
      </c>
      <c r="I33" s="6">
        <f t="shared" si="8"/>
        <v>1.791759469228055</v>
      </c>
      <c r="J33" s="6">
        <f t="shared" si="8"/>
        <v>0.99325177301028345</v>
      </c>
      <c r="K33" s="6">
        <f t="shared" si="8"/>
        <v>1.1314021114911006</v>
      </c>
      <c r="L33" s="6">
        <f t="shared" si="8"/>
        <v>2.6810215287142909</v>
      </c>
      <c r="M33" s="6">
        <f t="shared" si="8"/>
        <v>3.1570004211501135</v>
      </c>
      <c r="N33" s="6">
        <f t="shared" si="8"/>
        <v>3.0106208860477417</v>
      </c>
      <c r="O33" s="6">
        <f t="shared" si="8"/>
        <v>2.917770732084279</v>
      </c>
      <c r="P33" s="6">
        <f t="shared" si="8"/>
        <v>2.1400661634962708</v>
      </c>
      <c r="Q33" s="6">
        <f t="shared" si="8"/>
        <v>2.7343675094195836</v>
      </c>
      <c r="R33" s="6">
        <f t="shared" si="8"/>
        <v>2.5802168295923251</v>
      </c>
      <c r="S33" s="6">
        <f>LN(S14)</f>
        <v>1.8718021769015913</v>
      </c>
      <c r="T33" s="6">
        <f>LN(T14)</f>
        <v>3.2503744919275719</v>
      </c>
      <c r="U33" s="6">
        <f>LN(U14)</f>
        <v>3.1484533605716547</v>
      </c>
      <c r="V33" s="6">
        <f>LN(V14)</f>
        <v>2.7212954278522306</v>
      </c>
      <c r="W33" s="6">
        <f>LN(W14)</f>
        <v>2.1972245773362196</v>
      </c>
    </row>
    <row r="34" spans="1:26" x14ac:dyDescent="0.25">
      <c r="A34" s="68"/>
      <c r="B34" s="6"/>
      <c r="C34" s="6">
        <f t="shared" ref="C34:R34" si="9">(9.81*C33)+30.6</f>
        <v>44.174991975146384</v>
      </c>
      <c r="D34" s="6">
        <f t="shared" si="9"/>
        <v>54.795415178371954</v>
      </c>
      <c r="E34" s="6">
        <f t="shared" si="9"/>
        <v>56.76550870656898</v>
      </c>
      <c r="F34" s="6">
        <f t="shared" si="9"/>
        <v>62.711700939593776</v>
      </c>
      <c r="G34" s="6">
        <f t="shared" si="9"/>
        <v>54.087614881709925</v>
      </c>
      <c r="H34" s="6">
        <f t="shared" si="9"/>
        <v>61.698736529492948</v>
      </c>
      <c r="I34" s="6">
        <f t="shared" si="9"/>
        <v>48.177160393127224</v>
      </c>
      <c r="J34" s="6">
        <f t="shared" si="9"/>
        <v>40.34379989323088</v>
      </c>
      <c r="K34" s="6">
        <f t="shared" si="9"/>
        <v>41.699054713727698</v>
      </c>
      <c r="L34" s="6">
        <f t="shared" si="9"/>
        <v>56.900821196687197</v>
      </c>
      <c r="M34" s="6">
        <f t="shared" si="9"/>
        <v>61.570174131482617</v>
      </c>
      <c r="N34" s="6">
        <f t="shared" si="9"/>
        <v>60.134190892128345</v>
      </c>
      <c r="O34" s="6">
        <f t="shared" si="9"/>
        <v>59.223330881746776</v>
      </c>
      <c r="P34" s="6">
        <f t="shared" si="9"/>
        <v>51.594049063898417</v>
      </c>
      <c r="Q34" s="6">
        <f t="shared" si="9"/>
        <v>57.424145267406118</v>
      </c>
      <c r="R34" s="6">
        <f t="shared" si="9"/>
        <v>55.911927098300708</v>
      </c>
      <c r="S34" s="6">
        <f>(9.81*S33)+30.6</f>
        <v>48.962379355404615</v>
      </c>
      <c r="T34" s="6">
        <f>(9.81*T33)+30.6</f>
        <v>62.486173765809482</v>
      </c>
      <c r="U34" s="6">
        <f>(9.81*U33)+30.6</f>
        <v>61.486327467207936</v>
      </c>
      <c r="V34" s="6">
        <f>(9.81*V33)+30.6</f>
        <v>57.295908147230385</v>
      </c>
      <c r="W34" s="6">
        <f>(9.81*W33)+30.6</f>
        <v>52.154773103668319</v>
      </c>
    </row>
    <row r="35" spans="1:26" x14ac:dyDescent="0.25">
      <c r="A35" s="68"/>
      <c r="B35" s="6"/>
      <c r="C35" s="6"/>
      <c r="D35" s="6"/>
      <c r="E35" s="6"/>
      <c r="F35" s="6"/>
      <c r="G35" s="6"/>
      <c r="H35" s="6"/>
      <c r="I35" s="6"/>
      <c r="J35" s="6"/>
      <c r="K35" s="6"/>
      <c r="L35" s="6"/>
      <c r="M35" s="6"/>
      <c r="N35" s="6"/>
    </row>
    <row r="36" spans="1:26" x14ac:dyDescent="0.25">
      <c r="A36" s="68" t="s">
        <v>45</v>
      </c>
      <c r="B36" s="6"/>
      <c r="C36" s="6">
        <f>LN(C12)</f>
        <v>5.2566095631482463</v>
      </c>
      <c r="D36" s="6">
        <f t="shared" ref="D36:P36" si="10">LN(D12)</f>
        <v>5.2021368080740675</v>
      </c>
      <c r="E36" s="6">
        <f t="shared" si="10"/>
        <v>5.3322355847514977</v>
      </c>
      <c r="F36" s="6">
        <f t="shared" si="10"/>
        <v>4.5247190615904644</v>
      </c>
      <c r="G36" s="6">
        <f t="shared" si="10"/>
        <v>4.0673158898341812</v>
      </c>
      <c r="H36" s="6">
        <f t="shared" si="10"/>
        <v>3.4307561839036995</v>
      </c>
      <c r="I36" s="6">
        <f t="shared" si="10"/>
        <v>3.6635616461296463</v>
      </c>
      <c r="J36" s="6">
        <f t="shared" si="10"/>
        <v>3.5553480614894135</v>
      </c>
      <c r="K36" s="6">
        <f t="shared" si="10"/>
        <v>3.8372994592322094</v>
      </c>
      <c r="L36" s="6">
        <f t="shared" si="10"/>
        <v>3.7471483622379123</v>
      </c>
      <c r="M36" s="6">
        <f t="shared" si="10"/>
        <v>4.1303549997451334</v>
      </c>
      <c r="N36" s="6">
        <f t="shared" si="10"/>
        <v>3.9318256327243257</v>
      </c>
      <c r="O36" s="6">
        <f t="shared" si="10"/>
        <v>4.133565275375382</v>
      </c>
      <c r="P36" s="6">
        <f t="shared" si="10"/>
        <v>3.6963514689526371</v>
      </c>
      <c r="Q36" s="6">
        <f t="shared" ref="Q36:W36" si="11">LN(Q12)</f>
        <v>3.824284091120139</v>
      </c>
      <c r="R36" s="6">
        <f t="shared" si="11"/>
        <v>3.2386784521643803</v>
      </c>
      <c r="S36" s="6">
        <f t="shared" si="11"/>
        <v>3.3534067178258069</v>
      </c>
      <c r="T36" s="6">
        <f t="shared" si="11"/>
        <v>4.1174098351530963</v>
      </c>
      <c r="U36" s="6">
        <f t="shared" si="11"/>
        <v>3.8938590348004749</v>
      </c>
      <c r="V36" s="6">
        <f t="shared" si="11"/>
        <v>3.6584202466292277</v>
      </c>
      <c r="W36" s="6">
        <f t="shared" si="11"/>
        <v>4.01096295328305</v>
      </c>
    </row>
    <row r="37" spans="1:26" x14ac:dyDescent="0.25">
      <c r="A37" s="68"/>
      <c r="B37" s="6"/>
      <c r="C37" s="6">
        <f t="shared" ref="C37:R37" si="12">+(14.42*C36)+4.15</f>
        <v>79.950309900597716</v>
      </c>
      <c r="D37" s="6">
        <f t="shared" si="12"/>
        <v>79.164812772428064</v>
      </c>
      <c r="E37" s="6">
        <f t="shared" si="12"/>
        <v>81.040837132116607</v>
      </c>
      <c r="F37" s="6">
        <f t="shared" si="12"/>
        <v>69.396448868134499</v>
      </c>
      <c r="G37" s="6">
        <f t="shared" si="12"/>
        <v>62.800695131408894</v>
      </c>
      <c r="H37" s="6">
        <f t="shared" si="12"/>
        <v>53.621504171891345</v>
      </c>
      <c r="I37" s="6">
        <f t="shared" si="12"/>
        <v>56.978558937189497</v>
      </c>
      <c r="J37" s="6">
        <f t="shared" si="12"/>
        <v>55.41811904667734</v>
      </c>
      <c r="K37" s="6">
        <f t="shared" si="12"/>
        <v>59.483858202128459</v>
      </c>
      <c r="L37" s="6">
        <f t="shared" si="12"/>
        <v>58.183879383470696</v>
      </c>
      <c r="M37" s="6">
        <f t="shared" si="12"/>
        <v>63.709719096324825</v>
      </c>
      <c r="N37" s="6">
        <f t="shared" si="12"/>
        <v>60.846925623884772</v>
      </c>
      <c r="O37" s="6">
        <f t="shared" si="12"/>
        <v>63.756011270913007</v>
      </c>
      <c r="P37" s="6">
        <f t="shared" si="12"/>
        <v>57.451388182297023</v>
      </c>
      <c r="Q37" s="6">
        <f t="shared" si="12"/>
        <v>59.296176593952403</v>
      </c>
      <c r="R37" s="6">
        <f t="shared" si="12"/>
        <v>50.851743280210364</v>
      </c>
      <c r="S37" s="6">
        <f>+(14.42*S36)+4.15</f>
        <v>52.506124871048137</v>
      </c>
      <c r="T37" s="6">
        <f>+(14.42*T36)+4.15</f>
        <v>63.523049822907645</v>
      </c>
      <c r="U37" s="6">
        <f>+(14.42*U36)+4.15</f>
        <v>60.299447281822843</v>
      </c>
      <c r="V37" s="6">
        <f>+(14.42*V36)+4.15</f>
        <v>56.904419956393461</v>
      </c>
      <c r="W37" s="6">
        <f>+(14.42*W36)+4.15</f>
        <v>61.988085786341578</v>
      </c>
    </row>
    <row r="38" spans="1:26" x14ac:dyDescent="0.25">
      <c r="A38" s="66"/>
      <c r="B38" s="66"/>
      <c r="C38" s="66">
        <v>1991</v>
      </c>
      <c r="D38" s="66">
        <v>1992</v>
      </c>
      <c r="E38" s="66">
        <v>1993</v>
      </c>
      <c r="F38" s="66">
        <v>1994</v>
      </c>
      <c r="G38" s="66">
        <v>1995</v>
      </c>
      <c r="H38" s="66">
        <v>1996</v>
      </c>
      <c r="I38" s="66">
        <v>1997</v>
      </c>
      <c r="J38" s="66">
        <v>1998</v>
      </c>
      <c r="K38" s="66">
        <v>1999</v>
      </c>
      <c r="L38" s="66">
        <v>2000</v>
      </c>
      <c r="M38" s="66">
        <v>2001</v>
      </c>
      <c r="N38" s="66">
        <v>2002</v>
      </c>
      <c r="O38" s="66">
        <v>2003</v>
      </c>
      <c r="P38" s="66">
        <v>2004</v>
      </c>
      <c r="Q38" s="66">
        <v>2005</v>
      </c>
      <c r="R38" s="66">
        <v>2006</v>
      </c>
      <c r="S38" s="66">
        <v>2007</v>
      </c>
      <c r="T38" s="66">
        <v>2008</v>
      </c>
      <c r="U38" s="66">
        <v>2009</v>
      </c>
      <c r="V38" s="66">
        <v>2010</v>
      </c>
      <c r="W38" s="66">
        <v>2011</v>
      </c>
    </row>
    <row r="42" spans="1:26" ht="15.5" x14ac:dyDescent="0.45">
      <c r="Z42" s="69" t="s">
        <v>124</v>
      </c>
    </row>
    <row r="43" spans="1:26" ht="15.5" x14ac:dyDescent="0.45">
      <c r="Z43" s="69" t="s">
        <v>77</v>
      </c>
    </row>
    <row r="44" spans="1:26" ht="15.5" x14ac:dyDescent="0.45">
      <c r="Z44" s="69" t="s">
        <v>122</v>
      </c>
    </row>
    <row r="60" spans="1:2" x14ac:dyDescent="0.25">
      <c r="A60" s="101" t="s">
        <v>163</v>
      </c>
      <c r="B60" s="101" t="s">
        <v>164</v>
      </c>
    </row>
    <row r="61" spans="1:2" x14ac:dyDescent="0.25">
      <c r="A61" s="101" t="s">
        <v>66</v>
      </c>
      <c r="B61" s="101" t="s">
        <v>165</v>
      </c>
    </row>
    <row r="62" spans="1:2" x14ac:dyDescent="0.25">
      <c r="A62" s="101" t="s">
        <v>111</v>
      </c>
      <c r="B62" s="101" t="s">
        <v>112</v>
      </c>
    </row>
    <row r="63" spans="1:2" x14ac:dyDescent="0.25">
      <c r="A63" s="101" t="s">
        <v>68</v>
      </c>
      <c r="B63" s="101" t="s">
        <v>69</v>
      </c>
    </row>
    <row r="64" spans="1:2" x14ac:dyDescent="0.25">
      <c r="A64" s="101" t="s">
        <v>109</v>
      </c>
      <c r="B64" s="101" t="s">
        <v>110</v>
      </c>
    </row>
    <row r="65" spans="1:2" x14ac:dyDescent="0.25">
      <c r="A65" s="101" t="s">
        <v>166</v>
      </c>
      <c r="B65" s="101" t="s">
        <v>94</v>
      </c>
    </row>
  </sheetData>
  <mergeCells count="4">
    <mergeCell ref="A1:N1"/>
    <mergeCell ref="A10:N10"/>
    <mergeCell ref="A18:N18"/>
    <mergeCell ref="A29:N29"/>
  </mergeCells>
  <phoneticPr fontId="8" type="noConversion"/>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90"/>
  <sheetViews>
    <sheetView topLeftCell="M40" workbookViewId="0">
      <selection activeCell="AP58" sqref="AP58"/>
    </sheetView>
  </sheetViews>
  <sheetFormatPr defaultRowHeight="12.5" x14ac:dyDescent="0.25"/>
  <cols>
    <col min="1" max="1" width="8.36328125" bestFit="1" customWidth="1"/>
    <col min="2" max="2" width="5" bestFit="1" customWidth="1"/>
    <col min="3" max="5" width="7" bestFit="1" customWidth="1"/>
    <col min="6" max="6" width="6" bestFit="1" customWidth="1"/>
    <col min="7" max="7" width="7" bestFit="1" customWidth="1"/>
    <col min="8" max="9" width="6" bestFit="1" customWidth="1"/>
    <col min="10" max="11" width="5.54296875" bestFit="1" customWidth="1"/>
    <col min="12" max="12" width="6" bestFit="1" customWidth="1"/>
    <col min="13" max="14" width="5.54296875" bestFit="1" customWidth="1"/>
    <col min="15" max="24" width="5.54296875" customWidth="1"/>
    <col min="25" max="25" width="4.6328125" customWidth="1"/>
    <col min="26" max="26" width="6.54296875" bestFit="1" customWidth="1"/>
    <col min="27" max="27" width="7.54296875" bestFit="1" customWidth="1"/>
    <col min="28" max="30" width="6.54296875" bestFit="1" customWidth="1"/>
    <col min="31" max="31" width="6.90625" bestFit="1" customWidth="1"/>
    <col min="32" max="36" width="6.54296875" bestFit="1" customWidth="1"/>
    <col min="37" max="37" width="7.08984375" bestFit="1" customWidth="1"/>
    <col min="38" max="38" width="6.54296875" bestFit="1" customWidth="1"/>
    <col min="48" max="49" width="11.54296875" customWidth="1"/>
    <col min="50" max="50" width="25.08984375" bestFit="1" customWidth="1"/>
    <col min="51" max="51" width="24.453125" bestFit="1" customWidth="1"/>
  </cols>
  <sheetData>
    <row r="1" spans="1:47" ht="13" x14ac:dyDescent="0.3">
      <c r="Y1" s="834" t="s">
        <v>55</v>
      </c>
      <c r="Z1" s="834"/>
      <c r="AA1" s="834"/>
      <c r="AB1" s="834"/>
      <c r="AC1" s="834"/>
      <c r="AD1" s="834"/>
      <c r="AE1" s="834"/>
      <c r="AF1" s="834"/>
      <c r="AG1" s="834"/>
      <c r="AH1" s="834"/>
      <c r="AI1" s="834"/>
      <c r="AJ1" s="834"/>
      <c r="AK1" s="834"/>
      <c r="AL1" s="834"/>
    </row>
    <row r="2" spans="1:47" ht="13" x14ac:dyDescent="0.3">
      <c r="A2" s="834" t="s">
        <v>46</v>
      </c>
      <c r="B2" s="834"/>
      <c r="C2" s="834"/>
      <c r="D2" s="834"/>
      <c r="E2" s="834"/>
      <c r="F2" s="834"/>
      <c r="G2" s="834"/>
      <c r="H2" s="834"/>
      <c r="I2" s="834"/>
      <c r="J2" s="834"/>
      <c r="K2" s="834"/>
      <c r="L2" s="834"/>
      <c r="M2" s="834"/>
      <c r="N2" s="834"/>
      <c r="O2" s="392"/>
      <c r="P2" s="392"/>
      <c r="Q2" s="392"/>
      <c r="R2" s="392"/>
      <c r="S2" s="392"/>
      <c r="T2" s="392"/>
      <c r="U2" s="392"/>
      <c r="V2" s="392"/>
      <c r="W2" s="736"/>
      <c r="X2" s="736"/>
      <c r="Y2" s="66"/>
      <c r="Z2" s="66">
        <v>1988</v>
      </c>
      <c r="AA2" s="66">
        <v>1991</v>
      </c>
      <c r="AB2" s="66">
        <v>1992</v>
      </c>
      <c r="AC2" s="66">
        <v>1993</v>
      </c>
      <c r="AD2" s="66">
        <v>1994</v>
      </c>
      <c r="AE2" s="66">
        <v>1995</v>
      </c>
      <c r="AF2" s="66">
        <v>1996</v>
      </c>
      <c r="AG2" s="66">
        <v>1997</v>
      </c>
      <c r="AH2" s="66">
        <v>1998</v>
      </c>
      <c r="AI2" s="66">
        <v>1999</v>
      </c>
      <c r="AJ2" s="66">
        <v>2000</v>
      </c>
      <c r="AK2" s="66">
        <v>2001</v>
      </c>
      <c r="AL2" s="66">
        <v>2002</v>
      </c>
      <c r="AM2" s="66">
        <v>2003</v>
      </c>
      <c r="AN2" s="66">
        <v>2004</v>
      </c>
      <c r="AO2" s="66">
        <v>2005</v>
      </c>
      <c r="AP2" s="66">
        <v>2006</v>
      </c>
      <c r="AQ2" s="66">
        <v>2007</v>
      </c>
      <c r="AR2" s="66">
        <v>2008</v>
      </c>
      <c r="AS2" s="66">
        <v>2009</v>
      </c>
      <c r="AT2" s="66">
        <v>2010</v>
      </c>
      <c r="AU2" s="66">
        <v>2011</v>
      </c>
    </row>
    <row r="3" spans="1:47" ht="15.5" x14ac:dyDescent="0.35">
      <c r="A3" s="66"/>
      <c r="B3" s="66">
        <v>1988</v>
      </c>
      <c r="C3" s="66">
        <v>1991</v>
      </c>
      <c r="D3" s="66">
        <v>1992</v>
      </c>
      <c r="E3" s="66">
        <v>1993</v>
      </c>
      <c r="F3" s="66">
        <v>1994</v>
      </c>
      <c r="G3" s="66">
        <v>1995</v>
      </c>
      <c r="H3" s="66">
        <v>1996</v>
      </c>
      <c r="I3" s="66">
        <v>1997</v>
      </c>
      <c r="J3" s="66">
        <v>1998</v>
      </c>
      <c r="K3" s="66">
        <v>1999</v>
      </c>
      <c r="L3" s="66">
        <v>2000</v>
      </c>
      <c r="M3" s="66">
        <v>2001</v>
      </c>
      <c r="N3" s="66">
        <v>2002</v>
      </c>
      <c r="O3" s="66">
        <v>2003</v>
      </c>
      <c r="P3" s="66">
        <v>2004</v>
      </c>
      <c r="Q3" s="66">
        <v>2005</v>
      </c>
      <c r="R3" s="66">
        <v>2006</v>
      </c>
      <c r="S3" s="66">
        <v>2007</v>
      </c>
      <c r="T3" s="66">
        <v>2008</v>
      </c>
      <c r="U3" s="66">
        <v>2009</v>
      </c>
      <c r="V3" s="66">
        <v>2010</v>
      </c>
      <c r="W3" s="66">
        <v>2011</v>
      </c>
      <c r="X3" s="66"/>
      <c r="Y3" s="70" t="s">
        <v>49</v>
      </c>
      <c r="Z3" s="6">
        <f t="shared" ref="Z3:AO3" si="0">LN(B6)</f>
        <v>2.0110862220155639</v>
      </c>
      <c r="AA3" s="6">
        <f t="shared" si="0"/>
        <v>3.0549441331858369</v>
      </c>
      <c r="AB3" s="6">
        <f t="shared" si="0"/>
        <v>2.9449651565003379</v>
      </c>
      <c r="AC3" s="6">
        <f t="shared" si="0"/>
        <v>2.1860512767380942</v>
      </c>
      <c r="AD3" s="6">
        <f t="shared" si="0"/>
        <v>3.0170044088295307</v>
      </c>
      <c r="AE3" s="6">
        <f t="shared" si="0"/>
        <v>1.6272778305624314</v>
      </c>
      <c r="AF3" s="6">
        <f t="shared" si="0"/>
        <v>2.8390784635086144</v>
      </c>
      <c r="AG3" s="6">
        <f t="shared" si="0"/>
        <v>2.1041341542702074</v>
      </c>
      <c r="AH3" s="6">
        <f t="shared" si="0"/>
        <v>1.4586150226995167</v>
      </c>
      <c r="AI3" s="6">
        <f t="shared" si="0"/>
        <v>1.7578579175523736</v>
      </c>
      <c r="AJ3" s="6">
        <f t="shared" si="0"/>
        <v>2.6461747973841225</v>
      </c>
      <c r="AK3" s="6">
        <f t="shared" si="0"/>
        <v>3.202746442938317</v>
      </c>
      <c r="AL3" s="6">
        <f t="shared" si="0"/>
        <v>2.7343675094195836</v>
      </c>
      <c r="AM3" s="6">
        <f t="shared" si="0"/>
        <v>2.6946271807700692</v>
      </c>
      <c r="AN3" s="6">
        <f t="shared" si="0"/>
        <v>1.8870696490323797</v>
      </c>
      <c r="AO3" s="6">
        <f t="shared" si="0"/>
        <v>2.7343675094195836</v>
      </c>
      <c r="AP3" s="6">
        <f t="shared" ref="AP3:AU3" si="1">LN(R6)</f>
        <v>2.2082744135228043</v>
      </c>
      <c r="AQ3" s="6">
        <f t="shared" si="1"/>
        <v>2.2300144001592104</v>
      </c>
      <c r="AR3" s="6">
        <f t="shared" si="1"/>
        <v>2.8507065015037334</v>
      </c>
      <c r="AS3" s="6">
        <f t="shared" si="1"/>
        <v>2.5257286443082556</v>
      </c>
      <c r="AT3" s="6">
        <f t="shared" si="1"/>
        <v>2.3608540011180215</v>
      </c>
      <c r="AU3" s="6">
        <f t="shared" si="1"/>
        <v>2.379546134130174</v>
      </c>
    </row>
    <row r="4" spans="1:47" ht="15.5" x14ac:dyDescent="0.35">
      <c r="A4" s="66" t="s">
        <v>38</v>
      </c>
      <c r="B4">
        <v>166</v>
      </c>
      <c r="C4">
        <v>184.16</v>
      </c>
      <c r="D4">
        <v>162.26</v>
      </c>
      <c r="E4">
        <v>167.91</v>
      </c>
      <c r="F4">
        <v>87.03</v>
      </c>
      <c r="G4">
        <v>40.909999999999997</v>
      </c>
      <c r="H4" s="6">
        <v>29.44</v>
      </c>
      <c r="I4" s="6">
        <v>37.700000000000003</v>
      </c>
      <c r="J4">
        <v>36.5</v>
      </c>
      <c r="K4">
        <v>41.6</v>
      </c>
      <c r="L4">
        <v>60</v>
      </c>
      <c r="M4">
        <v>49.8</v>
      </c>
      <c r="N4">
        <v>50.2</v>
      </c>
      <c r="O4">
        <v>49.5</v>
      </c>
      <c r="P4">
        <v>31.9</v>
      </c>
      <c r="Q4">
        <v>39.200000000000003</v>
      </c>
      <c r="R4">
        <v>24</v>
      </c>
      <c r="S4">
        <v>30.7</v>
      </c>
      <c r="T4">
        <v>50.6</v>
      </c>
      <c r="U4">
        <v>34.799999999999997</v>
      </c>
      <c r="V4">
        <v>33.6</v>
      </c>
      <c r="W4">
        <v>40.799999999999997</v>
      </c>
      <c r="Y4" s="70"/>
      <c r="Z4" s="6">
        <f>20+(14.42*Z3)</f>
        <v>48.999863321464431</v>
      </c>
      <c r="AA4" s="6">
        <f t="shared" ref="AA4:AO4" si="2">20+(14.42*AA3)</f>
        <v>64.052294400539765</v>
      </c>
      <c r="AB4" s="6">
        <f t="shared" si="2"/>
        <v>62.466397556734869</v>
      </c>
      <c r="AC4" s="6">
        <f t="shared" si="2"/>
        <v>51.522859410563314</v>
      </c>
      <c r="AD4" s="6">
        <f t="shared" si="2"/>
        <v>63.505203575321829</v>
      </c>
      <c r="AE4" s="6">
        <f t="shared" si="2"/>
        <v>43.46534631671026</v>
      </c>
      <c r="AF4" s="6">
        <f t="shared" si="2"/>
        <v>60.939511443794217</v>
      </c>
      <c r="AG4" s="6">
        <f t="shared" si="2"/>
        <v>50.341614504576391</v>
      </c>
      <c r="AH4" s="6">
        <f t="shared" si="2"/>
        <v>41.033228627327034</v>
      </c>
      <c r="AI4" s="6">
        <f t="shared" si="2"/>
        <v>45.348311171105223</v>
      </c>
      <c r="AJ4" s="6">
        <f t="shared" si="2"/>
        <v>58.15784057827905</v>
      </c>
      <c r="AK4" s="6">
        <f t="shared" si="2"/>
        <v>66.183603707170533</v>
      </c>
      <c r="AL4" s="6">
        <f t="shared" si="2"/>
        <v>59.429579485830395</v>
      </c>
      <c r="AM4" s="6">
        <f t="shared" si="2"/>
        <v>58.856523946704399</v>
      </c>
      <c r="AN4" s="6">
        <f t="shared" si="2"/>
        <v>47.211544339046917</v>
      </c>
      <c r="AO4" s="6">
        <f t="shared" si="2"/>
        <v>59.429579485830395</v>
      </c>
      <c r="AP4" s="6">
        <f t="shared" ref="AP4:AU4" si="3">20+(14.42*AP3)</f>
        <v>51.843317042998834</v>
      </c>
      <c r="AQ4" s="6">
        <f t="shared" si="3"/>
        <v>52.156807650295811</v>
      </c>
      <c r="AR4" s="6">
        <f t="shared" si="3"/>
        <v>61.107187751683838</v>
      </c>
      <c r="AS4" s="6">
        <f t="shared" si="3"/>
        <v>56.421007050925049</v>
      </c>
      <c r="AT4" s="6">
        <f t="shared" si="3"/>
        <v>54.043514696121868</v>
      </c>
      <c r="AU4" s="6">
        <f t="shared" si="3"/>
        <v>54.313055254157106</v>
      </c>
    </row>
    <row r="5" spans="1:47" ht="15.5" x14ac:dyDescent="0.35">
      <c r="A5" s="66" t="s">
        <v>39</v>
      </c>
      <c r="B5" s="5">
        <v>255.14285714285714</v>
      </c>
      <c r="C5" s="5">
        <v>349.27</v>
      </c>
      <c r="D5" s="5">
        <v>266.27</v>
      </c>
      <c r="E5" s="5">
        <v>442.5</v>
      </c>
      <c r="F5" s="5">
        <v>348.74</v>
      </c>
      <c r="G5" s="5">
        <v>492.7</v>
      </c>
      <c r="H5" s="5">
        <v>577.75</v>
      </c>
      <c r="I5" s="5">
        <v>393</v>
      </c>
      <c r="J5" s="5">
        <v>368</v>
      </c>
      <c r="K5" s="5">
        <v>402</v>
      </c>
      <c r="L5" s="5">
        <v>441</v>
      </c>
      <c r="M5" s="5">
        <v>387</v>
      </c>
      <c r="N5" s="5">
        <v>282</v>
      </c>
      <c r="O5" s="5">
        <v>266</v>
      </c>
      <c r="P5" s="5">
        <v>47</v>
      </c>
      <c r="Q5" s="5">
        <v>207</v>
      </c>
      <c r="R5" s="5">
        <v>153</v>
      </c>
      <c r="S5" s="5">
        <v>229</v>
      </c>
      <c r="T5" s="5">
        <v>232</v>
      </c>
      <c r="U5">
        <v>267</v>
      </c>
      <c r="V5" s="5">
        <v>254</v>
      </c>
      <c r="W5" s="5">
        <v>172</v>
      </c>
      <c r="X5" s="5"/>
      <c r="Y5" s="70"/>
      <c r="Z5" s="6"/>
      <c r="AA5" s="6"/>
      <c r="AB5" s="6"/>
      <c r="AC5" s="6"/>
      <c r="AD5" s="6"/>
      <c r="AE5" s="6"/>
      <c r="AF5" s="6"/>
      <c r="AG5" s="6"/>
      <c r="AH5" s="6"/>
      <c r="AI5" s="6"/>
      <c r="AJ5" s="6"/>
      <c r="AK5" s="6"/>
      <c r="AL5" s="6"/>
    </row>
    <row r="6" spans="1:47" ht="15.5" x14ac:dyDescent="0.35">
      <c r="A6" s="66" t="s">
        <v>40</v>
      </c>
      <c r="B6" s="6">
        <v>7.4714285714285706</v>
      </c>
      <c r="C6">
        <v>21.22</v>
      </c>
      <c r="D6">
        <v>19.010000000000002</v>
      </c>
      <c r="E6">
        <v>8.9</v>
      </c>
      <c r="F6">
        <v>20.43</v>
      </c>
      <c r="G6">
        <v>5.09</v>
      </c>
      <c r="H6" s="6">
        <v>17.100000000000001</v>
      </c>
      <c r="I6" s="6">
        <v>8.1999999999999993</v>
      </c>
      <c r="J6">
        <v>4.3</v>
      </c>
      <c r="K6">
        <v>5.8</v>
      </c>
      <c r="L6">
        <v>14.1</v>
      </c>
      <c r="M6">
        <v>24.6</v>
      </c>
      <c r="N6">
        <v>15.4</v>
      </c>
      <c r="O6">
        <v>14.8</v>
      </c>
      <c r="P6">
        <v>6.6</v>
      </c>
      <c r="Q6">
        <v>15.4</v>
      </c>
      <c r="R6">
        <v>9.1</v>
      </c>
      <c r="S6">
        <v>9.3000000000000007</v>
      </c>
      <c r="T6">
        <v>17.3</v>
      </c>
      <c r="U6">
        <v>12.5</v>
      </c>
      <c r="V6">
        <v>10.6</v>
      </c>
      <c r="W6">
        <v>10.8</v>
      </c>
      <c r="Y6" s="70" t="s">
        <v>50</v>
      </c>
      <c r="Z6" s="6">
        <f>LN(B4)</f>
        <v>5.1119877883565437</v>
      </c>
      <c r="AA6" s="6">
        <f t="shared" ref="AA6:AU6" si="4">LN(C4)</f>
        <v>5.2158049449735726</v>
      </c>
      <c r="AB6" s="6">
        <f t="shared" si="4"/>
        <v>5.0891999869669187</v>
      </c>
      <c r="AC6" s="6">
        <f t="shared" si="4"/>
        <v>5.1234281215713775</v>
      </c>
      <c r="AD6" s="6">
        <f t="shared" si="4"/>
        <v>4.4662528868014224</v>
      </c>
      <c r="AE6" s="6">
        <f t="shared" si="4"/>
        <v>3.7113745319413072</v>
      </c>
      <c r="AF6" s="6">
        <f t="shared" si="4"/>
        <v>3.3823542938606757</v>
      </c>
      <c r="AG6" s="6">
        <f t="shared" si="4"/>
        <v>3.629660094453965</v>
      </c>
      <c r="AH6" s="6">
        <f t="shared" si="4"/>
        <v>3.597312260588446</v>
      </c>
      <c r="AI6" s="6">
        <f t="shared" si="4"/>
        <v>3.7281001672672178</v>
      </c>
      <c r="AJ6" s="6">
        <f t="shared" si="4"/>
        <v>4.0943445622221004</v>
      </c>
      <c r="AK6" s="6">
        <f t="shared" si="4"/>
        <v>3.9080149840306073</v>
      </c>
      <c r="AL6" s="6">
        <f t="shared" si="4"/>
        <v>3.9160150266976834</v>
      </c>
      <c r="AM6" s="6">
        <f t="shared" si="4"/>
        <v>3.9019726695746448</v>
      </c>
      <c r="AN6" s="6">
        <f t="shared" si="4"/>
        <v>3.4626060097907989</v>
      </c>
      <c r="AO6" s="6">
        <f t="shared" si="4"/>
        <v>3.6686767467964168</v>
      </c>
      <c r="AP6" s="6">
        <f t="shared" si="4"/>
        <v>3.1780538303479458</v>
      </c>
      <c r="AQ6" s="6">
        <f t="shared" si="4"/>
        <v>3.4242626545931514</v>
      </c>
      <c r="AR6" s="6">
        <f t="shared" si="4"/>
        <v>3.9239515762934198</v>
      </c>
      <c r="AS6" s="6">
        <f t="shared" si="4"/>
        <v>3.5496173867804286</v>
      </c>
      <c r="AT6" s="6">
        <f t="shared" si="4"/>
        <v>3.5145260669691587</v>
      </c>
      <c r="AU6" s="6">
        <f t="shared" si="4"/>
        <v>3.708682081410116</v>
      </c>
    </row>
    <row r="7" spans="1:47" ht="15.5" x14ac:dyDescent="0.35">
      <c r="A7" s="66" t="s">
        <v>41</v>
      </c>
      <c r="B7">
        <v>14</v>
      </c>
      <c r="C7">
        <v>69.67</v>
      </c>
      <c r="D7">
        <v>65.67</v>
      </c>
      <c r="E7">
        <v>32</v>
      </c>
      <c r="F7">
        <v>69.5</v>
      </c>
      <c r="G7">
        <v>36.85</v>
      </c>
      <c r="H7" s="6">
        <v>97.3</v>
      </c>
      <c r="I7" s="6">
        <v>31.7</v>
      </c>
      <c r="J7">
        <v>41.1</v>
      </c>
      <c r="K7">
        <v>36.700000000000003</v>
      </c>
      <c r="L7">
        <v>104.9</v>
      </c>
      <c r="M7">
        <v>69.7</v>
      </c>
      <c r="N7">
        <v>43.7</v>
      </c>
      <c r="O7">
        <v>37.700000000000003</v>
      </c>
      <c r="P7">
        <v>15.2</v>
      </c>
      <c r="Q7">
        <v>75.5</v>
      </c>
      <c r="R7">
        <v>28.7</v>
      </c>
      <c r="S7">
        <v>50.8</v>
      </c>
      <c r="T7">
        <v>73.900000000000006</v>
      </c>
      <c r="U7">
        <v>80.400000000000006</v>
      </c>
      <c r="V7">
        <v>24.1</v>
      </c>
      <c r="W7">
        <v>17.399999999999999</v>
      </c>
      <c r="Y7" s="70"/>
      <c r="Z7" s="6">
        <f>20.02*Z6</f>
        <v>102.341995522898</v>
      </c>
      <c r="AA7" s="6">
        <f t="shared" ref="AA7:AS7" si="5">20.02*AA6</f>
        <v>104.42041499837092</v>
      </c>
      <c r="AB7" s="6">
        <f t="shared" si="5"/>
        <v>101.88578373907771</v>
      </c>
      <c r="AC7" s="6">
        <f t="shared" si="5"/>
        <v>102.57103099385897</v>
      </c>
      <c r="AD7" s="6">
        <f t="shared" si="5"/>
        <v>89.414382793764474</v>
      </c>
      <c r="AE7" s="6">
        <f t="shared" si="5"/>
        <v>74.301718129464973</v>
      </c>
      <c r="AF7" s="6">
        <f t="shared" si="5"/>
        <v>67.714732963090725</v>
      </c>
      <c r="AG7" s="6">
        <f t="shared" si="5"/>
        <v>72.665795090968373</v>
      </c>
      <c r="AH7" s="6">
        <f t="shared" si="5"/>
        <v>72.018191456980688</v>
      </c>
      <c r="AI7" s="6">
        <f t="shared" si="5"/>
        <v>74.6365653486897</v>
      </c>
      <c r="AJ7" s="6">
        <f t="shared" si="5"/>
        <v>81.968778135686449</v>
      </c>
      <c r="AK7" s="6">
        <f t="shared" si="5"/>
        <v>78.23845998029276</v>
      </c>
      <c r="AL7" s="6">
        <f t="shared" si="5"/>
        <v>78.398620834487616</v>
      </c>
      <c r="AM7" s="6">
        <f t="shared" si="5"/>
        <v>78.117492844884381</v>
      </c>
      <c r="AN7" s="6">
        <f t="shared" si="5"/>
        <v>69.321372316011789</v>
      </c>
      <c r="AO7" s="6">
        <f t="shared" si="5"/>
        <v>73.446908470864258</v>
      </c>
      <c r="AP7" s="6">
        <f t="shared" si="5"/>
        <v>63.624637683565872</v>
      </c>
      <c r="AQ7" s="6">
        <f t="shared" si="5"/>
        <v>68.553738344954894</v>
      </c>
      <c r="AR7" s="6">
        <f t="shared" si="5"/>
        <v>78.557510557394266</v>
      </c>
      <c r="AS7" s="6">
        <f t="shared" si="5"/>
        <v>71.063340083344173</v>
      </c>
      <c r="AT7" s="6">
        <f>20.02*AT6</f>
        <v>70.360811860722549</v>
      </c>
      <c r="AU7" s="6">
        <f>20.02*AU6</f>
        <v>74.247815269830525</v>
      </c>
    </row>
    <row r="8" spans="1:47" ht="15.5" x14ac:dyDescent="0.35">
      <c r="A8" s="66" t="s">
        <v>36</v>
      </c>
      <c r="B8" s="3">
        <v>1.625</v>
      </c>
      <c r="C8">
        <v>2.17</v>
      </c>
      <c r="D8">
        <v>2.1</v>
      </c>
      <c r="E8">
        <v>2.84</v>
      </c>
      <c r="F8">
        <v>1.79</v>
      </c>
      <c r="G8">
        <v>2.14</v>
      </c>
      <c r="H8" s="6">
        <v>2.5125000000000002</v>
      </c>
      <c r="I8" s="6">
        <v>1.7</v>
      </c>
      <c r="J8">
        <v>1.76</v>
      </c>
      <c r="K8">
        <v>1.8</v>
      </c>
      <c r="L8">
        <v>2.4</v>
      </c>
      <c r="M8">
        <v>2.2999999999999998</v>
      </c>
      <c r="N8">
        <v>3</v>
      </c>
      <c r="O8">
        <v>1.7</v>
      </c>
      <c r="P8">
        <v>2.6</v>
      </c>
      <c r="Q8">
        <v>2.1</v>
      </c>
      <c r="R8">
        <v>2.4</v>
      </c>
      <c r="S8">
        <v>1.7</v>
      </c>
      <c r="T8">
        <v>2.4</v>
      </c>
      <c r="U8">
        <v>2.7</v>
      </c>
      <c r="V8">
        <v>1.7</v>
      </c>
      <c r="W8">
        <v>2.2000000000000002</v>
      </c>
      <c r="Y8" s="70"/>
      <c r="Z8" s="6"/>
      <c r="AA8" s="6"/>
      <c r="AB8" s="6"/>
      <c r="AC8" s="6"/>
      <c r="AD8" s="6"/>
      <c r="AE8" s="6"/>
      <c r="AF8" s="6"/>
      <c r="AG8" s="6"/>
      <c r="AH8" s="6"/>
      <c r="AI8" s="6"/>
      <c r="AJ8" s="6"/>
      <c r="AK8" s="6"/>
      <c r="AL8" s="6"/>
    </row>
    <row r="9" spans="1:47" ht="15.5" x14ac:dyDescent="0.35">
      <c r="Y9" s="70" t="s">
        <v>51</v>
      </c>
      <c r="Z9" s="6">
        <f>LN(1/B8-0.08)</f>
        <v>-0.62476988311520831</v>
      </c>
      <c r="AA9" s="6">
        <f t="shared" ref="AA9:AO9" si="6">LN(1/C8-0.08)</f>
        <v>-0.96540352872907653</v>
      </c>
      <c r="AB9" s="6">
        <f t="shared" si="6"/>
        <v>-0.92586018289030592</v>
      </c>
      <c r="AC9" s="6">
        <f t="shared" si="6"/>
        <v>-1.3015390482569433</v>
      </c>
      <c r="AD9" s="6">
        <f t="shared" si="6"/>
        <v>-0.7367663797012618</v>
      </c>
      <c r="AE9" s="6">
        <f t="shared" si="6"/>
        <v>-0.94858223651067863</v>
      </c>
      <c r="AF9" s="6">
        <f t="shared" si="6"/>
        <v>-1.1456726066010567</v>
      </c>
      <c r="AG9" s="6">
        <f t="shared" si="6"/>
        <v>-0.67681076124025175</v>
      </c>
      <c r="AH9" s="6">
        <f t="shared" si="6"/>
        <v>-0.71706736427759721</v>
      </c>
      <c r="AI9" s="6">
        <f t="shared" si="6"/>
        <v>-0.74327156774251391</v>
      </c>
      <c r="AJ9" s="6">
        <f t="shared" si="6"/>
        <v>-1.0886619578149417</v>
      </c>
      <c r="AK9" s="6">
        <f t="shared" si="6"/>
        <v>-1.0362500469531339</v>
      </c>
      <c r="AL9" s="6">
        <f t="shared" si="6"/>
        <v>-1.3730491343698701</v>
      </c>
      <c r="AM9" s="6">
        <f t="shared" si="6"/>
        <v>-0.67681076124025175</v>
      </c>
      <c r="AN9" s="6">
        <f t="shared" si="6"/>
        <v>-1.1887053321951477</v>
      </c>
      <c r="AO9" s="6">
        <f t="shared" si="6"/>
        <v>-0.92586018289030592</v>
      </c>
      <c r="AP9" s="6">
        <f t="shared" ref="AP9:AU9" si="7">LN(1/R8-0.08)</f>
        <v>-1.0886619578149417</v>
      </c>
      <c r="AQ9" s="6">
        <f t="shared" si="7"/>
        <v>-0.67681076124025175</v>
      </c>
      <c r="AR9" s="6">
        <f t="shared" si="7"/>
        <v>-1.0886619578149417</v>
      </c>
      <c r="AS9" s="6">
        <f t="shared" si="7"/>
        <v>-1.2365980316420127</v>
      </c>
      <c r="AT9" s="6">
        <f t="shared" si="7"/>
        <v>-0.67681076124025175</v>
      </c>
      <c r="AU9" s="6">
        <f t="shared" si="7"/>
        <v>-0.9820421094369356</v>
      </c>
    </row>
    <row r="10" spans="1:47" ht="15.5" x14ac:dyDescent="0.35">
      <c r="Y10" s="70"/>
      <c r="Z10" s="6">
        <f>75.34+(19.46*Z9)</f>
        <v>63.181978074578048</v>
      </c>
      <c r="AA10" s="6">
        <f t="shared" ref="AA10:AO10" si="8">75.34+(19.46*AA9)</f>
        <v>56.553247330932173</v>
      </c>
      <c r="AB10" s="6">
        <f t="shared" si="8"/>
        <v>57.322760840954651</v>
      </c>
      <c r="AC10" s="6">
        <f t="shared" si="8"/>
        <v>50.012050120919881</v>
      </c>
      <c r="AD10" s="6">
        <f t="shared" si="8"/>
        <v>61.00252625101345</v>
      </c>
      <c r="AE10" s="6">
        <f t="shared" si="8"/>
        <v>56.880589677502201</v>
      </c>
      <c r="AF10" s="6">
        <f t="shared" si="8"/>
        <v>53.045211075543435</v>
      </c>
      <c r="AG10" s="6">
        <f t="shared" si="8"/>
        <v>62.169262586264708</v>
      </c>
      <c r="AH10" s="6">
        <f t="shared" si="8"/>
        <v>61.385869091157957</v>
      </c>
      <c r="AI10" s="6">
        <f t="shared" si="8"/>
        <v>60.875935291730684</v>
      </c>
      <c r="AJ10" s="6">
        <f t="shared" si="8"/>
        <v>54.154638300921235</v>
      </c>
      <c r="AK10" s="6">
        <f t="shared" si="8"/>
        <v>55.174574086292012</v>
      </c>
      <c r="AL10" s="6">
        <f t="shared" si="8"/>
        <v>48.620463845162334</v>
      </c>
      <c r="AM10" s="6">
        <f t="shared" si="8"/>
        <v>62.169262586264708</v>
      </c>
      <c r="AN10" s="6">
        <f t="shared" si="8"/>
        <v>52.207794235482424</v>
      </c>
      <c r="AO10" s="6">
        <f t="shared" si="8"/>
        <v>57.322760840954651</v>
      </c>
      <c r="AP10" s="6">
        <f t="shared" ref="AP10:AU10" si="9">75.34+(19.46*AP9)</f>
        <v>54.154638300921235</v>
      </c>
      <c r="AQ10" s="6">
        <f t="shared" si="9"/>
        <v>62.169262586264708</v>
      </c>
      <c r="AR10" s="6">
        <f t="shared" si="9"/>
        <v>54.154638300921235</v>
      </c>
      <c r="AS10" s="6">
        <f t="shared" si="9"/>
        <v>51.27580230424644</v>
      </c>
      <c r="AT10" s="6">
        <f t="shared" si="9"/>
        <v>62.169262586264708</v>
      </c>
      <c r="AU10" s="6">
        <f t="shared" si="9"/>
        <v>56.229460550357231</v>
      </c>
    </row>
    <row r="11" spans="1:47" ht="15.5" x14ac:dyDescent="0.35">
      <c r="Y11" s="70"/>
      <c r="Z11" s="6"/>
      <c r="AA11" s="6"/>
      <c r="AB11" s="6"/>
      <c r="AC11" s="6"/>
      <c r="AD11" s="6"/>
      <c r="AE11" s="6"/>
      <c r="AF11" s="6"/>
      <c r="AG11" s="6"/>
      <c r="AH11" s="6"/>
      <c r="AI11" s="6"/>
      <c r="AJ11" s="6"/>
      <c r="AK11" s="6"/>
      <c r="AL11" s="6"/>
    </row>
    <row r="12" spans="1:47" ht="15.5" x14ac:dyDescent="0.35">
      <c r="Y12" s="70" t="s">
        <v>52</v>
      </c>
      <c r="Z12" s="6">
        <f>+(Z4+Z7+Z10)/3</f>
        <v>71.50794563964682</v>
      </c>
      <c r="AA12" s="6">
        <f t="shared" ref="AA12:AN12" si="10">+(AA4+AA7+AA10)/3</f>
        <v>75.008652243280963</v>
      </c>
      <c r="AB12" s="6">
        <f t="shared" si="10"/>
        <v>73.891647378922414</v>
      </c>
      <c r="AC12" s="6">
        <f t="shared" si="10"/>
        <v>68.035313508447373</v>
      </c>
      <c r="AD12" s="6">
        <f t="shared" si="10"/>
        <v>71.30737087336658</v>
      </c>
      <c r="AE12" s="6">
        <f t="shared" si="10"/>
        <v>58.215884707892478</v>
      </c>
      <c r="AF12" s="6">
        <f t="shared" si="10"/>
        <v>60.566485160809464</v>
      </c>
      <c r="AG12" s="6">
        <f t="shared" si="10"/>
        <v>61.725557393936491</v>
      </c>
      <c r="AH12" s="6">
        <f t="shared" si="10"/>
        <v>58.145763058488562</v>
      </c>
      <c r="AI12" s="6">
        <f t="shared" si="10"/>
        <v>60.286937270508531</v>
      </c>
      <c r="AJ12" s="6">
        <f t="shared" si="10"/>
        <v>64.760419004962259</v>
      </c>
      <c r="AK12" s="6">
        <f t="shared" si="10"/>
        <v>66.532212591251763</v>
      </c>
      <c r="AL12" s="6">
        <f t="shared" si="10"/>
        <v>62.149554721826782</v>
      </c>
      <c r="AM12" s="6">
        <f t="shared" si="10"/>
        <v>66.381093125951168</v>
      </c>
      <c r="AN12" s="6">
        <f t="shared" si="10"/>
        <v>56.246903630180377</v>
      </c>
      <c r="AO12" s="6">
        <f t="shared" ref="AO12:AU12" si="11">+(AO4+AO7+AO10)/3</f>
        <v>63.399749599216442</v>
      </c>
      <c r="AP12" s="6">
        <f t="shared" si="11"/>
        <v>56.540864342495318</v>
      </c>
      <c r="AQ12" s="6">
        <f t="shared" si="11"/>
        <v>60.959936193838473</v>
      </c>
      <c r="AR12" s="6">
        <f t="shared" si="11"/>
        <v>64.606445536666456</v>
      </c>
      <c r="AS12" s="6">
        <f t="shared" si="11"/>
        <v>59.58671647950522</v>
      </c>
      <c r="AT12" s="6">
        <f t="shared" si="11"/>
        <v>62.191196381036377</v>
      </c>
      <c r="AU12" s="6">
        <f t="shared" si="11"/>
        <v>61.596777024781623</v>
      </c>
    </row>
    <row r="13" spans="1:47" x14ac:dyDescent="0.25">
      <c r="Y13" s="66"/>
      <c r="Z13" s="6" t="s">
        <v>53</v>
      </c>
      <c r="AA13" s="6" t="s">
        <v>53</v>
      </c>
      <c r="AB13" s="6" t="s">
        <v>53</v>
      </c>
      <c r="AC13" s="6" t="s">
        <v>53</v>
      </c>
      <c r="AD13" s="6" t="s">
        <v>53</v>
      </c>
      <c r="AE13" s="6" t="s">
        <v>54</v>
      </c>
      <c r="AF13" s="6" t="s">
        <v>54</v>
      </c>
      <c r="AG13" s="6" t="s">
        <v>54</v>
      </c>
      <c r="AH13" s="6" t="s">
        <v>54</v>
      </c>
      <c r="AI13" s="6" t="s">
        <v>54</v>
      </c>
      <c r="AJ13" s="6" t="s">
        <v>54</v>
      </c>
      <c r="AK13" s="6" t="s">
        <v>54</v>
      </c>
      <c r="AL13" s="6" t="s">
        <v>54</v>
      </c>
    </row>
    <row r="14" spans="1:47"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9"/>
      <c r="AA14" s="9"/>
      <c r="AB14" s="9"/>
      <c r="AC14" s="9"/>
      <c r="AD14" s="9"/>
      <c r="AE14" s="9"/>
      <c r="AF14" s="9"/>
      <c r="AG14" s="9"/>
      <c r="AH14" s="9"/>
      <c r="AI14" s="9"/>
      <c r="AJ14" s="9"/>
      <c r="AK14" s="9"/>
      <c r="AL14" s="6"/>
    </row>
    <row r="15" spans="1:47" ht="13" x14ac:dyDescent="0.3">
      <c r="A15" s="834" t="s">
        <v>42</v>
      </c>
      <c r="B15" s="834"/>
      <c r="C15" s="834"/>
      <c r="D15" s="834"/>
      <c r="E15" s="834"/>
      <c r="F15" s="834"/>
      <c r="G15" s="834"/>
      <c r="H15" s="834"/>
      <c r="I15" s="834"/>
      <c r="J15" s="834"/>
      <c r="K15" s="834"/>
      <c r="L15" s="834"/>
      <c r="M15" s="834"/>
      <c r="N15" s="834"/>
      <c r="O15" s="392"/>
      <c r="P15" s="392"/>
      <c r="Q15" s="392"/>
      <c r="R15" s="392"/>
      <c r="S15" s="392"/>
      <c r="T15" s="392"/>
      <c r="U15" s="392"/>
      <c r="V15" s="392"/>
      <c r="W15" s="736"/>
      <c r="X15" s="736"/>
      <c r="Y15" s="834" t="s">
        <v>56</v>
      </c>
      <c r="Z15" s="834"/>
      <c r="AA15" s="834"/>
      <c r="AB15" s="834"/>
      <c r="AC15" s="834"/>
      <c r="AD15" s="834"/>
      <c r="AE15" s="834"/>
      <c r="AF15" s="834"/>
      <c r="AG15" s="834"/>
      <c r="AH15" s="834"/>
      <c r="AI15" s="834"/>
      <c r="AJ15" s="834"/>
      <c r="AK15" s="834"/>
      <c r="AL15" s="834"/>
    </row>
    <row r="16" spans="1:47" x14ac:dyDescent="0.25">
      <c r="A16" s="66"/>
      <c r="B16" s="66"/>
      <c r="C16" s="66">
        <v>1991</v>
      </c>
      <c r="D16" s="66">
        <v>1992</v>
      </c>
      <c r="E16" s="66">
        <v>1993</v>
      </c>
      <c r="F16" s="66">
        <v>1994</v>
      </c>
      <c r="G16" s="66">
        <v>1995</v>
      </c>
      <c r="H16" s="66">
        <v>1996</v>
      </c>
      <c r="I16" s="66">
        <v>1997</v>
      </c>
      <c r="J16" s="66">
        <v>1998</v>
      </c>
      <c r="K16" s="66">
        <v>1999</v>
      </c>
      <c r="L16" s="66">
        <v>2000</v>
      </c>
      <c r="M16" s="66">
        <v>2001</v>
      </c>
      <c r="N16" s="66">
        <v>2002</v>
      </c>
      <c r="O16" s="66">
        <v>2003</v>
      </c>
      <c r="P16" s="66">
        <v>2004</v>
      </c>
      <c r="Q16" s="66">
        <v>2005</v>
      </c>
      <c r="R16" s="66">
        <v>2006</v>
      </c>
      <c r="S16" s="66">
        <v>2007</v>
      </c>
      <c r="T16" s="66">
        <v>2008</v>
      </c>
      <c r="U16" s="66">
        <v>2009</v>
      </c>
      <c r="V16" s="66">
        <v>2010</v>
      </c>
      <c r="W16" s="66">
        <v>2011</v>
      </c>
      <c r="X16" s="66"/>
      <c r="Y16" s="66"/>
      <c r="Z16" s="66">
        <v>1988</v>
      </c>
      <c r="AA16" s="66">
        <v>1991</v>
      </c>
      <c r="AB16" s="66">
        <v>1992</v>
      </c>
      <c r="AC16" s="66">
        <v>1993</v>
      </c>
      <c r="AD16" s="66">
        <v>1994</v>
      </c>
      <c r="AE16" s="66">
        <v>1995</v>
      </c>
      <c r="AF16" s="66">
        <v>1996</v>
      </c>
      <c r="AG16" s="66">
        <v>1997</v>
      </c>
      <c r="AH16" s="66">
        <v>1998</v>
      </c>
      <c r="AI16" s="66">
        <v>1999</v>
      </c>
      <c r="AJ16" s="66">
        <v>2000</v>
      </c>
      <c r="AK16" s="66">
        <v>2001</v>
      </c>
      <c r="AL16" s="66">
        <v>2002</v>
      </c>
      <c r="AM16" s="66">
        <v>2003</v>
      </c>
      <c r="AN16" s="66">
        <v>2004</v>
      </c>
      <c r="AO16" s="66">
        <v>2005</v>
      </c>
      <c r="AP16" s="66">
        <v>2006</v>
      </c>
      <c r="AQ16" s="66">
        <v>2007</v>
      </c>
      <c r="AR16" s="66">
        <v>2008</v>
      </c>
      <c r="AS16" s="66">
        <v>2009</v>
      </c>
      <c r="AT16" s="66">
        <v>2010</v>
      </c>
      <c r="AU16" s="66">
        <v>2011</v>
      </c>
    </row>
    <row r="17" spans="1:47" ht="15.5" x14ac:dyDescent="0.35">
      <c r="A17" s="66" t="s">
        <v>38</v>
      </c>
      <c r="C17">
        <v>191.83</v>
      </c>
      <c r="D17">
        <v>181.66</v>
      </c>
      <c r="E17">
        <v>206.9</v>
      </c>
      <c r="F17">
        <v>92.27</v>
      </c>
      <c r="G17">
        <v>58.4</v>
      </c>
      <c r="H17">
        <v>30.9</v>
      </c>
      <c r="I17">
        <v>39</v>
      </c>
      <c r="J17" s="6">
        <v>35</v>
      </c>
      <c r="K17" s="6">
        <v>46.4</v>
      </c>
      <c r="L17" s="6">
        <v>42.4</v>
      </c>
      <c r="M17" s="6">
        <v>62.2</v>
      </c>
      <c r="N17" s="6">
        <v>51</v>
      </c>
      <c r="O17" s="6">
        <v>62.4</v>
      </c>
      <c r="P17">
        <v>40.299999999999997</v>
      </c>
      <c r="Q17" s="6">
        <v>45.8</v>
      </c>
      <c r="R17" s="6">
        <v>25.5</v>
      </c>
      <c r="S17" s="6">
        <v>28.6</v>
      </c>
      <c r="T17" s="6">
        <v>61.4</v>
      </c>
      <c r="U17">
        <v>49.1</v>
      </c>
      <c r="V17" s="6">
        <v>38.799999999999997</v>
      </c>
      <c r="W17" s="6">
        <v>55.2</v>
      </c>
      <c r="X17" s="6"/>
      <c r="Y17" s="70" t="s">
        <v>49</v>
      </c>
      <c r="Z17" s="6"/>
      <c r="AA17" s="6">
        <f t="shared" ref="AA17:AU17" si="12">LN(C19)</f>
        <v>1.3837912309017721</v>
      </c>
      <c r="AB17" s="6">
        <f t="shared" si="12"/>
        <v>2.4664031782234406</v>
      </c>
      <c r="AC17" s="6">
        <f t="shared" si="12"/>
        <v>2.6672282065819548</v>
      </c>
      <c r="AD17" s="6">
        <f t="shared" si="12"/>
        <v>3.2733640101522705</v>
      </c>
      <c r="AE17" s="6">
        <f t="shared" si="12"/>
        <v>2.3942522815198695</v>
      </c>
      <c r="AF17" s="6">
        <f t="shared" si="12"/>
        <v>3.1701056604987712</v>
      </c>
      <c r="AG17" s="6">
        <f t="shared" si="12"/>
        <v>1.791759469228055</v>
      </c>
      <c r="AH17" s="6">
        <f t="shared" si="12"/>
        <v>0.9895411936137477</v>
      </c>
      <c r="AI17" s="6">
        <f t="shared" si="12"/>
        <v>1.1314021114911006</v>
      </c>
      <c r="AJ17" s="6">
        <f t="shared" si="12"/>
        <v>2.6810215287142909</v>
      </c>
      <c r="AK17" s="6">
        <f t="shared" si="12"/>
        <v>3.1570004211501135</v>
      </c>
      <c r="AL17" s="6">
        <f t="shared" si="12"/>
        <v>3.0106208860477417</v>
      </c>
      <c r="AM17" s="6">
        <f t="shared" si="12"/>
        <v>2.917770732084279</v>
      </c>
      <c r="AN17" s="6">
        <f t="shared" si="12"/>
        <v>2.1400661634962708</v>
      </c>
      <c r="AO17" s="6">
        <f t="shared" si="12"/>
        <v>2.7408400239252009</v>
      </c>
      <c r="AP17" s="6">
        <f t="shared" si="12"/>
        <v>2.5802168295923251</v>
      </c>
      <c r="AQ17" s="6">
        <f t="shared" si="12"/>
        <v>1.8718021769015913</v>
      </c>
      <c r="AR17" s="6">
        <f t="shared" si="12"/>
        <v>3.2503744919275719</v>
      </c>
      <c r="AS17" s="6">
        <f t="shared" si="12"/>
        <v>3.1484533605716547</v>
      </c>
      <c r="AT17" s="6">
        <f t="shared" si="12"/>
        <v>2.7212954278522306</v>
      </c>
      <c r="AU17" s="6">
        <f t="shared" si="12"/>
        <v>2.1972245773362196</v>
      </c>
    </row>
    <row r="18" spans="1:47" ht="15.5" x14ac:dyDescent="0.35">
      <c r="A18" s="66" t="s">
        <v>39</v>
      </c>
      <c r="C18">
        <v>234.14</v>
      </c>
      <c r="D18">
        <v>133.19999999999999</v>
      </c>
      <c r="E18">
        <v>198.57</v>
      </c>
      <c r="F18">
        <v>156.69999999999999</v>
      </c>
      <c r="G18">
        <v>284.52999999999997</v>
      </c>
      <c r="H18">
        <v>340.4</v>
      </c>
      <c r="I18">
        <v>302.89999999999998</v>
      </c>
      <c r="J18">
        <v>228</v>
      </c>
      <c r="K18">
        <v>201</v>
      </c>
      <c r="L18">
        <v>347</v>
      </c>
      <c r="M18">
        <v>208</v>
      </c>
      <c r="N18">
        <v>171</v>
      </c>
      <c r="O18">
        <v>121</v>
      </c>
      <c r="P18">
        <v>175</v>
      </c>
      <c r="Q18">
        <v>150</v>
      </c>
      <c r="R18">
        <v>12</v>
      </c>
      <c r="S18">
        <v>145</v>
      </c>
      <c r="T18">
        <v>79</v>
      </c>
      <c r="U18">
        <v>180</v>
      </c>
      <c r="V18">
        <v>112</v>
      </c>
      <c r="W18">
        <v>111</v>
      </c>
      <c r="Y18" s="70"/>
      <c r="Z18" s="6"/>
      <c r="AA18" s="6">
        <f>20+(14.42*AA17)</f>
        <v>39.954269549603552</v>
      </c>
      <c r="AB18" s="6">
        <f t="shared" ref="AB18:AP18" si="13">20+(14.42*AB17)</f>
        <v>55.565533829982016</v>
      </c>
      <c r="AC18" s="6">
        <f t="shared" si="13"/>
        <v>58.461430738911787</v>
      </c>
      <c r="AD18" s="6">
        <f t="shared" si="13"/>
        <v>67.201909026395739</v>
      </c>
      <c r="AE18" s="6">
        <f t="shared" si="13"/>
        <v>54.525117899516516</v>
      </c>
      <c r="AF18" s="6">
        <f t="shared" si="13"/>
        <v>65.712923624392289</v>
      </c>
      <c r="AG18" s="6">
        <f t="shared" si="13"/>
        <v>45.83717154626855</v>
      </c>
      <c r="AH18" s="6">
        <f t="shared" si="13"/>
        <v>34.269184011910241</v>
      </c>
      <c r="AI18" s="6">
        <f t="shared" si="13"/>
        <v>36.314818447701668</v>
      </c>
      <c r="AJ18" s="6">
        <f t="shared" si="13"/>
        <v>58.660330444060072</v>
      </c>
      <c r="AK18" s="6">
        <f t="shared" si="13"/>
        <v>65.523946072984643</v>
      </c>
      <c r="AL18" s="6">
        <f t="shared" si="13"/>
        <v>63.413153176808436</v>
      </c>
      <c r="AM18" s="6">
        <f t="shared" si="13"/>
        <v>62.074253956655305</v>
      </c>
      <c r="AN18" s="6">
        <f t="shared" si="13"/>
        <v>50.859754077616223</v>
      </c>
      <c r="AO18" s="6">
        <f t="shared" si="13"/>
        <v>59.522913145001397</v>
      </c>
      <c r="AP18" s="6">
        <f t="shared" si="13"/>
        <v>57.206726682721325</v>
      </c>
      <c r="AQ18" s="6">
        <f>20+(14.42*AQ17)</f>
        <v>46.991387390920949</v>
      </c>
      <c r="AR18" s="6">
        <f>20+(14.42*AR17)</f>
        <v>66.870400173595584</v>
      </c>
      <c r="AS18" s="6">
        <f>20+(14.42*AS17)</f>
        <v>65.400697459443251</v>
      </c>
      <c r="AT18" s="6">
        <f>20+(14.42*AT17)</f>
        <v>59.241080069629163</v>
      </c>
      <c r="AU18" s="6">
        <f>20+(14.42*AU17)</f>
        <v>51.683978405188284</v>
      </c>
    </row>
    <row r="19" spans="1:47" ht="15.5" x14ac:dyDescent="0.35">
      <c r="A19" s="66" t="s">
        <v>40</v>
      </c>
      <c r="C19">
        <v>3.99</v>
      </c>
      <c r="D19">
        <v>11.78</v>
      </c>
      <c r="E19">
        <v>14.4</v>
      </c>
      <c r="F19">
        <v>26.4</v>
      </c>
      <c r="G19">
        <v>10.96</v>
      </c>
      <c r="H19">
        <v>23.81</v>
      </c>
      <c r="I19">
        <v>6</v>
      </c>
      <c r="J19">
        <v>2.69</v>
      </c>
      <c r="K19">
        <v>3.1</v>
      </c>
      <c r="L19">
        <v>14.6</v>
      </c>
      <c r="M19">
        <v>23.5</v>
      </c>
      <c r="N19">
        <v>20.3</v>
      </c>
      <c r="O19">
        <v>18.5</v>
      </c>
      <c r="P19">
        <v>8.5</v>
      </c>
      <c r="Q19">
        <v>15.5</v>
      </c>
      <c r="R19">
        <v>13.2</v>
      </c>
      <c r="S19">
        <v>6.5</v>
      </c>
      <c r="T19">
        <v>25.8</v>
      </c>
      <c r="U19">
        <v>23.3</v>
      </c>
      <c r="V19">
        <v>15.2</v>
      </c>
      <c r="W19">
        <v>9</v>
      </c>
      <c r="Y19" s="70"/>
      <c r="Z19" s="6"/>
      <c r="AA19" s="6"/>
      <c r="AB19" s="6"/>
      <c r="AC19" s="6"/>
      <c r="AD19" s="6"/>
      <c r="AE19" s="6"/>
      <c r="AF19" s="6"/>
      <c r="AG19" s="6"/>
      <c r="AH19" s="6"/>
      <c r="AI19" s="6"/>
      <c r="AJ19" s="6"/>
      <c r="AK19" s="6"/>
      <c r="AL19" s="6"/>
    </row>
    <row r="20" spans="1:47" ht="15.5" x14ac:dyDescent="0.35">
      <c r="A20" s="66" t="s">
        <v>41</v>
      </c>
      <c r="C20">
        <v>6.25</v>
      </c>
      <c r="D20">
        <v>26.18</v>
      </c>
      <c r="E20">
        <v>32</v>
      </c>
      <c r="F20">
        <v>69.5</v>
      </c>
      <c r="G20">
        <v>36.85</v>
      </c>
      <c r="H20">
        <v>91.4</v>
      </c>
      <c r="I20">
        <v>16.399999999999999</v>
      </c>
      <c r="J20">
        <v>5.8</v>
      </c>
      <c r="K20">
        <v>7.7</v>
      </c>
      <c r="L20">
        <v>95.9</v>
      </c>
      <c r="M20">
        <v>69.7</v>
      </c>
      <c r="N20">
        <v>43.7</v>
      </c>
      <c r="O20">
        <v>37.700000000000003</v>
      </c>
      <c r="P20">
        <v>15.2</v>
      </c>
      <c r="Q20">
        <v>75.5</v>
      </c>
      <c r="R20">
        <v>28.7</v>
      </c>
      <c r="S20">
        <v>20.7</v>
      </c>
      <c r="T20">
        <v>73.900000000000006</v>
      </c>
      <c r="U20">
        <v>80.400000000000006</v>
      </c>
      <c r="V20">
        <v>22.8</v>
      </c>
      <c r="W20">
        <v>17.399999999999999</v>
      </c>
      <c r="Y20" s="70" t="s">
        <v>50</v>
      </c>
      <c r="Z20" s="6"/>
      <c r="AA20" s="6">
        <f>LN(C17)</f>
        <v>5.2566095631482463</v>
      </c>
      <c r="AB20" s="6">
        <f t="shared" ref="AB20:AU20" si="14">LN(D17)</f>
        <v>5.2021368080740675</v>
      </c>
      <c r="AC20" s="6">
        <f t="shared" si="14"/>
        <v>5.3322355847514977</v>
      </c>
      <c r="AD20" s="6">
        <f t="shared" si="14"/>
        <v>4.5247190615904644</v>
      </c>
      <c r="AE20" s="6">
        <f t="shared" si="14"/>
        <v>4.0673158898341812</v>
      </c>
      <c r="AF20" s="6">
        <f t="shared" si="14"/>
        <v>3.4307561839036995</v>
      </c>
      <c r="AG20" s="6">
        <f t="shared" si="14"/>
        <v>3.6635616461296463</v>
      </c>
      <c r="AH20" s="6">
        <f t="shared" si="14"/>
        <v>3.5553480614894135</v>
      </c>
      <c r="AI20" s="6">
        <f t="shared" si="14"/>
        <v>3.8372994592322094</v>
      </c>
      <c r="AJ20" s="6">
        <f t="shared" si="14"/>
        <v>3.7471483622379123</v>
      </c>
      <c r="AK20" s="6">
        <f t="shared" si="14"/>
        <v>4.1303549997451334</v>
      </c>
      <c r="AL20" s="6">
        <f t="shared" si="14"/>
        <v>3.9318256327243257</v>
      </c>
      <c r="AM20" s="6">
        <f t="shared" si="14"/>
        <v>4.133565275375382</v>
      </c>
      <c r="AN20" s="6">
        <f t="shared" si="14"/>
        <v>3.6963514689526371</v>
      </c>
      <c r="AO20" s="6">
        <f t="shared" si="14"/>
        <v>3.824284091120139</v>
      </c>
      <c r="AP20" s="6">
        <f t="shared" si="14"/>
        <v>3.2386784521643803</v>
      </c>
      <c r="AQ20" s="6">
        <f t="shared" si="14"/>
        <v>3.3534067178258069</v>
      </c>
      <c r="AR20" s="6">
        <f t="shared" si="14"/>
        <v>4.1174098351530963</v>
      </c>
      <c r="AS20" s="6">
        <f t="shared" si="14"/>
        <v>3.8938590348004749</v>
      </c>
      <c r="AT20" s="6">
        <f t="shared" si="14"/>
        <v>3.6584202466292277</v>
      </c>
      <c r="AU20" s="6">
        <f t="shared" si="14"/>
        <v>4.01096295328305</v>
      </c>
    </row>
    <row r="21" spans="1:47" ht="15.5" x14ac:dyDescent="0.35">
      <c r="A21" s="66" t="s">
        <v>36</v>
      </c>
      <c r="C21">
        <v>2.0299999999999998</v>
      </c>
      <c r="D21">
        <v>2.12</v>
      </c>
      <c r="E21">
        <v>2.23</v>
      </c>
      <c r="F21">
        <v>1.7</v>
      </c>
      <c r="G21">
        <v>1.24</v>
      </c>
      <c r="H21">
        <v>2.5329999999999999</v>
      </c>
      <c r="I21">
        <v>1.4</v>
      </c>
      <c r="J21">
        <v>1.7</v>
      </c>
      <c r="K21">
        <v>1.8</v>
      </c>
      <c r="L21">
        <v>2.31</v>
      </c>
      <c r="M21">
        <v>2.2999999999999998</v>
      </c>
      <c r="N21">
        <v>2.7</v>
      </c>
      <c r="O21">
        <v>1.6</v>
      </c>
      <c r="P21">
        <v>2</v>
      </c>
      <c r="Q21">
        <v>1.5</v>
      </c>
      <c r="R21">
        <v>2.4</v>
      </c>
      <c r="S21">
        <v>2.5</v>
      </c>
      <c r="T21">
        <v>1.5</v>
      </c>
      <c r="U21">
        <v>1.8</v>
      </c>
      <c r="V21">
        <v>1.6</v>
      </c>
      <c r="W21">
        <v>2.2000000000000002</v>
      </c>
      <c r="Y21" s="70"/>
      <c r="Z21" s="6"/>
      <c r="AA21" s="6">
        <f>20.02*AA20</f>
        <v>105.23732345422789</v>
      </c>
      <c r="AB21" s="6">
        <f t="shared" ref="AB21:AP21" si="15">20.02*AB20</f>
        <v>104.14677889764283</v>
      </c>
      <c r="AC21" s="6">
        <f t="shared" si="15"/>
        <v>106.75135640672498</v>
      </c>
      <c r="AD21" s="6">
        <f t="shared" si="15"/>
        <v>90.584875613041092</v>
      </c>
      <c r="AE21" s="6">
        <f t="shared" si="15"/>
        <v>81.427664114480308</v>
      </c>
      <c r="AF21" s="6">
        <f t="shared" si="15"/>
        <v>68.683738801752057</v>
      </c>
      <c r="AG21" s="6">
        <f t="shared" si="15"/>
        <v>73.344504155515523</v>
      </c>
      <c r="AH21" s="6">
        <f t="shared" si="15"/>
        <v>71.178068191018056</v>
      </c>
      <c r="AI21" s="6">
        <f t="shared" si="15"/>
        <v>76.822735173828832</v>
      </c>
      <c r="AJ21" s="6">
        <f t="shared" si="15"/>
        <v>75.017910212003002</v>
      </c>
      <c r="AK21" s="6">
        <f t="shared" si="15"/>
        <v>82.689707094897571</v>
      </c>
      <c r="AL21" s="6">
        <f t="shared" si="15"/>
        <v>78.715149167140993</v>
      </c>
      <c r="AM21" s="6">
        <f t="shared" si="15"/>
        <v>82.753976813015143</v>
      </c>
      <c r="AN21" s="6">
        <f t="shared" si="15"/>
        <v>74.00095640843179</v>
      </c>
      <c r="AO21" s="6">
        <f t="shared" si="15"/>
        <v>76.562167504225187</v>
      </c>
      <c r="AP21" s="6">
        <f t="shared" si="15"/>
        <v>64.838342612330891</v>
      </c>
      <c r="AQ21" s="6">
        <f>20.02*AQ20</f>
        <v>67.135202490872658</v>
      </c>
      <c r="AR21" s="6">
        <f>20.02*AR20</f>
        <v>82.430544899764982</v>
      </c>
      <c r="AS21" s="6">
        <f>20.02*AS20</f>
        <v>77.95505787670551</v>
      </c>
      <c r="AT21" s="6">
        <f>20.02*AT20</f>
        <v>73.241573337517138</v>
      </c>
      <c r="AU21" s="6">
        <f>20.02*AU20</f>
        <v>80.299478324726664</v>
      </c>
    </row>
    <row r="22" spans="1:47" ht="15.5" x14ac:dyDescent="0.35">
      <c r="Y22" s="70"/>
      <c r="Z22" s="6"/>
      <c r="AA22" s="6"/>
      <c r="AB22" s="6"/>
      <c r="AC22" s="6"/>
      <c r="AD22" s="6"/>
      <c r="AE22" s="6"/>
      <c r="AF22" s="6"/>
      <c r="AG22" s="6"/>
      <c r="AH22" s="6"/>
      <c r="AI22" s="6"/>
      <c r="AJ22" s="6"/>
      <c r="AK22" s="6"/>
      <c r="AL22" s="6"/>
    </row>
    <row r="23" spans="1:47" ht="15.5" x14ac:dyDescent="0.35">
      <c r="Y23" s="70" t="s">
        <v>51</v>
      </c>
      <c r="Z23" s="6"/>
      <c r="AA23" s="6">
        <f>LN(1/C21-0.08)</f>
        <v>-0.88525041247950575</v>
      </c>
      <c r="AB23" s="6">
        <f t="shared" ref="AB23:AP23" si="16">LN(1/D21-0.08)</f>
        <v>-0.93726385525443412</v>
      </c>
      <c r="AC23" s="6">
        <f t="shared" si="16"/>
        <v>-0.998503205839816</v>
      </c>
      <c r="AD23" s="6">
        <f t="shared" si="16"/>
        <v>-0.67681076124025175</v>
      </c>
      <c r="AE23" s="6">
        <f t="shared" si="16"/>
        <v>-0.31958340121365647</v>
      </c>
      <c r="AF23" s="6">
        <f t="shared" si="16"/>
        <v>-1.1558533793424743</v>
      </c>
      <c r="AG23" s="6">
        <f t="shared" si="16"/>
        <v>-0.45525577261117983</v>
      </c>
      <c r="AH23" s="6">
        <f t="shared" si="16"/>
        <v>-0.67681076124025175</v>
      </c>
      <c r="AI23" s="6">
        <f t="shared" si="16"/>
        <v>-0.74327156774251391</v>
      </c>
      <c r="AJ23" s="6">
        <f t="shared" si="16"/>
        <v>-1.0415693216073243</v>
      </c>
      <c r="AK23" s="6">
        <f t="shared" si="16"/>
        <v>-1.0362500469531339</v>
      </c>
      <c r="AL23" s="6">
        <f t="shared" si="16"/>
        <v>-1.2365980316420127</v>
      </c>
      <c r="AM23" s="6">
        <f t="shared" si="16"/>
        <v>-0.60696948431889286</v>
      </c>
      <c r="AN23" s="6">
        <f t="shared" si="16"/>
        <v>-0.86750056770472306</v>
      </c>
      <c r="AO23" s="6">
        <f t="shared" si="16"/>
        <v>-0.53329847961804933</v>
      </c>
      <c r="AP23" s="6">
        <f t="shared" si="16"/>
        <v>-1.0886619578149417</v>
      </c>
      <c r="AQ23" s="6">
        <f>LN(1/S21-0.08)</f>
        <v>-1.1394342831883648</v>
      </c>
      <c r="AR23" s="6">
        <f>LN(1/T21-0.08)</f>
        <v>-0.53329847961804933</v>
      </c>
      <c r="AS23" s="6">
        <f>LN(1/U21-0.08)</f>
        <v>-0.74327156774251391</v>
      </c>
      <c r="AT23" s="6">
        <f>LN(1/V21-0.08)</f>
        <v>-0.60696948431889286</v>
      </c>
      <c r="AU23" s="6">
        <f>LN(1/W21-0.08)</f>
        <v>-0.9820421094369356</v>
      </c>
    </row>
    <row r="24" spans="1:47" ht="15.5" x14ac:dyDescent="0.35">
      <c r="Y24" s="70"/>
      <c r="Z24" s="6"/>
      <c r="AA24" s="6">
        <f>75.3+19.46*AA23</f>
        <v>58.073026973148814</v>
      </c>
      <c r="AB24" s="6">
        <f t="shared" ref="AB24:AP24" si="17">75.3+19.46*AB23</f>
        <v>57.060845376748709</v>
      </c>
      <c r="AC24" s="6">
        <f t="shared" si="17"/>
        <v>55.869127614357176</v>
      </c>
      <c r="AD24" s="6">
        <f t="shared" si="17"/>
        <v>62.129262586264701</v>
      </c>
      <c r="AE24" s="6">
        <f t="shared" si="17"/>
        <v>69.080907012382241</v>
      </c>
      <c r="AF24" s="6">
        <f t="shared" si="17"/>
        <v>52.807093237995446</v>
      </c>
      <c r="AG24" s="6">
        <f t="shared" si="17"/>
        <v>66.440722664986438</v>
      </c>
      <c r="AH24" s="6">
        <f t="shared" si="17"/>
        <v>62.129262586264701</v>
      </c>
      <c r="AI24" s="6">
        <f t="shared" si="17"/>
        <v>60.835935291730678</v>
      </c>
      <c r="AJ24" s="6">
        <f t="shared" si="17"/>
        <v>55.031061001521465</v>
      </c>
      <c r="AK24" s="6">
        <f t="shared" si="17"/>
        <v>55.134574086292005</v>
      </c>
      <c r="AL24" s="6">
        <f t="shared" si="17"/>
        <v>51.235802304246434</v>
      </c>
      <c r="AM24" s="6">
        <f t="shared" si="17"/>
        <v>63.488373835154341</v>
      </c>
      <c r="AN24" s="6">
        <f t="shared" si="17"/>
        <v>58.41843895246609</v>
      </c>
      <c r="AO24" s="6">
        <f t="shared" si="17"/>
        <v>64.922011586632749</v>
      </c>
      <c r="AP24" s="6">
        <f t="shared" si="17"/>
        <v>54.114638300921229</v>
      </c>
      <c r="AQ24" s="6">
        <f>75.3+19.46*AQ23</f>
        <v>53.126608849154415</v>
      </c>
      <c r="AR24" s="6">
        <f>75.3+19.46*AR23</f>
        <v>64.922011586632749</v>
      </c>
      <c r="AS24" s="6">
        <f>75.3+19.46*AS23</f>
        <v>60.835935291730678</v>
      </c>
      <c r="AT24" s="6">
        <f>75.3+19.46*AT23</f>
        <v>63.488373835154341</v>
      </c>
      <c r="AU24" s="6">
        <f>75.3+19.46*AU23</f>
        <v>56.189460550357225</v>
      </c>
    </row>
    <row r="25" spans="1:47" ht="15.5" x14ac:dyDescent="0.35">
      <c r="Y25" s="70"/>
      <c r="Z25" s="6"/>
      <c r="AA25" s="6"/>
      <c r="AB25" s="6"/>
      <c r="AC25" s="6"/>
      <c r="AD25" s="6"/>
      <c r="AE25" s="6"/>
      <c r="AF25" s="6"/>
      <c r="AG25" s="6"/>
      <c r="AH25" s="6"/>
      <c r="AI25" s="6"/>
      <c r="AJ25" s="6"/>
      <c r="AK25" s="6"/>
      <c r="AL25" s="6"/>
      <c r="AM25" s="6"/>
      <c r="AN25" s="6"/>
      <c r="AO25" s="6"/>
    </row>
    <row r="26" spans="1:47" ht="15.5" x14ac:dyDescent="0.35">
      <c r="Y26" s="70" t="s">
        <v>148</v>
      </c>
      <c r="Z26" s="6"/>
      <c r="AA26" s="6">
        <f>LN(C18)</f>
        <v>5.4559192270515267</v>
      </c>
      <c r="AB26" s="6">
        <f t="shared" ref="AB26:AU26" si="18">LN(D18)</f>
        <v>4.8918517581062888</v>
      </c>
      <c r="AC26" s="6">
        <f t="shared" si="18"/>
        <v>5.2911416827989415</v>
      </c>
      <c r="AD26" s="6">
        <f t="shared" si="18"/>
        <v>5.054333149361975</v>
      </c>
      <c r="AE26" s="6">
        <f t="shared" si="18"/>
        <v>5.6508386961617774</v>
      </c>
      <c r="AF26" s="6">
        <f t="shared" si="18"/>
        <v>5.8301213966992194</v>
      </c>
      <c r="AG26" s="6">
        <f t="shared" si="18"/>
        <v>5.7134027180331914</v>
      </c>
      <c r="AH26" s="6">
        <f t="shared" si="18"/>
        <v>5.4293456289544411</v>
      </c>
      <c r="AI26" s="6">
        <f t="shared" si="18"/>
        <v>5.3033049080590757</v>
      </c>
      <c r="AJ26" s="6">
        <f t="shared" si="18"/>
        <v>5.8493247799468593</v>
      </c>
      <c r="AK26" s="6">
        <f t="shared" si="18"/>
        <v>5.3375380797013179</v>
      </c>
      <c r="AL26" s="6">
        <f t="shared" si="18"/>
        <v>5.1416635565026603</v>
      </c>
      <c r="AM26" s="6">
        <f t="shared" si="18"/>
        <v>4.7957905455967413</v>
      </c>
      <c r="AN26" s="6">
        <f t="shared" si="18"/>
        <v>5.1647859739235145</v>
      </c>
      <c r="AO26" s="6">
        <f t="shared" si="18"/>
        <v>5.0106352940962555</v>
      </c>
      <c r="AP26" s="6">
        <f t="shared" si="18"/>
        <v>2.4849066497880004</v>
      </c>
      <c r="AQ26" s="6">
        <f t="shared" si="18"/>
        <v>4.9767337424205742</v>
      </c>
      <c r="AR26" s="6">
        <f t="shared" si="18"/>
        <v>4.3694478524670215</v>
      </c>
      <c r="AS26" s="6">
        <f t="shared" si="18"/>
        <v>5.1929568508902104</v>
      </c>
      <c r="AT26" s="6">
        <f t="shared" si="18"/>
        <v>4.7184988712950942</v>
      </c>
      <c r="AU26" s="6">
        <f t="shared" si="18"/>
        <v>4.7095302013123339</v>
      </c>
    </row>
    <row r="27" spans="1:47" ht="15.5" x14ac:dyDescent="0.35">
      <c r="Y27" s="70"/>
      <c r="Z27" s="6"/>
      <c r="AA27" s="6">
        <f>20.02*AA26</f>
        <v>109.22750292557156</v>
      </c>
      <c r="AB27" s="6">
        <f t="shared" ref="AB27:AP27" si="19">20.02*AB26</f>
        <v>97.934872197287902</v>
      </c>
      <c r="AC27" s="6">
        <f t="shared" si="19"/>
        <v>105.9286564896348</v>
      </c>
      <c r="AD27" s="6">
        <f t="shared" si="19"/>
        <v>101.18774965022673</v>
      </c>
      <c r="AE27" s="6">
        <f t="shared" si="19"/>
        <v>113.12979069715878</v>
      </c>
      <c r="AF27" s="6">
        <f t="shared" si="19"/>
        <v>116.71903036191837</v>
      </c>
      <c r="AG27" s="6">
        <f t="shared" si="19"/>
        <v>114.38232241502449</v>
      </c>
      <c r="AH27" s="6">
        <f t="shared" si="19"/>
        <v>108.6954994916679</v>
      </c>
      <c r="AI27" s="6">
        <f t="shared" si="19"/>
        <v>106.17216425934269</v>
      </c>
      <c r="AJ27" s="6">
        <f t="shared" si="19"/>
        <v>117.10348209453612</v>
      </c>
      <c r="AK27" s="6">
        <f t="shared" si="19"/>
        <v>106.85751235562039</v>
      </c>
      <c r="AL27" s="6">
        <f t="shared" si="19"/>
        <v>102.93610440118326</v>
      </c>
      <c r="AM27" s="6">
        <f t="shared" si="19"/>
        <v>96.01172672284676</v>
      </c>
      <c r="AN27" s="6">
        <f t="shared" si="19"/>
        <v>103.39901519794876</v>
      </c>
      <c r="AO27" s="6">
        <f t="shared" si="19"/>
        <v>100.31291858780703</v>
      </c>
      <c r="AP27" s="6">
        <f t="shared" si="19"/>
        <v>49.747831128755763</v>
      </c>
      <c r="AQ27" s="6">
        <f>20.02*AQ26</f>
        <v>99.634209523259898</v>
      </c>
      <c r="AR27" s="6">
        <f>20.02*AR26</f>
        <v>87.476346006389775</v>
      </c>
      <c r="AS27" s="6">
        <f>20.02*AS26</f>
        <v>103.96299615482201</v>
      </c>
      <c r="AT27" s="6">
        <f>20.02*AT26</f>
        <v>94.464347403327778</v>
      </c>
      <c r="AU27" s="6">
        <f>20.02*AU26</f>
        <v>94.284794630272927</v>
      </c>
    </row>
    <row r="28" spans="1:47" ht="15.5" x14ac:dyDescent="0.35">
      <c r="Y28" s="70"/>
      <c r="Z28" s="6"/>
      <c r="AA28" s="6"/>
      <c r="AB28" s="6"/>
      <c r="AC28" s="6"/>
      <c r="AD28" s="6"/>
      <c r="AE28" s="6"/>
      <c r="AF28" s="6"/>
      <c r="AG28" s="6"/>
      <c r="AH28" s="6"/>
      <c r="AI28" s="6"/>
      <c r="AJ28" s="6"/>
      <c r="AK28" s="6"/>
      <c r="AL28" s="6"/>
    </row>
    <row r="29" spans="1:47" ht="15.5" x14ac:dyDescent="0.35">
      <c r="Y29" s="70" t="s">
        <v>52</v>
      </c>
      <c r="Z29" s="6"/>
      <c r="AA29" s="3">
        <f>+(AA18+AA21+AA24)/3</f>
        <v>67.754873325660085</v>
      </c>
      <c r="AB29" s="3">
        <f t="shared" ref="AB29:AN29" si="20">+(AB18+AB21+AB24)/3</f>
        <v>72.257719368124526</v>
      </c>
      <c r="AC29" s="3">
        <f t="shared" si="20"/>
        <v>73.693971586664645</v>
      </c>
      <c r="AD29" s="3">
        <f t="shared" si="20"/>
        <v>73.305349075233849</v>
      </c>
      <c r="AE29" s="3">
        <f t="shared" si="20"/>
        <v>68.344563008793031</v>
      </c>
      <c r="AF29" s="3">
        <f t="shared" si="20"/>
        <v>62.401251888046602</v>
      </c>
      <c r="AG29" s="3">
        <f t="shared" si="20"/>
        <v>61.874132788923504</v>
      </c>
      <c r="AH29" s="3">
        <f t="shared" si="20"/>
        <v>55.858838263064335</v>
      </c>
      <c r="AI29" s="3">
        <f t="shared" si="20"/>
        <v>57.991162971087057</v>
      </c>
      <c r="AJ29" s="3">
        <f t="shared" si="20"/>
        <v>62.90310055252818</v>
      </c>
      <c r="AK29" s="3">
        <f t="shared" si="20"/>
        <v>67.782742418058078</v>
      </c>
      <c r="AL29" s="3">
        <f t="shared" si="20"/>
        <v>64.454701549398621</v>
      </c>
      <c r="AM29" s="3">
        <f t="shared" si="20"/>
        <v>69.438868201608258</v>
      </c>
      <c r="AN29" s="3">
        <f t="shared" si="20"/>
        <v>61.093049812838039</v>
      </c>
      <c r="AO29" s="3">
        <f>+(AO18+AO21+AO24)/3</f>
        <v>67.002364078619777</v>
      </c>
      <c r="AP29" s="3">
        <f>+(AP18+AP21+AP24)/3</f>
        <v>58.719902531991146</v>
      </c>
      <c r="AQ29" s="3">
        <f>+(AQ18+AQ21+AQ24)/3</f>
        <v>55.75106624364934</v>
      </c>
      <c r="AR29" s="3">
        <f>AVERAGE(AA29:AP29)</f>
        <v>65.304786963789965</v>
      </c>
      <c r="AS29" s="3">
        <f>AVERAGE(AB29:AQ29)</f>
        <v>64.554549021164291</v>
      </c>
      <c r="AT29" s="3">
        <f>AVERAGE(AC29:AR29)</f>
        <v>64.119990745893389</v>
      </c>
      <c r="AU29" s="3">
        <f>AVERAGE(AD29:AS29)</f>
        <v>63.548776835549617</v>
      </c>
    </row>
    <row r="30" spans="1:47" ht="13" x14ac:dyDescent="0.3">
      <c r="Y30" s="66"/>
      <c r="Z30" s="6"/>
      <c r="AA30" s="391" t="s">
        <v>113</v>
      </c>
      <c r="AB30" s="391" t="s">
        <v>114</v>
      </c>
      <c r="AC30" s="391" t="s">
        <v>114</v>
      </c>
      <c r="AD30" s="391" t="s">
        <v>114</v>
      </c>
      <c r="AE30" s="391" t="s">
        <v>113</v>
      </c>
      <c r="AF30" s="391" t="s">
        <v>115</v>
      </c>
      <c r="AG30" s="391" t="s">
        <v>115</v>
      </c>
      <c r="AH30" s="391" t="s">
        <v>115</v>
      </c>
      <c r="AI30" s="391" t="s">
        <v>115</v>
      </c>
      <c r="AJ30" s="391" t="s">
        <v>115</v>
      </c>
      <c r="AK30" s="391" t="s">
        <v>113</v>
      </c>
      <c r="AL30" s="391" t="s">
        <v>115</v>
      </c>
      <c r="AM30" s="391" t="s">
        <v>113</v>
      </c>
      <c r="AN30" s="390" t="s">
        <v>115</v>
      </c>
      <c r="AO30" s="391" t="s">
        <v>113</v>
      </c>
      <c r="AP30" s="391" t="s">
        <v>115</v>
      </c>
      <c r="AQ30" s="391" t="s">
        <v>115</v>
      </c>
      <c r="AR30" s="391" t="s">
        <v>115</v>
      </c>
      <c r="AS30" s="391" t="s">
        <v>504</v>
      </c>
      <c r="AT30" s="415" t="s">
        <v>504</v>
      </c>
      <c r="AU30" s="735" t="s">
        <v>504</v>
      </c>
    </row>
    <row r="31" spans="1:47" x14ac:dyDescent="0.25">
      <c r="Z31" s="6"/>
      <c r="AA31" s="75">
        <v>1991</v>
      </c>
      <c r="AB31" s="75">
        <v>1992</v>
      </c>
      <c r="AC31" s="75">
        <v>1993</v>
      </c>
      <c r="AD31" s="75">
        <v>1994</v>
      </c>
      <c r="AE31" s="75">
        <v>1995</v>
      </c>
      <c r="AF31" s="75">
        <v>1996</v>
      </c>
      <c r="AG31" s="75">
        <v>1997</v>
      </c>
      <c r="AH31" s="75">
        <v>1998</v>
      </c>
      <c r="AI31" s="75">
        <v>1999</v>
      </c>
      <c r="AJ31" s="75">
        <v>2000</v>
      </c>
      <c r="AK31" s="75">
        <v>2001</v>
      </c>
      <c r="AL31" s="75">
        <v>2002</v>
      </c>
      <c r="AM31" s="75">
        <v>2003</v>
      </c>
      <c r="AN31" s="75">
        <v>2004</v>
      </c>
      <c r="AO31" s="75">
        <v>2005</v>
      </c>
      <c r="AP31" s="75">
        <v>2006</v>
      </c>
      <c r="AQ31" s="75">
        <v>2007</v>
      </c>
      <c r="AR31" s="75">
        <v>2008</v>
      </c>
      <c r="AS31" s="75">
        <v>2009</v>
      </c>
      <c r="AT31" s="75">
        <v>2010</v>
      </c>
      <c r="AU31" s="75">
        <v>2011</v>
      </c>
    </row>
    <row r="52" spans="1:7" ht="15.5" x14ac:dyDescent="0.45">
      <c r="A52" s="831" t="s">
        <v>167</v>
      </c>
      <c r="B52" s="831"/>
      <c r="C52" s="831"/>
      <c r="D52" s="831"/>
      <c r="E52" s="831"/>
      <c r="G52" s="69" t="s">
        <v>124</v>
      </c>
    </row>
    <row r="53" spans="1:7" ht="15.5" x14ac:dyDescent="0.45">
      <c r="A53" s="1" t="s">
        <v>65</v>
      </c>
      <c r="B53" s="833" t="s">
        <v>116</v>
      </c>
      <c r="C53" s="833"/>
      <c r="D53" s="833"/>
      <c r="E53" s="833"/>
      <c r="G53" s="69" t="s">
        <v>77</v>
      </c>
    </row>
    <row r="54" spans="1:7" ht="15.5" x14ac:dyDescent="0.45">
      <c r="A54" s="1" t="s">
        <v>66</v>
      </c>
      <c r="B54" s="833" t="s">
        <v>67</v>
      </c>
      <c r="C54" s="833"/>
      <c r="D54" s="833"/>
      <c r="E54" s="833"/>
      <c r="G54" s="69" t="s">
        <v>122</v>
      </c>
    </row>
    <row r="55" spans="1:7" ht="15.5" x14ac:dyDescent="0.45">
      <c r="A55" s="1" t="s">
        <v>111</v>
      </c>
      <c r="B55" s="833" t="s">
        <v>112</v>
      </c>
      <c r="C55" s="833"/>
      <c r="D55" s="833"/>
      <c r="E55" s="833"/>
      <c r="G55" s="69" t="s">
        <v>123</v>
      </c>
    </row>
    <row r="56" spans="1:7" ht="13" x14ac:dyDescent="0.3">
      <c r="A56" s="1" t="s">
        <v>68</v>
      </c>
      <c r="B56" s="833" t="s">
        <v>69</v>
      </c>
      <c r="C56" s="833"/>
      <c r="D56" s="833"/>
      <c r="E56" s="833"/>
    </row>
    <row r="57" spans="1:7" ht="13" x14ac:dyDescent="0.3">
      <c r="A57" s="1" t="s">
        <v>109</v>
      </c>
      <c r="B57" s="833" t="s">
        <v>110</v>
      </c>
      <c r="C57" s="833"/>
      <c r="D57" s="833"/>
      <c r="E57" s="833"/>
    </row>
    <row r="58" spans="1:7" ht="13" x14ac:dyDescent="0.3">
      <c r="A58" s="1" t="s">
        <v>70</v>
      </c>
      <c r="B58" s="833" t="s">
        <v>71</v>
      </c>
      <c r="C58" s="833"/>
      <c r="D58" s="833"/>
      <c r="E58" s="833"/>
    </row>
    <row r="59" spans="1:7" ht="13" x14ac:dyDescent="0.3">
      <c r="A59" s="1" t="s">
        <v>93</v>
      </c>
      <c r="B59" s="833" t="s">
        <v>94</v>
      </c>
      <c r="C59" s="833"/>
      <c r="D59" s="833"/>
      <c r="E59" s="833"/>
    </row>
    <row r="60" spans="1:7" ht="13" x14ac:dyDescent="0.3">
      <c r="A60" s="831" t="s">
        <v>72</v>
      </c>
      <c r="B60" s="831"/>
      <c r="C60" s="831"/>
      <c r="D60" s="831"/>
      <c r="E60" s="831"/>
    </row>
    <row r="61" spans="1:7" ht="13" x14ac:dyDescent="0.3">
      <c r="A61" s="1" t="s">
        <v>73</v>
      </c>
      <c r="B61" s="1" t="s">
        <v>69</v>
      </c>
    </row>
    <row r="88" spans="1:1" x14ac:dyDescent="0.25">
      <c r="A88" s="20"/>
    </row>
    <row r="89" spans="1:1" x14ac:dyDescent="0.25">
      <c r="A89" s="20"/>
    </row>
    <row r="90" spans="1:1" x14ac:dyDescent="0.25">
      <c r="A90" s="20"/>
    </row>
  </sheetData>
  <mergeCells count="13">
    <mergeCell ref="B54:E54"/>
    <mergeCell ref="B55:E55"/>
    <mergeCell ref="A60:E60"/>
    <mergeCell ref="B56:E56"/>
    <mergeCell ref="B57:E57"/>
    <mergeCell ref="B58:E58"/>
    <mergeCell ref="B59:E59"/>
    <mergeCell ref="B53:E53"/>
    <mergeCell ref="Y1:AL1"/>
    <mergeCell ref="A2:N2"/>
    <mergeCell ref="A15:N15"/>
    <mergeCell ref="Y15:AL15"/>
    <mergeCell ref="A52:E52"/>
  </mergeCells>
  <phoneticPr fontId="8" type="noConversion"/>
  <pageMargins left="0.75" right="0.75" top="1" bottom="1" header="0.5" footer="0.5"/>
  <pageSetup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103"/>
  <sheetViews>
    <sheetView zoomScale="84" zoomScaleNormal="84" workbookViewId="0">
      <selection activeCell="B23" sqref="B23:M23"/>
    </sheetView>
  </sheetViews>
  <sheetFormatPr defaultRowHeight="13" x14ac:dyDescent="0.3"/>
  <cols>
    <col min="1" max="1" width="22.453125" style="1" bestFit="1" customWidth="1"/>
    <col min="2" max="2" width="12.90625" customWidth="1"/>
    <col min="3" max="3" width="14.08984375" customWidth="1"/>
    <col min="4" max="5" width="11.6328125" bestFit="1" customWidth="1"/>
    <col min="6" max="6" width="11.90625" bestFit="1" customWidth="1"/>
    <col min="7" max="7" width="11.08984375" bestFit="1" customWidth="1"/>
    <col min="8" max="8" width="10.6328125" bestFit="1" customWidth="1"/>
    <col min="9" max="9" width="10.54296875" bestFit="1" customWidth="1"/>
    <col min="10" max="10" width="11" bestFit="1" customWidth="1"/>
    <col min="11" max="11" width="11.6328125" bestFit="1" customWidth="1"/>
    <col min="12" max="12" width="11" bestFit="1" customWidth="1"/>
    <col min="13" max="13" width="12.54296875" customWidth="1"/>
    <col min="14" max="14" width="13.6328125" customWidth="1"/>
    <col min="15" max="15" width="13.08984375" customWidth="1"/>
    <col min="16" max="16" width="11.90625" customWidth="1"/>
    <col min="17" max="17" width="10.6328125" bestFit="1" customWidth="1"/>
    <col min="18" max="18" width="10.453125" bestFit="1" customWidth="1"/>
    <col min="19" max="19" width="10.36328125" bestFit="1" customWidth="1"/>
    <col min="20" max="20" width="11.453125" bestFit="1" customWidth="1"/>
    <col min="21" max="21" width="9.6328125" bestFit="1" customWidth="1"/>
    <col min="22" max="22" width="10.90625" bestFit="1" customWidth="1"/>
    <col min="23" max="23" width="9.90625" bestFit="1" customWidth="1"/>
    <col min="24" max="24" width="10.36328125" bestFit="1" customWidth="1"/>
    <col min="25" max="25" width="10.90625" bestFit="1" customWidth="1"/>
    <col min="26" max="26" width="11.08984375" bestFit="1" customWidth="1"/>
    <col min="27" max="27" width="11.453125" customWidth="1"/>
    <col min="28" max="28" width="12" customWidth="1"/>
    <col min="29" max="29" width="10.453125" customWidth="1"/>
    <col min="30" max="30" width="12.08984375" customWidth="1"/>
    <col min="31" max="31" width="10.90625" bestFit="1" customWidth="1"/>
  </cols>
  <sheetData>
    <row r="1" spans="1:19" x14ac:dyDescent="0.3">
      <c r="A1" s="831" t="s">
        <v>502</v>
      </c>
      <c r="B1" s="831"/>
      <c r="C1" s="831"/>
      <c r="D1" s="831"/>
      <c r="E1" s="831"/>
      <c r="F1" s="831"/>
      <c r="G1" s="831"/>
      <c r="H1" s="831"/>
      <c r="I1" s="831"/>
      <c r="J1" s="831"/>
      <c r="K1" s="831"/>
      <c r="L1" s="831"/>
      <c r="M1" s="831"/>
      <c r="N1" s="831"/>
      <c r="O1" s="831"/>
      <c r="P1" s="831"/>
    </row>
    <row r="2" spans="1:19" ht="15" customHeight="1" x14ac:dyDescent="0.3"/>
    <row r="3" spans="1:19" x14ac:dyDescent="0.3">
      <c r="B3" s="1" t="s">
        <v>193</v>
      </c>
    </row>
    <row r="4" spans="1:19" s="7" customFormat="1" x14ac:dyDescent="0.3">
      <c r="A4" s="109" t="s">
        <v>2</v>
      </c>
      <c r="B4" s="337">
        <v>40567</v>
      </c>
      <c r="C4" s="337">
        <v>40595</v>
      </c>
      <c r="D4" s="337">
        <v>40627</v>
      </c>
      <c r="E4" s="337">
        <v>40658</v>
      </c>
      <c r="F4" s="337">
        <v>40686</v>
      </c>
      <c r="G4" s="337">
        <v>40721</v>
      </c>
      <c r="H4" s="338">
        <v>40743</v>
      </c>
      <c r="I4" s="338">
        <v>40749</v>
      </c>
      <c r="J4" s="338">
        <v>40763</v>
      </c>
      <c r="K4" s="337">
        <v>40777</v>
      </c>
      <c r="L4" s="337">
        <v>40798</v>
      </c>
      <c r="M4" s="339">
        <v>40812</v>
      </c>
      <c r="N4" s="339">
        <v>40840</v>
      </c>
      <c r="O4" s="339">
        <v>40875</v>
      </c>
      <c r="P4" s="338">
        <v>40893</v>
      </c>
      <c r="R4" s="425"/>
      <c r="S4" s="425"/>
    </row>
    <row r="5" spans="1:19" s="4" customFormat="1" x14ac:dyDescent="0.3">
      <c r="A5" s="71" t="s">
        <v>28</v>
      </c>
      <c r="B5" s="424">
        <v>0.39</v>
      </c>
      <c r="C5" s="417">
        <v>4.49</v>
      </c>
      <c r="D5" s="417">
        <v>4.4000000000000004</v>
      </c>
      <c r="E5" s="417">
        <v>2.8</v>
      </c>
      <c r="F5" s="417">
        <v>2.86</v>
      </c>
      <c r="G5" s="417">
        <v>1</v>
      </c>
      <c r="H5" s="417">
        <v>1.7</v>
      </c>
      <c r="I5" s="417">
        <v>2.4500000000000002</v>
      </c>
      <c r="J5" s="417">
        <v>0.75</v>
      </c>
      <c r="K5" s="417">
        <v>0.78</v>
      </c>
      <c r="L5" s="417">
        <v>0.47</v>
      </c>
      <c r="M5" s="417">
        <v>1.02</v>
      </c>
      <c r="N5" s="417">
        <v>1.0900000000000001</v>
      </c>
      <c r="O5" s="417">
        <v>0.81</v>
      </c>
      <c r="P5" s="417">
        <v>0.97</v>
      </c>
      <c r="Q5" s="406"/>
      <c r="R5" s="426"/>
      <c r="S5" s="426"/>
    </row>
    <row r="6" spans="1:19" s="4" customFormat="1" x14ac:dyDescent="0.3">
      <c r="A6" s="71" t="s">
        <v>29</v>
      </c>
      <c r="B6" s="424">
        <v>2.2999999999999998</v>
      </c>
      <c r="C6" s="417">
        <v>10.56</v>
      </c>
      <c r="D6" s="417">
        <v>3.57</v>
      </c>
      <c r="E6" s="417">
        <v>3.63</v>
      </c>
      <c r="F6" s="417">
        <v>23.8</v>
      </c>
      <c r="G6" s="417">
        <v>16.899999999999999</v>
      </c>
      <c r="H6" s="417">
        <v>29.5</v>
      </c>
      <c r="I6" s="417">
        <v>21.1</v>
      </c>
      <c r="J6" s="417">
        <v>17.8</v>
      </c>
      <c r="K6" s="417">
        <v>11.41</v>
      </c>
      <c r="L6" s="417">
        <v>7.8</v>
      </c>
      <c r="M6" s="417">
        <v>4.5999999999999996</v>
      </c>
      <c r="N6" s="417">
        <v>3.12</v>
      </c>
      <c r="O6" s="417">
        <v>9.5</v>
      </c>
      <c r="P6" s="417">
        <v>13.87</v>
      </c>
      <c r="Q6" s="406"/>
      <c r="R6" s="426"/>
      <c r="S6" s="426"/>
    </row>
    <row r="7" spans="1:19" s="4" customFormat="1" x14ac:dyDescent="0.3">
      <c r="A7" s="71" t="s">
        <v>31</v>
      </c>
      <c r="B7" s="424">
        <v>0.5</v>
      </c>
      <c r="C7" s="417">
        <v>9</v>
      </c>
      <c r="D7" s="417">
        <v>15</v>
      </c>
      <c r="E7" s="417">
        <v>4.05</v>
      </c>
      <c r="F7" s="417">
        <v>18.899999999999999</v>
      </c>
      <c r="G7" s="417">
        <v>10.8</v>
      </c>
      <c r="H7" s="417">
        <v>23</v>
      </c>
      <c r="I7" s="417">
        <v>24</v>
      </c>
      <c r="J7" s="417">
        <v>1.7</v>
      </c>
      <c r="K7" s="417">
        <v>7.7</v>
      </c>
      <c r="L7" s="417">
        <v>3.2</v>
      </c>
      <c r="M7" s="417">
        <v>3.6</v>
      </c>
      <c r="N7" s="417">
        <v>0.3</v>
      </c>
      <c r="O7" s="417">
        <v>4.5</v>
      </c>
      <c r="P7" s="417">
        <v>13.3</v>
      </c>
      <c r="Q7" s="407"/>
      <c r="R7" s="426"/>
      <c r="S7" s="426"/>
    </row>
    <row r="8" spans="1:19" x14ac:dyDescent="0.3">
      <c r="A8" s="72" t="s">
        <v>194</v>
      </c>
      <c r="B8" s="265" t="s">
        <v>78</v>
      </c>
      <c r="C8" s="265" t="s">
        <v>79</v>
      </c>
      <c r="D8" s="265" t="s">
        <v>80</v>
      </c>
      <c r="E8" s="265" t="s">
        <v>81</v>
      </c>
      <c r="F8" s="265" t="s">
        <v>82</v>
      </c>
      <c r="G8" s="265" t="s">
        <v>83</v>
      </c>
      <c r="H8" s="265" t="s">
        <v>84</v>
      </c>
      <c r="I8" s="265" t="s">
        <v>85</v>
      </c>
      <c r="J8" s="265" t="s">
        <v>86</v>
      </c>
      <c r="K8" s="265" t="s">
        <v>87</v>
      </c>
      <c r="L8" s="265" t="s">
        <v>88</v>
      </c>
      <c r="M8" s="265" t="s">
        <v>89</v>
      </c>
    </row>
    <row r="9" spans="1:19" ht="14" x14ac:dyDescent="0.3">
      <c r="A9" s="71" t="s">
        <v>28</v>
      </c>
      <c r="B9" s="423">
        <f t="shared" ref="B9:G10" si="0">B5</f>
        <v>0.39</v>
      </c>
      <c r="C9" s="423">
        <f t="shared" si="0"/>
        <v>4.49</v>
      </c>
      <c r="D9" s="423">
        <f t="shared" si="0"/>
        <v>4.4000000000000004</v>
      </c>
      <c r="E9" s="423">
        <f t="shared" si="0"/>
        <v>2.8</v>
      </c>
      <c r="F9" s="423">
        <f t="shared" si="0"/>
        <v>2.86</v>
      </c>
      <c r="G9" s="423">
        <f t="shared" si="0"/>
        <v>1</v>
      </c>
      <c r="H9" s="85">
        <f>AVERAGE(H5:I5)</f>
        <v>2.0750000000000002</v>
      </c>
      <c r="I9" s="85">
        <f>AVERAGE(J5:K5)</f>
        <v>0.76500000000000001</v>
      </c>
      <c r="J9" s="85">
        <f>AVERAGE(L5:M5)</f>
        <v>0.745</v>
      </c>
      <c r="K9" s="266">
        <f>N5</f>
        <v>1.0900000000000001</v>
      </c>
      <c r="L9" s="266">
        <f t="shared" ref="L9:M11" si="1">O5</f>
        <v>0.81</v>
      </c>
      <c r="M9" s="266">
        <f t="shared" si="1"/>
        <v>0.97</v>
      </c>
    </row>
    <row r="10" spans="1:19" ht="14" x14ac:dyDescent="0.3">
      <c r="A10" s="71" t="s">
        <v>29</v>
      </c>
      <c r="B10" s="423">
        <f t="shared" si="0"/>
        <v>2.2999999999999998</v>
      </c>
      <c r="C10" s="423">
        <f t="shared" si="0"/>
        <v>10.56</v>
      </c>
      <c r="D10" s="423">
        <f t="shared" si="0"/>
        <v>3.57</v>
      </c>
      <c r="E10" s="423">
        <f t="shared" si="0"/>
        <v>3.63</v>
      </c>
      <c r="F10" s="423">
        <f t="shared" si="0"/>
        <v>23.8</v>
      </c>
      <c r="G10" s="423">
        <f t="shared" si="0"/>
        <v>16.899999999999999</v>
      </c>
      <c r="H10" s="85">
        <f>AVERAGE(H6:I6)</f>
        <v>25.3</v>
      </c>
      <c r="I10" s="85">
        <f>AVERAGE(J6:K6)</f>
        <v>14.605</v>
      </c>
      <c r="J10" s="85">
        <f>AVERAGE(L6:M6)</f>
        <v>6.1999999999999993</v>
      </c>
      <c r="K10" s="266">
        <f>N6</f>
        <v>3.12</v>
      </c>
      <c r="L10" s="266">
        <f t="shared" si="1"/>
        <v>9.5</v>
      </c>
      <c r="M10" s="266">
        <f t="shared" si="1"/>
        <v>13.87</v>
      </c>
    </row>
    <row r="11" spans="1:19" ht="14" x14ac:dyDescent="0.3">
      <c r="A11" s="71" t="s">
        <v>31</v>
      </c>
      <c r="B11" s="423">
        <f t="shared" ref="B11:G11" si="2">B7</f>
        <v>0.5</v>
      </c>
      <c r="C11" s="423">
        <f t="shared" si="2"/>
        <v>9</v>
      </c>
      <c r="D11" s="423">
        <f t="shared" si="2"/>
        <v>15</v>
      </c>
      <c r="E11" s="423">
        <f t="shared" si="2"/>
        <v>4.05</v>
      </c>
      <c r="F11" s="423">
        <f t="shared" si="2"/>
        <v>18.899999999999999</v>
      </c>
      <c r="G11" s="423">
        <f t="shared" si="2"/>
        <v>10.8</v>
      </c>
      <c r="H11" s="85">
        <f>AVERAGE(H7:I7)</f>
        <v>23.5</v>
      </c>
      <c r="I11" s="85">
        <f>AVERAGE(J7:K7)</f>
        <v>4.7</v>
      </c>
      <c r="J11" s="85">
        <f>AVERAGE(L7:M7)</f>
        <v>3.4000000000000004</v>
      </c>
      <c r="K11" s="266">
        <f>N7</f>
        <v>0.3</v>
      </c>
      <c r="L11" s="266">
        <f t="shared" si="1"/>
        <v>4.5</v>
      </c>
      <c r="M11" s="266">
        <f t="shared" si="1"/>
        <v>13.3</v>
      </c>
    </row>
    <row r="12" spans="1:19" x14ac:dyDescent="0.3">
      <c r="A12" s="72" t="s">
        <v>132</v>
      </c>
      <c r="B12" s="72" t="s">
        <v>78</v>
      </c>
      <c r="C12" s="72" t="s">
        <v>79</v>
      </c>
      <c r="D12" s="72" t="s">
        <v>80</v>
      </c>
      <c r="E12" s="72" t="s">
        <v>81</v>
      </c>
      <c r="F12" s="72" t="s">
        <v>82</v>
      </c>
      <c r="G12" s="72" t="s">
        <v>83</v>
      </c>
      <c r="H12" s="72" t="s">
        <v>84</v>
      </c>
      <c r="I12" s="72" t="s">
        <v>85</v>
      </c>
      <c r="J12" s="72" t="s">
        <v>86</v>
      </c>
      <c r="K12" s="72" t="s">
        <v>87</v>
      </c>
      <c r="L12" s="72" t="s">
        <v>88</v>
      </c>
      <c r="M12" s="72" t="s">
        <v>89</v>
      </c>
    </row>
    <row r="13" spans="1:19" x14ac:dyDescent="0.3">
      <c r="A13" s="71" t="s">
        <v>28</v>
      </c>
      <c r="B13" s="73">
        <f>B9*1.983</f>
        <v>0.77337000000000011</v>
      </c>
      <c r="C13" s="73">
        <f>C9*1.983</f>
        <v>8.90367</v>
      </c>
      <c r="D13" s="73">
        <f>D9*1.983</f>
        <v>8.725200000000001</v>
      </c>
      <c r="E13" s="73">
        <f t="shared" ref="E13:M15" si="3">E9*1.983</f>
        <v>5.5523999999999996</v>
      </c>
      <c r="F13" s="73">
        <f t="shared" si="3"/>
        <v>5.6713800000000001</v>
      </c>
      <c r="G13" s="73">
        <f t="shared" si="3"/>
        <v>1.9830000000000001</v>
      </c>
      <c r="H13" s="73">
        <f t="shared" si="3"/>
        <v>4.1147250000000009</v>
      </c>
      <c r="I13" s="73">
        <f t="shared" si="3"/>
        <v>1.5169950000000001</v>
      </c>
      <c r="J13" s="73">
        <f t="shared" si="3"/>
        <v>1.4773350000000001</v>
      </c>
      <c r="K13" s="73">
        <f t="shared" si="3"/>
        <v>2.1614700000000004</v>
      </c>
      <c r="L13" s="73">
        <f t="shared" si="3"/>
        <v>1.6062300000000003</v>
      </c>
      <c r="M13" s="73">
        <f t="shared" si="3"/>
        <v>1.9235100000000001</v>
      </c>
    </row>
    <row r="14" spans="1:19" x14ac:dyDescent="0.3">
      <c r="A14" s="71" t="s">
        <v>29</v>
      </c>
      <c r="B14" s="73">
        <f t="shared" ref="B14:D15" si="4">B10*1.983</f>
        <v>4.5609000000000002</v>
      </c>
      <c r="C14" s="73">
        <f t="shared" si="4"/>
        <v>20.940480000000001</v>
      </c>
      <c r="D14" s="73">
        <f t="shared" si="4"/>
        <v>7.0793100000000004</v>
      </c>
      <c r="E14" s="73">
        <f t="shared" si="3"/>
        <v>7.1982900000000001</v>
      </c>
      <c r="F14" s="73">
        <f t="shared" si="3"/>
        <v>47.195400000000006</v>
      </c>
      <c r="G14" s="73">
        <f t="shared" si="3"/>
        <v>33.512699999999995</v>
      </c>
      <c r="H14" s="73">
        <f t="shared" si="3"/>
        <v>50.169900000000005</v>
      </c>
      <c r="I14" s="73">
        <f t="shared" si="3"/>
        <v>28.961715000000002</v>
      </c>
      <c r="J14" s="73">
        <f t="shared" si="3"/>
        <v>12.294599999999999</v>
      </c>
      <c r="K14" s="73">
        <f t="shared" si="3"/>
        <v>6.1869600000000009</v>
      </c>
      <c r="L14" s="73">
        <f t="shared" si="3"/>
        <v>18.8385</v>
      </c>
      <c r="M14" s="73">
        <f t="shared" si="3"/>
        <v>27.50421</v>
      </c>
    </row>
    <row r="15" spans="1:19" x14ac:dyDescent="0.3">
      <c r="A15" s="71" t="s">
        <v>31</v>
      </c>
      <c r="B15" s="73">
        <f t="shared" si="4"/>
        <v>0.99150000000000005</v>
      </c>
      <c r="C15" s="73">
        <f t="shared" si="4"/>
        <v>17.847000000000001</v>
      </c>
      <c r="D15" s="73">
        <f t="shared" si="4"/>
        <v>29.745000000000001</v>
      </c>
      <c r="E15" s="73">
        <f t="shared" si="3"/>
        <v>8.0311500000000002</v>
      </c>
      <c r="F15" s="73">
        <f t="shared" si="3"/>
        <v>37.478699999999996</v>
      </c>
      <c r="G15" s="73">
        <f t="shared" si="3"/>
        <v>21.416400000000003</v>
      </c>
      <c r="H15" s="73">
        <f t="shared" si="3"/>
        <v>46.600500000000004</v>
      </c>
      <c r="I15" s="73">
        <f t="shared" si="3"/>
        <v>9.3201000000000001</v>
      </c>
      <c r="J15" s="73">
        <f t="shared" si="3"/>
        <v>6.7422000000000013</v>
      </c>
      <c r="K15" s="73">
        <f t="shared" si="3"/>
        <v>0.59489999999999998</v>
      </c>
      <c r="L15" s="73">
        <f t="shared" si="3"/>
        <v>8.9235000000000007</v>
      </c>
      <c r="M15" s="73">
        <f t="shared" si="3"/>
        <v>26.373900000000003</v>
      </c>
    </row>
    <row r="16" spans="1:19" x14ac:dyDescent="0.3">
      <c r="A16" s="8"/>
      <c r="B16" s="8"/>
      <c r="C16" s="8"/>
      <c r="D16" s="8"/>
      <c r="E16" s="8"/>
      <c r="F16" s="8"/>
      <c r="G16" s="8"/>
      <c r="H16" s="8"/>
      <c r="I16" s="8"/>
      <c r="J16" s="8"/>
      <c r="K16" s="8"/>
      <c r="L16" s="8"/>
    </row>
    <row r="17" spans="1:16" ht="15.5" x14ac:dyDescent="0.35">
      <c r="A17" s="8"/>
      <c r="B17" s="835"/>
      <c r="C17" s="835"/>
      <c r="D17" s="835"/>
      <c r="E17" s="835"/>
      <c r="F17" s="835"/>
      <c r="G17" s="835"/>
      <c r="H17" s="835"/>
      <c r="I17" s="835"/>
      <c r="J17" s="835"/>
      <c r="K17" s="835"/>
      <c r="L17" s="835"/>
    </row>
    <row r="18" spans="1:16" ht="14.25" customHeight="1" x14ac:dyDescent="0.3">
      <c r="A18" s="102" t="s">
        <v>98</v>
      </c>
      <c r="B18" s="104">
        <v>31</v>
      </c>
      <c r="C18" s="103">
        <v>29</v>
      </c>
      <c r="D18" s="103">
        <v>31</v>
      </c>
      <c r="E18" s="103">
        <v>30</v>
      </c>
      <c r="F18" s="103">
        <v>31</v>
      </c>
      <c r="G18" s="103">
        <v>30</v>
      </c>
      <c r="H18" s="103">
        <v>31</v>
      </c>
      <c r="I18" s="103">
        <v>31</v>
      </c>
      <c r="J18" s="103">
        <v>30</v>
      </c>
      <c r="K18" s="103">
        <v>31</v>
      </c>
      <c r="L18" s="103">
        <v>30</v>
      </c>
      <c r="M18" s="103">
        <v>31</v>
      </c>
      <c r="N18" s="837" t="s">
        <v>162</v>
      </c>
      <c r="O18" s="447"/>
      <c r="P18" s="447"/>
    </row>
    <row r="19" spans="1:16" ht="24" customHeight="1" x14ac:dyDescent="0.3">
      <c r="A19" s="102"/>
      <c r="B19" s="104" t="s">
        <v>78</v>
      </c>
      <c r="C19" s="103" t="s">
        <v>79</v>
      </c>
      <c r="D19" s="103" t="s">
        <v>80</v>
      </c>
      <c r="E19" s="103" t="s">
        <v>81</v>
      </c>
      <c r="F19" s="103" t="s">
        <v>82</v>
      </c>
      <c r="G19" s="103" t="s">
        <v>83</v>
      </c>
      <c r="H19" s="103" t="s">
        <v>84</v>
      </c>
      <c r="I19" s="103" t="s">
        <v>85</v>
      </c>
      <c r="J19" s="103" t="s">
        <v>86</v>
      </c>
      <c r="K19" s="103" t="s">
        <v>87</v>
      </c>
      <c r="L19" s="103" t="s">
        <v>88</v>
      </c>
      <c r="M19" s="103" t="s">
        <v>89</v>
      </c>
      <c r="N19" s="837"/>
      <c r="O19" s="457"/>
      <c r="P19" s="458"/>
    </row>
    <row r="20" spans="1:16" x14ac:dyDescent="0.3">
      <c r="A20" s="71" t="s">
        <v>28</v>
      </c>
      <c r="B20" s="408">
        <f>B13*B18</f>
        <v>23.974470000000004</v>
      </c>
      <c r="C20" s="408">
        <f>C13*C18</f>
        <v>258.20643000000001</v>
      </c>
      <c r="D20" s="408">
        <f>D13*D18</f>
        <v>270.48120000000006</v>
      </c>
      <c r="E20" s="408">
        <f t="shared" ref="E20:M20" si="5">E13*E18</f>
        <v>166.57199999999997</v>
      </c>
      <c r="F20" s="408">
        <f t="shared" si="5"/>
        <v>175.81278</v>
      </c>
      <c r="G20" s="408">
        <f t="shared" si="5"/>
        <v>59.49</v>
      </c>
      <c r="H20" s="408">
        <f t="shared" si="5"/>
        <v>127.55647500000002</v>
      </c>
      <c r="I20" s="408">
        <f t="shared" si="5"/>
        <v>47.026845000000002</v>
      </c>
      <c r="J20" s="408">
        <f t="shared" si="5"/>
        <v>44.320050000000002</v>
      </c>
      <c r="K20" s="408">
        <f t="shared" si="5"/>
        <v>67.00557000000002</v>
      </c>
      <c r="L20" s="408">
        <f t="shared" si="5"/>
        <v>48.186900000000009</v>
      </c>
      <c r="M20" s="408">
        <f t="shared" si="5"/>
        <v>59.628810000000001</v>
      </c>
      <c r="N20" s="98">
        <f>SUM(B20:M20)</f>
        <v>1348.26153</v>
      </c>
      <c r="O20" s="459"/>
      <c r="P20" s="460"/>
    </row>
    <row r="21" spans="1:16" x14ac:dyDescent="0.3">
      <c r="A21" s="71" t="s">
        <v>29</v>
      </c>
      <c r="B21" s="408">
        <f>B14*B18</f>
        <v>141.3879</v>
      </c>
      <c r="C21" s="408">
        <f>C14*C18</f>
        <v>607.27391999999998</v>
      </c>
      <c r="D21" s="408">
        <f>D14*D18</f>
        <v>219.45861000000002</v>
      </c>
      <c r="E21" s="408">
        <f t="shared" ref="E21:M21" si="6">E14*E18</f>
        <v>215.9487</v>
      </c>
      <c r="F21" s="408">
        <f t="shared" si="6"/>
        <v>1463.0574000000001</v>
      </c>
      <c r="G21" s="408">
        <f t="shared" si="6"/>
        <v>1005.3809999999999</v>
      </c>
      <c r="H21" s="408">
        <f t="shared" si="6"/>
        <v>1555.2669000000001</v>
      </c>
      <c r="I21" s="408">
        <f t="shared" si="6"/>
        <v>897.81316500000003</v>
      </c>
      <c r="J21" s="408">
        <f t="shared" si="6"/>
        <v>368.83799999999997</v>
      </c>
      <c r="K21" s="408">
        <f t="shared" si="6"/>
        <v>191.79576000000003</v>
      </c>
      <c r="L21" s="408">
        <f t="shared" si="6"/>
        <v>565.15499999999997</v>
      </c>
      <c r="M21" s="408">
        <f t="shared" si="6"/>
        <v>852.63050999999996</v>
      </c>
      <c r="N21" s="98">
        <f>SUM(B21:M21)</f>
        <v>8084.0068650000003</v>
      </c>
      <c r="O21" s="459"/>
      <c r="P21" s="460"/>
    </row>
    <row r="22" spans="1:16" x14ac:dyDescent="0.3">
      <c r="A22" s="409" t="s">
        <v>32</v>
      </c>
      <c r="B22" s="410">
        <f>SUM(B20:B21)</f>
        <v>165.36237</v>
      </c>
      <c r="C22" s="410">
        <f>SUM(C20:C21)</f>
        <v>865.48035000000004</v>
      </c>
      <c r="D22" s="410">
        <f>SUM(D20:D21)</f>
        <v>489.93981000000008</v>
      </c>
      <c r="E22" s="410">
        <f t="shared" ref="E22:M22" si="7">SUM(E20:E21)</f>
        <v>382.52069999999998</v>
      </c>
      <c r="F22" s="410">
        <f t="shared" si="7"/>
        <v>1638.8701800000001</v>
      </c>
      <c r="G22" s="410">
        <f t="shared" si="7"/>
        <v>1064.8709999999999</v>
      </c>
      <c r="H22" s="410">
        <f t="shared" si="7"/>
        <v>1682.8233750000002</v>
      </c>
      <c r="I22" s="410">
        <f t="shared" si="7"/>
        <v>944.84001000000001</v>
      </c>
      <c r="J22" s="410">
        <f t="shared" si="7"/>
        <v>413.15804999999995</v>
      </c>
      <c r="K22" s="410">
        <f t="shared" si="7"/>
        <v>258.80133000000006</v>
      </c>
      <c r="L22" s="410">
        <f t="shared" si="7"/>
        <v>613.34190000000001</v>
      </c>
      <c r="M22" s="410">
        <f t="shared" si="7"/>
        <v>912.25932</v>
      </c>
      <c r="N22" s="98">
        <f>SUM(B22:M22)</f>
        <v>9432.2683949999991</v>
      </c>
      <c r="O22" s="461"/>
      <c r="P22" s="460"/>
    </row>
    <row r="23" spans="1:16" x14ac:dyDescent="0.3">
      <c r="A23" s="71" t="s">
        <v>31</v>
      </c>
      <c r="B23" s="408">
        <f>B15*B18</f>
        <v>30.736500000000003</v>
      </c>
      <c r="C23" s="408">
        <f>C15*C18</f>
        <v>517.56299999999999</v>
      </c>
      <c r="D23" s="408">
        <f>D15*D18</f>
        <v>922.09500000000003</v>
      </c>
      <c r="E23" s="408">
        <f t="shared" ref="E23:M23" si="8">E15*E18</f>
        <v>240.93450000000001</v>
      </c>
      <c r="F23" s="408">
        <f t="shared" si="8"/>
        <v>1161.8397</v>
      </c>
      <c r="G23" s="408">
        <f t="shared" si="8"/>
        <v>642.49200000000008</v>
      </c>
      <c r="H23" s="408">
        <f t="shared" si="8"/>
        <v>1444.6155000000001</v>
      </c>
      <c r="I23" s="408">
        <f t="shared" si="8"/>
        <v>288.92309999999998</v>
      </c>
      <c r="J23" s="408">
        <f t="shared" si="8"/>
        <v>202.26600000000005</v>
      </c>
      <c r="K23" s="408">
        <f t="shared" si="8"/>
        <v>18.4419</v>
      </c>
      <c r="L23" s="408">
        <f t="shared" si="8"/>
        <v>267.70500000000004</v>
      </c>
      <c r="M23" s="408">
        <f t="shared" si="8"/>
        <v>817.59090000000003</v>
      </c>
      <c r="N23" s="98">
        <f>SUM(B23:M23)</f>
        <v>6555.2030999999997</v>
      </c>
      <c r="O23" s="459"/>
      <c r="P23" s="86"/>
    </row>
    <row r="49" spans="1:7" ht="12.75" customHeight="1" x14ac:dyDescent="0.3">
      <c r="A49" s="836" t="s">
        <v>153</v>
      </c>
      <c r="B49" s="836"/>
      <c r="C49" s="836"/>
      <c r="D49" s="836"/>
      <c r="E49" s="185"/>
    </row>
    <row r="50" spans="1:7" ht="12.75" customHeight="1" x14ac:dyDescent="0.25">
      <c r="A50" s="836" t="s">
        <v>154</v>
      </c>
      <c r="B50" s="836"/>
      <c r="C50" s="836"/>
      <c r="D50" s="836"/>
      <c r="E50" s="282"/>
    </row>
    <row r="51" spans="1:7" ht="12.75" customHeight="1" x14ac:dyDescent="0.25">
      <c r="A51" s="836" t="s">
        <v>155</v>
      </c>
      <c r="B51" s="836"/>
      <c r="C51" s="836"/>
      <c r="D51" s="836"/>
      <c r="E51" s="282"/>
    </row>
    <row r="52" spans="1:7" ht="12.75" customHeight="1" x14ac:dyDescent="0.25">
      <c r="A52" s="836" t="s">
        <v>156</v>
      </c>
      <c r="B52" s="836"/>
      <c r="C52" s="836"/>
      <c r="D52" s="836"/>
      <c r="E52" s="282"/>
    </row>
    <row r="53" spans="1:7" ht="12.75" customHeight="1" x14ac:dyDescent="0.25">
      <c r="A53" s="836" t="s">
        <v>157</v>
      </c>
      <c r="B53" s="836"/>
      <c r="C53" s="836"/>
      <c r="D53" s="836"/>
      <c r="E53" s="283"/>
    </row>
    <row r="54" spans="1:7" ht="17.25" customHeight="1" x14ac:dyDescent="0.4">
      <c r="A54" s="836" t="s">
        <v>158</v>
      </c>
      <c r="B54" s="836"/>
      <c r="C54" s="836"/>
      <c r="D54" s="836"/>
      <c r="E54" s="283"/>
      <c r="G54" s="284" t="s">
        <v>511</v>
      </c>
    </row>
    <row r="55" spans="1:7" ht="31.5" x14ac:dyDescent="0.25">
      <c r="A55" s="285" t="s">
        <v>237</v>
      </c>
      <c r="B55" s="286" t="s">
        <v>240</v>
      </c>
      <c r="C55" s="286" t="s">
        <v>238</v>
      </c>
      <c r="E55" s="89"/>
      <c r="F55" s="89"/>
    </row>
    <row r="56" spans="1:7" ht="12.5" x14ac:dyDescent="0.25">
      <c r="A56" s="287">
        <v>1987</v>
      </c>
      <c r="B56" s="87">
        <v>61594.954499999993</v>
      </c>
      <c r="C56" s="82"/>
      <c r="E56" s="288"/>
      <c r="F56" s="288"/>
    </row>
    <row r="57" spans="1:7" ht="12.5" x14ac:dyDescent="0.25">
      <c r="A57" s="287">
        <v>1988</v>
      </c>
      <c r="B57" s="87">
        <v>26201.379000000001</v>
      </c>
      <c r="C57" s="82"/>
      <c r="E57" s="288"/>
      <c r="F57" s="288"/>
    </row>
    <row r="58" spans="1:7" ht="12.5" x14ac:dyDescent="0.25">
      <c r="A58" s="287">
        <v>1989</v>
      </c>
      <c r="B58" s="87">
        <v>7527.4679999999998</v>
      </c>
      <c r="C58" s="82"/>
      <c r="E58" s="288"/>
      <c r="F58" s="288"/>
    </row>
    <row r="59" spans="1:7" ht="12.5" x14ac:dyDescent="0.25">
      <c r="A59" s="287">
        <v>1990</v>
      </c>
      <c r="B59" s="87">
        <v>20266.259999999998</v>
      </c>
      <c r="C59" s="82"/>
      <c r="E59" s="288"/>
      <c r="F59" s="288"/>
    </row>
    <row r="60" spans="1:7" ht="12.5" x14ac:dyDescent="0.25">
      <c r="A60" s="287">
        <v>1991</v>
      </c>
      <c r="B60" s="87">
        <v>25694.7225</v>
      </c>
      <c r="C60" s="82"/>
      <c r="E60" s="288"/>
      <c r="F60" s="288"/>
    </row>
    <row r="61" spans="1:7" ht="12.5" x14ac:dyDescent="0.25">
      <c r="A61" s="287">
        <v>1992</v>
      </c>
      <c r="B61" s="87">
        <v>18384.392999999996</v>
      </c>
      <c r="C61" s="82"/>
      <c r="E61" s="89"/>
      <c r="F61" s="89"/>
    </row>
    <row r="62" spans="1:7" ht="12.5" x14ac:dyDescent="0.25">
      <c r="A62" s="287">
        <v>1993</v>
      </c>
      <c r="B62" s="87">
        <v>11291.201999999999</v>
      </c>
      <c r="C62" s="82"/>
      <c r="E62" s="89"/>
      <c r="F62" s="89"/>
    </row>
    <row r="63" spans="1:7" ht="12.5" x14ac:dyDescent="0.25">
      <c r="A63" s="287">
        <v>1994</v>
      </c>
      <c r="B63" s="87">
        <v>13173.069</v>
      </c>
      <c r="C63" s="82"/>
      <c r="E63" s="89"/>
      <c r="F63" s="89"/>
    </row>
    <row r="64" spans="1:7" ht="12.5" x14ac:dyDescent="0.25">
      <c r="A64" s="287">
        <v>1995</v>
      </c>
      <c r="B64" s="87">
        <v>69556.699499999988</v>
      </c>
      <c r="C64" s="82"/>
      <c r="E64" s="89"/>
      <c r="F64" s="89"/>
    </row>
    <row r="65" spans="1:6" ht="12.5" x14ac:dyDescent="0.25">
      <c r="A65" s="287">
        <v>1996</v>
      </c>
      <c r="B65" s="87">
        <v>22654.783499999998</v>
      </c>
      <c r="C65" s="82"/>
      <c r="E65" s="89"/>
      <c r="F65" s="89"/>
    </row>
    <row r="66" spans="1:6" ht="12.5" x14ac:dyDescent="0.25">
      <c r="A66" s="287">
        <v>1997</v>
      </c>
      <c r="B66" s="87">
        <v>38071.616999999998</v>
      </c>
      <c r="C66" s="82"/>
      <c r="E66" s="89"/>
      <c r="F66" s="89"/>
    </row>
    <row r="67" spans="1:6" ht="12.5" x14ac:dyDescent="0.25">
      <c r="A67" s="287">
        <v>1998</v>
      </c>
      <c r="B67" s="87">
        <v>69122.422500000001</v>
      </c>
      <c r="C67" s="82"/>
      <c r="E67" s="89"/>
      <c r="F67" s="89"/>
    </row>
    <row r="68" spans="1:6" ht="12.5" x14ac:dyDescent="0.25">
      <c r="A68" s="287">
        <v>1999</v>
      </c>
      <c r="B68" s="87">
        <v>52692.275999999998</v>
      </c>
      <c r="C68" s="82"/>
      <c r="E68" s="89"/>
      <c r="F68" s="89"/>
    </row>
    <row r="69" spans="1:6" ht="12.5" x14ac:dyDescent="0.25">
      <c r="A69" s="287">
        <v>2000</v>
      </c>
      <c r="B69" s="87">
        <v>13173.069</v>
      </c>
      <c r="C69" s="82"/>
      <c r="D69" s="297"/>
      <c r="E69" s="89"/>
      <c r="F69" s="89"/>
    </row>
    <row r="70" spans="1:6" ht="12.5" x14ac:dyDescent="0.25">
      <c r="A70" s="287">
        <v>2001</v>
      </c>
      <c r="B70" s="87">
        <v>15134.171499999999</v>
      </c>
      <c r="C70" s="82">
        <v>2323</v>
      </c>
      <c r="D70" s="298"/>
      <c r="E70" s="89"/>
      <c r="F70" s="89"/>
    </row>
    <row r="71" spans="1:6" ht="12.5" x14ac:dyDescent="0.25">
      <c r="A71" s="287">
        <v>2002</v>
      </c>
      <c r="B71" s="87">
        <v>4248.6766499999994</v>
      </c>
      <c r="C71" s="87">
        <v>528.37034999999992</v>
      </c>
      <c r="D71" s="298"/>
      <c r="E71" s="89"/>
      <c r="F71" s="89"/>
    </row>
    <row r="72" spans="1:6" ht="12.5" x14ac:dyDescent="0.25">
      <c r="A72" s="287">
        <v>2003</v>
      </c>
      <c r="B72" s="87">
        <v>21641.470499999999</v>
      </c>
      <c r="C72" s="87">
        <v>7455.0884999999998</v>
      </c>
      <c r="D72" s="298"/>
      <c r="E72" s="89"/>
      <c r="F72" s="89"/>
    </row>
    <row r="73" spans="1:6" ht="12.5" x14ac:dyDescent="0.25">
      <c r="A73" s="287">
        <v>2004</v>
      </c>
      <c r="B73" s="87">
        <v>20924.913449999996</v>
      </c>
      <c r="C73" s="87">
        <v>3988.1104499999997</v>
      </c>
      <c r="D73" s="298"/>
      <c r="E73" s="89"/>
      <c r="F73" s="89"/>
    </row>
    <row r="74" spans="1:6" ht="12.5" x14ac:dyDescent="0.25">
      <c r="A74" s="299">
        <v>2005</v>
      </c>
      <c r="B74" s="87">
        <v>36624.026999999995</v>
      </c>
      <c r="C74" s="87">
        <v>7455.0884999999998</v>
      </c>
      <c r="D74" s="298"/>
      <c r="E74" s="89"/>
      <c r="F74" s="89"/>
    </row>
    <row r="75" spans="1:6" x14ac:dyDescent="0.3">
      <c r="A75" s="300">
        <v>2006</v>
      </c>
      <c r="B75" s="87">
        <v>8497.4680000000008</v>
      </c>
      <c r="C75" s="87">
        <v>970</v>
      </c>
      <c r="D75" s="298"/>
      <c r="E75" s="89"/>
      <c r="F75" s="89"/>
    </row>
    <row r="76" spans="1:6" x14ac:dyDescent="0.3">
      <c r="A76" s="300">
        <v>2007</v>
      </c>
      <c r="B76" s="87">
        <v>56500</v>
      </c>
      <c r="C76" s="82">
        <v>14861</v>
      </c>
    </row>
    <row r="77" spans="1:6" ht="16.5" customHeight="1" x14ac:dyDescent="0.3">
      <c r="A77" s="300">
        <v>2008</v>
      </c>
      <c r="B77" s="289">
        <v>19400</v>
      </c>
      <c r="C77" s="82">
        <v>5613</v>
      </c>
    </row>
    <row r="78" spans="1:6" ht="16.5" customHeight="1" x14ac:dyDescent="0.3">
      <c r="A78" s="300">
        <v>2009</v>
      </c>
      <c r="B78" s="289">
        <v>25943</v>
      </c>
      <c r="C78" s="289">
        <v>8202</v>
      </c>
    </row>
    <row r="79" spans="1:6" x14ac:dyDescent="0.3">
      <c r="A79" s="300">
        <v>2010</v>
      </c>
      <c r="B79" s="289">
        <v>29007</v>
      </c>
      <c r="C79" s="289">
        <v>8401</v>
      </c>
      <c r="D79" s="393"/>
    </row>
    <row r="80" spans="1:6" x14ac:dyDescent="0.3">
      <c r="A80" s="667">
        <v>2011</v>
      </c>
      <c r="B80" s="668">
        <v>9432</v>
      </c>
      <c r="C80" s="669">
        <v>1348</v>
      </c>
      <c r="D80" s="666"/>
    </row>
    <row r="81" spans="1:2" ht="31.5" x14ac:dyDescent="0.25">
      <c r="A81" s="427" t="s">
        <v>237</v>
      </c>
      <c r="B81" s="428" t="s">
        <v>239</v>
      </c>
    </row>
    <row r="82" spans="1:2" ht="12.5" x14ac:dyDescent="0.25">
      <c r="A82" s="287">
        <v>1987</v>
      </c>
      <c r="B82" s="281">
        <v>85.1</v>
      </c>
    </row>
    <row r="83" spans="1:2" ht="12.5" x14ac:dyDescent="0.25">
      <c r="A83" s="287">
        <v>1988</v>
      </c>
      <c r="B83" s="281">
        <v>36.200000000000003</v>
      </c>
    </row>
    <row r="84" spans="1:2" ht="12.5" x14ac:dyDescent="0.25">
      <c r="A84" s="287">
        <v>1989</v>
      </c>
      <c r="B84" s="281">
        <v>10.4</v>
      </c>
    </row>
    <row r="85" spans="1:2" ht="12.5" x14ac:dyDescent="0.25">
      <c r="A85" s="287">
        <v>1990</v>
      </c>
      <c r="B85" s="281">
        <v>28</v>
      </c>
    </row>
    <row r="86" spans="1:2" ht="12.5" x14ac:dyDescent="0.25">
      <c r="A86" s="287">
        <v>1991</v>
      </c>
      <c r="B86" s="281">
        <v>35.5</v>
      </c>
    </row>
    <row r="87" spans="1:2" ht="12.5" x14ac:dyDescent="0.25">
      <c r="A87" s="287">
        <v>1992</v>
      </c>
      <c r="B87" s="281">
        <v>25.4</v>
      </c>
    </row>
    <row r="88" spans="1:2" ht="12.5" x14ac:dyDescent="0.25">
      <c r="A88" s="287">
        <v>1993</v>
      </c>
      <c r="B88" s="281">
        <v>15.6</v>
      </c>
    </row>
    <row r="89" spans="1:2" ht="12.5" x14ac:dyDescent="0.25">
      <c r="A89" s="287">
        <v>1994</v>
      </c>
      <c r="B89" s="281">
        <v>18.2</v>
      </c>
    </row>
    <row r="90" spans="1:2" ht="12.5" x14ac:dyDescent="0.25">
      <c r="A90" s="287">
        <v>1995</v>
      </c>
      <c r="B90" s="281">
        <v>96.1</v>
      </c>
    </row>
    <row r="91" spans="1:2" ht="12.5" x14ac:dyDescent="0.25">
      <c r="A91" s="287">
        <v>1996</v>
      </c>
      <c r="B91" s="281">
        <v>31.3</v>
      </c>
    </row>
    <row r="92" spans="1:2" ht="12.5" x14ac:dyDescent="0.25">
      <c r="A92" s="287">
        <v>1997</v>
      </c>
      <c r="B92" s="281">
        <v>52.6</v>
      </c>
    </row>
    <row r="93" spans="1:2" ht="12.5" x14ac:dyDescent="0.25">
      <c r="A93" s="287">
        <v>1998</v>
      </c>
      <c r="B93" s="281">
        <v>95.5</v>
      </c>
    </row>
    <row r="94" spans="1:2" ht="12.5" x14ac:dyDescent="0.25">
      <c r="A94" s="287">
        <v>1999</v>
      </c>
      <c r="B94" s="281">
        <v>72.8</v>
      </c>
    </row>
    <row r="95" spans="1:2" ht="12.5" x14ac:dyDescent="0.25">
      <c r="A95" s="287">
        <v>2000</v>
      </c>
      <c r="B95" s="281">
        <v>18.2</v>
      </c>
    </row>
    <row r="96" spans="1:2" ht="12.5" x14ac:dyDescent="0.25">
      <c r="A96" s="287">
        <v>2001</v>
      </c>
      <c r="B96" s="281">
        <v>17.7</v>
      </c>
    </row>
    <row r="97" spans="1:2" ht="12.5" x14ac:dyDescent="0.25">
      <c r="A97" s="287">
        <v>2002</v>
      </c>
      <c r="B97" s="281">
        <v>5.14</v>
      </c>
    </row>
    <row r="98" spans="1:2" ht="12.5" x14ac:dyDescent="0.25">
      <c r="A98" s="287">
        <v>2003</v>
      </c>
      <c r="B98" s="281">
        <v>19.600000000000001</v>
      </c>
    </row>
    <row r="99" spans="1:2" ht="12.5" x14ac:dyDescent="0.25">
      <c r="A99" s="287">
        <v>2004</v>
      </c>
      <c r="B99" s="281">
        <v>23.4</v>
      </c>
    </row>
    <row r="100" spans="1:2" ht="12.5" x14ac:dyDescent="0.25">
      <c r="A100" s="299">
        <v>2005</v>
      </c>
      <c r="B100" s="301">
        <v>40.299999999999997</v>
      </c>
    </row>
    <row r="101" spans="1:2" ht="15.5" x14ac:dyDescent="0.35">
      <c r="A101" s="300">
        <v>2006</v>
      </c>
      <c r="B101" s="302">
        <v>10.4</v>
      </c>
    </row>
    <row r="102" spans="1:2" x14ac:dyDescent="0.3">
      <c r="A102" s="300">
        <v>2007</v>
      </c>
      <c r="B102" s="82"/>
    </row>
    <row r="103" spans="1:2" x14ac:dyDescent="0.3">
      <c r="A103" s="300">
        <v>2008</v>
      </c>
      <c r="B103" s="82"/>
    </row>
  </sheetData>
  <mergeCells count="9">
    <mergeCell ref="A1:P1"/>
    <mergeCell ref="B17:L17"/>
    <mergeCell ref="A54:D54"/>
    <mergeCell ref="A49:D49"/>
    <mergeCell ref="A50:D50"/>
    <mergeCell ref="A51:D51"/>
    <mergeCell ref="A52:D52"/>
    <mergeCell ref="A53:D53"/>
    <mergeCell ref="N18:N19"/>
  </mergeCells>
  <phoneticPr fontId="8" type="noConversion"/>
  <pageMargins left="0.75" right="0.75" top="1" bottom="1" header="0.5" footer="0.5"/>
  <pageSetup orientation="portrait" horizontalDpi="4294967294"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15</vt:i4>
      </vt:variant>
    </vt:vector>
  </HeadingPairs>
  <TitlesOfParts>
    <vt:vector size="66" baseType="lpstr">
      <vt:lpstr>Reservoir Sample Sites</vt:lpstr>
      <vt:lpstr>2011 Reservoir Summary Stats</vt:lpstr>
      <vt:lpstr>Annual Reservoir Trends</vt:lpstr>
      <vt:lpstr>Nitrate Trends</vt:lpstr>
      <vt:lpstr>Phosphorus Trends</vt:lpstr>
      <vt:lpstr>Loading</vt:lpstr>
      <vt:lpstr>Carlson</vt:lpstr>
      <vt:lpstr>Walker</vt:lpstr>
      <vt:lpstr>Monthly Discharge</vt:lpstr>
      <vt:lpstr>Temperature</vt:lpstr>
      <vt:lpstr>Conductance</vt:lpstr>
      <vt:lpstr>pH</vt:lpstr>
      <vt:lpstr>Oxygen</vt:lpstr>
      <vt:lpstr>T &amp; Diss Phosphorus</vt:lpstr>
      <vt:lpstr>Nitrate &amp; T Nitrogen</vt:lpstr>
      <vt:lpstr>TSS</vt:lpstr>
      <vt:lpstr>Chlsecchi</vt:lpstr>
      <vt:lpstr>Phytoplankton</vt:lpstr>
      <vt:lpstr>Monthly Chemistry</vt:lpstr>
      <vt:lpstr>WS 2011 Data</vt:lpstr>
      <vt:lpstr>2011 WS Flow</vt:lpstr>
      <vt:lpstr>Genesee Reservoir</vt:lpstr>
      <vt:lpstr>Evergreen Lake</vt:lpstr>
      <vt:lpstr>Temp DO Comp</vt:lpstr>
      <vt:lpstr>Kerr Swede</vt:lpstr>
      <vt:lpstr>1-23-11</vt:lpstr>
      <vt:lpstr>2-21-11</vt:lpstr>
      <vt:lpstr>3-28-11</vt:lpstr>
      <vt:lpstr>4-25-11</vt:lpstr>
      <vt:lpstr>5-23-11</vt:lpstr>
      <vt:lpstr>6-27-11</vt:lpstr>
      <vt:lpstr>7-19-11</vt:lpstr>
      <vt:lpstr>7-25-11</vt:lpstr>
      <vt:lpstr>8-8-11</vt:lpstr>
      <vt:lpstr>8-22-11</vt:lpstr>
      <vt:lpstr>9-12-11</vt:lpstr>
      <vt:lpstr>9-26-11</vt:lpstr>
      <vt:lpstr>10-17-11</vt:lpstr>
      <vt:lpstr>10-24-11</vt:lpstr>
      <vt:lpstr>11-28-2011</vt:lpstr>
      <vt:lpstr>12-15-2011</vt:lpstr>
      <vt:lpstr>Sediment</vt:lpstr>
      <vt:lpstr>Grain Size</vt:lpstr>
      <vt:lpstr>T Standards</vt:lpstr>
      <vt:lpstr>Rec Use</vt:lpstr>
      <vt:lpstr>Transition</vt:lpstr>
      <vt:lpstr>303d List </vt:lpstr>
      <vt:lpstr>Field Sheet</vt:lpstr>
      <vt:lpstr>Temp 2010</vt:lpstr>
      <vt:lpstr>Air T Evergreen</vt:lpstr>
      <vt:lpstr>Horse Manure</vt:lpstr>
      <vt:lpstr>Carlson!Print_Area</vt:lpstr>
      <vt:lpstr>Chlsecchi!Print_Area</vt:lpstr>
      <vt:lpstr>Conductance!Print_Area</vt:lpstr>
      <vt:lpstr>'Field Sheet'!Print_Area</vt:lpstr>
      <vt:lpstr>'Kerr Swede'!Print_Area</vt:lpstr>
      <vt:lpstr>Loading!Print_Area</vt:lpstr>
      <vt:lpstr>'Monthly Chemistry'!Print_Area</vt:lpstr>
      <vt:lpstr>Oxygen!Print_Area</vt:lpstr>
      <vt:lpstr>pH!Print_Area</vt:lpstr>
      <vt:lpstr>'Rec Use'!Print_Area</vt:lpstr>
      <vt:lpstr>'Temp DO Comp'!Print_Area</vt:lpstr>
      <vt:lpstr>Temperature!Print_Area</vt:lpstr>
      <vt:lpstr>TSS!Print_Area</vt:lpstr>
      <vt:lpstr>Walker!Print_Area</vt:lpstr>
      <vt:lpstr>'WS 2011 Data'!Print_Area</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RNC Consulting LLC</cp:lastModifiedBy>
  <cp:lastPrinted>2012-03-26T13:49:10Z</cp:lastPrinted>
  <dcterms:created xsi:type="dcterms:W3CDTF">2000-11-21T22:42:26Z</dcterms:created>
  <dcterms:modified xsi:type="dcterms:W3CDTF">2017-10-18T21:17:42Z</dcterms:modified>
</cp:coreProperties>
</file>