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6.xml" ContentType="application/vnd.openxmlformats-officedocument.drawingml.chartshapes+xml"/>
  <Override PartName="/xl/charts/chart2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9.xml" ContentType="application/vnd.openxmlformats-officedocument.drawingml.chartshapes+xml"/>
  <Override PartName="/xl/charts/chart2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0.xml" ContentType="application/vnd.openxmlformats-officedocument.drawing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1.xml" ContentType="application/vnd.openxmlformats-officedocument.drawing+xml"/>
  <Override PartName="/xl/charts/chart33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4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2.xml" ContentType="application/vnd.openxmlformats-officedocument.drawing+xml"/>
  <Override PartName="/xl/charts/chart35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6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7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8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3.xml" ContentType="application/vnd.openxmlformats-officedocument.drawing+xml"/>
  <Override PartName="/xl/charts/chart39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40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4.xml" ContentType="application/vnd.openxmlformats-officedocument.drawing+xml"/>
  <Override PartName="/xl/charts/chart41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2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15.xml" ContentType="application/vnd.openxmlformats-officedocument.drawing+xml"/>
  <Override PartName="/xl/charts/chart43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44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16.xml" ContentType="application/vnd.openxmlformats-officedocument.drawing+xml"/>
  <Override PartName="/xl/charts/chart45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6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17.xml" ContentType="application/vnd.openxmlformats-officedocument.drawing+xml"/>
  <Override PartName="/xl/charts/chart47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8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18.xml" ContentType="application/vnd.openxmlformats-officedocument.drawing+xml"/>
  <Override PartName="/xl/charts/chart49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50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19.xml" ContentType="application/vnd.openxmlformats-officedocument.drawing+xml"/>
  <Override PartName="/xl/charts/chart51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52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20.xml" ContentType="application/vnd.openxmlformats-officedocument.drawing+xml"/>
  <Override PartName="/xl/charts/chart53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54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55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56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7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21.xml" ContentType="application/vnd.openxmlformats-officedocument.drawing+xml"/>
  <Override PartName="/xl/charts/chart58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9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60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22.xml" ContentType="application/vnd.openxmlformats-officedocument.drawing+xml"/>
  <Override PartName="/xl/charts/chart61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23.xml" ContentType="application/vnd.openxmlformats-officedocument.drawing+xml"/>
  <Override PartName="/xl/charts/chart62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63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64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24.xml" ContentType="application/vnd.openxmlformats-officedocument.drawing+xml"/>
  <Override PartName="/xl/charts/chart65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66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7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8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25.xml" ContentType="application/vnd.openxmlformats-officedocument.drawing+xml"/>
  <Override PartName="/xl/charts/chart71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72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73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74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75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76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77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8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9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drawings/drawing26.xml" ContentType="application/vnd.openxmlformats-officedocument.drawing+xml"/>
  <Override PartName="/xl/charts/chart80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7.xml" ContentType="application/vnd.openxmlformats-officedocument.drawing+xml"/>
  <Override PartName="/xl/charts/chart81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82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83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84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85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86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87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drawings/drawing28.xml" ContentType="application/vnd.openxmlformats-officedocument.drawing+xml"/>
  <Override PartName="/xl/charts/chart88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9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90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91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NC Consulting LLC\Documents\BCWA Working\BCWA Watershed Plan Working\MSD-Year P1 P4 Master Spreadsheets\"/>
    </mc:Choice>
  </mc:AlternateContent>
  <xr:revisionPtr revIDLastSave="0" documentId="13_ncr:1_{6AD995CF-95C8-4429-8EDC-5109E029F986}" xr6:coauthVersionLast="45" xr6:coauthVersionMax="45" xr10:uidLastSave="{00000000-0000-0000-0000-000000000000}"/>
  <bookViews>
    <workbookView xWindow="-110" yWindow="-110" windowWidth="19420" windowHeight="10420" tabRatio="931" firstSheet="23" activeTab="32" xr2:uid="{00000000-000D-0000-FFFF-FFFF00000000}"/>
  </bookViews>
  <sheets>
    <sheet name="Reservoir Summary Stats" sheetId="19" r:id="rId1"/>
    <sheet name="Annual Reservoir Trends" sheetId="24" r:id="rId2"/>
    <sheet name="Nitrogen Trends" sheetId="23" r:id="rId3"/>
    <sheet name="Phosphorus Trends" sheetId="22" r:id="rId4"/>
    <sheet name="Loading" sheetId="21" r:id="rId5"/>
    <sheet name="Carlson" sheetId="20" r:id="rId6"/>
    <sheet name="Walker" sheetId="25" r:id="rId7"/>
    <sheet name="Monthly Discharge" sheetId="26" r:id="rId8"/>
    <sheet name="P1 Periphyton Clarity" sheetId="116" r:id="rId9"/>
    <sheet name="W Temperature" sheetId="13" r:id="rId10"/>
    <sheet name="Air Temp" sheetId="123" r:id="rId11"/>
    <sheet name="Conductance" sheetId="1" r:id="rId12"/>
    <sheet name="pH" sheetId="7" r:id="rId13"/>
    <sheet name="Oxygen" sheetId="8" r:id="rId14"/>
    <sheet name="Temp DO Comp" sheetId="49" r:id="rId15"/>
    <sheet name="T Phosphorus" sheetId="3" r:id="rId16"/>
    <sheet name="T Nitrogen" sheetId="121" r:id="rId17"/>
    <sheet name="Chlsecchi" sheetId="14" r:id="rId18"/>
    <sheet name="GEI P1 Sites" sheetId="108" r:id="rId19"/>
    <sheet name="P1 Summary" sheetId="34" r:id="rId20"/>
    <sheet name="GEI Coyote Gulch" sheetId="88" r:id="rId21"/>
    <sheet name="Coyote Summary" sheetId="90" r:id="rId22"/>
    <sheet name="GEI Mt Evans" sheetId="109" r:id="rId23"/>
    <sheet name="Mt Evans Summary" sheetId="71" r:id="rId24"/>
    <sheet name="Fen Study" sheetId="112" r:id="rId25"/>
    <sheet name="GEI Copper" sheetId="119" r:id="rId26"/>
    <sheet name="Copper Study" sheetId="120" r:id="rId27"/>
    <sheet name="GEI Watershed" sheetId="110" r:id="rId28"/>
    <sheet name="MWS 2018 Field" sheetId="72" r:id="rId29"/>
    <sheet name="MWS 2018 chemistry" sheetId="56" r:id="rId30"/>
    <sheet name="E. coli" sheetId="115" r:id="rId31"/>
    <sheet name="GEI EGL" sheetId="111" r:id="rId32"/>
    <sheet name="EGL Summary" sheetId="64" r:id="rId33"/>
    <sheet name="2018 Sediment" sheetId="107" r:id="rId34"/>
    <sheet name="2018 Sites" sheetId="113" r:id="rId35"/>
    <sheet name="Parameters 2018" sheetId="114" r:id="rId36"/>
    <sheet name="Methods Labratory" sheetId="79" r:id="rId37"/>
    <sheet name="P1 Field Sheet" sheetId="31" r:id="rId38"/>
    <sheet name="Field WS" sheetId="80" r:id="rId39"/>
    <sheet name="Macro Samples" sheetId="118" r:id="rId40"/>
    <sheet name="Macro Field" sheetId="124" r:id="rId41"/>
  </sheets>
  <externalReferences>
    <externalReference r:id="rId42"/>
  </externalReferences>
  <definedNames>
    <definedName name="_xlnm.Print_Area" localSheetId="33">'2018 Sediment'!$A$1:$E$18</definedName>
    <definedName name="_xlnm.Print_Area" localSheetId="5">Carlson!$M$52:$Y$93</definedName>
    <definedName name="_xlnm.Print_Area" localSheetId="17">Chlsecchi!$A$8:$P$12</definedName>
    <definedName name="_xlnm.Print_Area" localSheetId="11">Conductance!$A$1:$O$22</definedName>
    <definedName name="_xlnm.Print_Area" localSheetId="38">'Field WS'!$A$81:$I$101</definedName>
    <definedName name="_xlnm.Print_Area" localSheetId="31">'GEI EGL'!$A$40:$E$46</definedName>
    <definedName name="_xlnm.Print_Area" localSheetId="27">'GEI Watershed'!$Q$9:$S$28</definedName>
    <definedName name="_xlnm.Print_Area" localSheetId="4">Loading!$A$57:$N$89</definedName>
    <definedName name="_xlnm.Print_Area" localSheetId="23">'Mt Evans Summary'!$Q$2:$V$38</definedName>
    <definedName name="_xlnm.Print_Area" localSheetId="29">'MWS 2018 chemistry'!#REF!</definedName>
    <definedName name="_xlnm.Print_Area" localSheetId="13">Oxygen!$A$1:$O$24</definedName>
    <definedName name="_xlnm.Print_Area" localSheetId="37">'P1 Field Sheet'!$A$58:$H$89</definedName>
    <definedName name="_xlnm.Print_Area" localSheetId="19">'P1 Summary'!$A$1:$S$19</definedName>
    <definedName name="_xlnm.Print_Area" localSheetId="12">pH!$A$1:$O$11</definedName>
    <definedName name="_xlnm.Print_Area" localSheetId="3">'Phosphorus Trends'!$O$104:$T$111</definedName>
    <definedName name="_xlnm.Print_Area" localSheetId="15">'T Phosphorus'!$A$2:$U$11</definedName>
    <definedName name="_xlnm.Print_Area" localSheetId="14">'Temp DO Comp'!$S$1:$AG$6</definedName>
    <definedName name="_xlnm.Print_Area" localSheetId="9">'W Temperature'!$A$2:$S$79</definedName>
    <definedName name="_xlnm.Print_Area" localSheetId="6">Walker!$M$50:$AQ$86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8" i="64" l="1"/>
  <c r="AB1" i="21" l="1"/>
  <c r="L117" i="64" l="1"/>
  <c r="L116" i="64"/>
  <c r="L115" i="64"/>
  <c r="N117" i="64"/>
  <c r="N116" i="64"/>
  <c r="N115" i="64"/>
  <c r="E84" i="26" l="1"/>
  <c r="G16" i="115" l="1"/>
  <c r="T3" i="72" l="1"/>
  <c r="E86" i="26" l="1"/>
  <c r="Z24" i="112" l="1"/>
  <c r="Z25" i="112"/>
  <c r="Z23" i="112"/>
  <c r="Z22" i="112"/>
  <c r="Y25" i="112"/>
  <c r="Y24" i="112"/>
  <c r="Y23" i="112"/>
  <c r="Y22" i="112"/>
  <c r="X25" i="112"/>
  <c r="X24" i="112"/>
  <c r="X23" i="112"/>
  <c r="X22" i="112"/>
  <c r="I42" i="111" l="1"/>
  <c r="I43" i="111"/>
  <c r="I44" i="111"/>
  <c r="I45" i="111"/>
  <c r="I46" i="111"/>
  <c r="I41" i="111"/>
  <c r="D50" i="8"/>
  <c r="E50" i="8"/>
  <c r="F50" i="8"/>
  <c r="G50" i="8"/>
  <c r="H50" i="8"/>
  <c r="I50" i="8"/>
  <c r="J50" i="8"/>
  <c r="K50" i="8"/>
  <c r="L50" i="8"/>
  <c r="M50" i="8"/>
  <c r="N50" i="8"/>
  <c r="O50" i="8"/>
  <c r="D49" i="8"/>
  <c r="E49" i="8"/>
  <c r="F49" i="8"/>
  <c r="G49" i="8"/>
  <c r="H49" i="8"/>
  <c r="I49" i="8"/>
  <c r="J49" i="8"/>
  <c r="K49" i="8"/>
  <c r="L49" i="8"/>
  <c r="M49" i="8"/>
  <c r="N49" i="8"/>
  <c r="O49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D51" i="7"/>
  <c r="E51" i="7"/>
  <c r="F51" i="7"/>
  <c r="G51" i="7"/>
  <c r="H51" i="7"/>
  <c r="I51" i="7"/>
  <c r="J51" i="7"/>
  <c r="K51" i="7"/>
  <c r="L51" i="7"/>
  <c r="M51" i="7"/>
  <c r="N51" i="7"/>
  <c r="O51" i="7"/>
  <c r="D50" i="7"/>
  <c r="E50" i="7"/>
  <c r="F50" i="7"/>
  <c r="G50" i="7"/>
  <c r="H50" i="7"/>
  <c r="I50" i="7"/>
  <c r="J50" i="7"/>
  <c r="K50" i="7"/>
  <c r="L50" i="7"/>
  <c r="M50" i="7"/>
  <c r="N50" i="7"/>
  <c r="O50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14" i="7"/>
  <c r="R14" i="7"/>
  <c r="Q13" i="7"/>
  <c r="R13" i="7"/>
  <c r="O22" i="1"/>
  <c r="P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C22" i="1"/>
  <c r="D22" i="1"/>
  <c r="E22" i="1"/>
  <c r="F22" i="1"/>
  <c r="G22" i="1"/>
  <c r="H22" i="1"/>
  <c r="I22" i="1"/>
  <c r="J22" i="1"/>
  <c r="K22" i="1"/>
  <c r="L22" i="1"/>
  <c r="M22" i="1"/>
  <c r="N22" i="1"/>
  <c r="D50" i="1"/>
  <c r="E50" i="1"/>
  <c r="F50" i="1"/>
  <c r="G50" i="1"/>
  <c r="H50" i="1"/>
  <c r="I50" i="1"/>
  <c r="J50" i="1"/>
  <c r="K50" i="1"/>
  <c r="L50" i="1"/>
  <c r="M50" i="1"/>
  <c r="N50" i="1"/>
  <c r="O50" i="1"/>
  <c r="D49" i="1"/>
  <c r="E49" i="1"/>
  <c r="F49" i="1"/>
  <c r="G49" i="1"/>
  <c r="H49" i="1"/>
  <c r="I49" i="1"/>
  <c r="J49" i="1"/>
  <c r="K49" i="1"/>
  <c r="L49" i="1"/>
  <c r="M49" i="1"/>
  <c r="N49" i="1"/>
  <c r="O49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Q15" i="13" l="1"/>
  <c r="P23" i="13"/>
  <c r="N51" i="13"/>
  <c r="N23" i="13"/>
  <c r="M51" i="13"/>
  <c r="M23" i="13"/>
  <c r="I51" i="13"/>
  <c r="J51" i="13"/>
  <c r="K51" i="13"/>
  <c r="L51" i="13"/>
  <c r="L23" i="13"/>
  <c r="K38" i="13"/>
  <c r="J38" i="13"/>
  <c r="I38" i="13"/>
  <c r="H23" i="13"/>
  <c r="I23" i="13"/>
  <c r="H51" i="13"/>
  <c r="G38" i="13"/>
  <c r="H38" i="13"/>
  <c r="G23" i="13"/>
  <c r="G51" i="13"/>
  <c r="F38" i="13"/>
  <c r="B38" i="7"/>
  <c r="F51" i="13"/>
  <c r="F23" i="13"/>
  <c r="B22" i="1" l="1"/>
  <c r="D51" i="13"/>
  <c r="E51" i="13"/>
  <c r="C38" i="13"/>
  <c r="D38" i="13"/>
  <c r="E38" i="13"/>
  <c r="C23" i="13"/>
  <c r="D23" i="13"/>
  <c r="E23" i="13"/>
  <c r="B38" i="13"/>
  <c r="C49" i="8"/>
  <c r="B38" i="8"/>
  <c r="B37" i="8"/>
  <c r="B22" i="8"/>
  <c r="B23" i="7"/>
  <c r="B37" i="1"/>
  <c r="B23" i="13"/>
  <c r="C51" i="13" l="1"/>
  <c r="C52" i="13"/>
  <c r="C50" i="8"/>
  <c r="C51" i="7"/>
  <c r="C50" i="7"/>
  <c r="B39" i="7"/>
  <c r="C49" i="1"/>
  <c r="C50" i="1"/>
  <c r="B38" i="1"/>
  <c r="J23" i="13"/>
  <c r="K23" i="13"/>
  <c r="O23" i="13"/>
  <c r="Q50" i="13"/>
  <c r="R50" i="13"/>
  <c r="B39" i="13"/>
  <c r="C39" i="13"/>
  <c r="F37" i="90" l="1"/>
  <c r="I38" i="90"/>
  <c r="S3" i="90"/>
  <c r="AE22" i="24" l="1"/>
  <c r="AF22" i="21" l="1"/>
  <c r="AH22" i="21" s="1"/>
  <c r="AI22" i="21" s="1"/>
  <c r="AG24" i="21"/>
  <c r="AE24" i="21"/>
  <c r="AG23" i="21"/>
  <c r="AE23" i="21"/>
  <c r="BH26" i="25"/>
  <c r="BH27" i="25" s="1"/>
  <c r="BH23" i="25"/>
  <c r="BH24" i="25" s="1"/>
  <c r="BH29" i="25" s="1"/>
  <c r="BH20" i="25"/>
  <c r="BH21" i="25" s="1"/>
  <c r="BH17" i="25"/>
  <c r="BH18" i="25" s="1"/>
  <c r="BH9" i="25"/>
  <c r="BH10" i="25" s="1"/>
  <c r="BH12" i="25" s="1"/>
  <c r="BH6" i="25"/>
  <c r="BH7" i="25" s="1"/>
  <c r="BH3" i="25"/>
  <c r="BH4" i="25" s="1"/>
  <c r="AD36" i="20"/>
  <c r="AD37" i="20" s="1"/>
  <c r="AD33" i="20"/>
  <c r="AD34" i="20" s="1"/>
  <c r="AD30" i="20"/>
  <c r="AD31" i="20" s="1"/>
  <c r="AD26" i="20"/>
  <c r="AD25" i="20"/>
  <c r="AD22" i="20"/>
  <c r="AD23" i="20" s="1"/>
  <c r="AD19" i="20"/>
  <c r="AD20" i="20" s="1"/>
  <c r="E57" i="120"/>
  <c r="E40" i="120"/>
  <c r="F40" i="120"/>
  <c r="G40" i="120"/>
  <c r="H40" i="120"/>
  <c r="I40" i="120"/>
  <c r="J40" i="120"/>
  <c r="K40" i="120"/>
  <c r="L40" i="120"/>
  <c r="M40" i="120"/>
  <c r="N40" i="120"/>
  <c r="O40" i="120"/>
  <c r="D40" i="120"/>
  <c r="E58" i="120"/>
  <c r="F58" i="120" s="1"/>
  <c r="F57" i="120"/>
  <c r="H63" i="71"/>
  <c r="H62" i="71"/>
  <c r="H61" i="71"/>
  <c r="H60" i="71"/>
  <c r="AD28" i="20" l="1"/>
  <c r="AD39" i="20"/>
  <c r="E35" i="71"/>
  <c r="E36" i="71"/>
  <c r="E37" i="71"/>
  <c r="S4" i="90"/>
  <c r="AE4" i="24"/>
  <c r="AE8" i="24"/>
  <c r="AE7" i="24"/>
  <c r="W5" i="26"/>
  <c r="W6" i="26"/>
  <c r="W4" i="26"/>
  <c r="BO37" i="26"/>
  <c r="BP37" i="26"/>
  <c r="BQ37" i="26"/>
  <c r="BR37" i="26"/>
  <c r="BS37" i="26"/>
  <c r="BN37" i="26"/>
  <c r="W7" i="26"/>
  <c r="P125" i="22" l="1"/>
  <c r="G144" i="22"/>
  <c r="X15" i="34"/>
  <c r="W15" i="34"/>
  <c r="D240" i="108"/>
  <c r="E240" i="108"/>
  <c r="F240" i="108"/>
  <c r="G240" i="108"/>
  <c r="H240" i="108"/>
  <c r="I240" i="108"/>
  <c r="J240" i="108"/>
  <c r="K240" i="108"/>
  <c r="L240" i="108"/>
  <c r="M240" i="108"/>
  <c r="N240" i="108"/>
  <c r="O240" i="108"/>
  <c r="P240" i="108"/>
  <c r="Q240" i="108"/>
  <c r="C240" i="108"/>
  <c r="F16" i="115"/>
  <c r="B16" i="115"/>
  <c r="C16" i="115"/>
  <c r="R45" i="115"/>
  <c r="Q45" i="115"/>
  <c r="AE11" i="107" l="1"/>
  <c r="AE5" i="107"/>
  <c r="AG22" i="107" l="1"/>
  <c r="AD22" i="107"/>
  <c r="AB22" i="107"/>
  <c r="AH22" i="107" l="1"/>
  <c r="AL20" i="107" s="1"/>
  <c r="AE22" i="107"/>
  <c r="AK20" i="107" s="1"/>
  <c r="R18" i="107"/>
  <c r="S18" i="107"/>
  <c r="T18" i="107"/>
  <c r="U18" i="107"/>
  <c r="U13" i="107"/>
  <c r="U14" i="107"/>
  <c r="U15" i="107"/>
  <c r="U16" i="107"/>
  <c r="U17" i="107"/>
  <c r="T13" i="107"/>
  <c r="T14" i="107"/>
  <c r="T15" i="107"/>
  <c r="T16" i="107"/>
  <c r="T17" i="107"/>
  <c r="S13" i="107"/>
  <c r="S14" i="107"/>
  <c r="S15" i="107"/>
  <c r="S16" i="107"/>
  <c r="S17" i="107"/>
  <c r="R13" i="107"/>
  <c r="R14" i="107"/>
  <c r="R15" i="107"/>
  <c r="R16" i="107"/>
  <c r="R17" i="107"/>
  <c r="V4" i="107"/>
  <c r="V13" i="107" s="1"/>
  <c r="V5" i="107"/>
  <c r="V14" i="107" s="1"/>
  <c r="V6" i="107"/>
  <c r="V15" i="107" s="1"/>
  <c r="V7" i="107"/>
  <c r="V16" i="107" s="1"/>
  <c r="V8" i="107"/>
  <c r="V17" i="107" s="1"/>
  <c r="V9" i="107"/>
  <c r="V18" i="107" s="1"/>
  <c r="V3" i="107"/>
  <c r="V12" i="107" s="1"/>
  <c r="S12" i="107"/>
  <c r="T12" i="107"/>
  <c r="U12" i="107"/>
  <c r="R12" i="107"/>
  <c r="W18" i="107" l="1"/>
  <c r="AF5" i="21"/>
  <c r="AF6" i="21"/>
  <c r="AF7" i="21"/>
  <c r="AF8" i="21"/>
  <c r="AH8" i="21" s="1"/>
  <c r="AI8" i="21" s="1"/>
  <c r="AF9" i="21"/>
  <c r="AH9" i="21" s="1"/>
  <c r="AI9" i="21" s="1"/>
  <c r="AF10" i="21"/>
  <c r="AH10" i="21" s="1"/>
  <c r="AI10" i="21" s="1"/>
  <c r="AF11" i="21"/>
  <c r="AF12" i="21"/>
  <c r="AH12" i="21" s="1"/>
  <c r="AI12" i="21" s="1"/>
  <c r="AF13" i="21"/>
  <c r="AH13" i="21" s="1"/>
  <c r="AI13" i="21" s="1"/>
  <c r="AF14" i="21"/>
  <c r="AH14" i="21" s="1"/>
  <c r="AI14" i="21" s="1"/>
  <c r="AF15" i="21"/>
  <c r="AH15" i="21" s="1"/>
  <c r="AI15" i="21" s="1"/>
  <c r="AF16" i="21"/>
  <c r="AH16" i="21" s="1"/>
  <c r="AI16" i="21" s="1"/>
  <c r="AF17" i="21"/>
  <c r="AH17" i="21" s="1"/>
  <c r="AI17" i="21" s="1"/>
  <c r="AF18" i="21"/>
  <c r="AF19" i="21"/>
  <c r="AH19" i="21" s="1"/>
  <c r="AI19" i="21" s="1"/>
  <c r="AF20" i="21"/>
  <c r="AH20" i="21" s="1"/>
  <c r="AI20" i="21" s="1"/>
  <c r="AF21" i="21"/>
  <c r="AH21" i="21" s="1"/>
  <c r="AI21" i="21" s="1"/>
  <c r="AF4" i="21"/>
  <c r="AH18" i="21"/>
  <c r="AI18" i="21" s="1"/>
  <c r="AH11" i="21"/>
  <c r="AI11" i="21" s="1"/>
  <c r="AH7" i="21"/>
  <c r="AI7" i="21" s="1"/>
  <c r="AH6" i="21"/>
  <c r="AF24" i="21" l="1"/>
  <c r="AF23" i="21"/>
  <c r="AH5" i="21"/>
  <c r="AI5" i="21" s="1"/>
  <c r="AH4" i="21"/>
  <c r="AH24" i="21" l="1"/>
  <c r="AH23" i="21"/>
  <c r="AI4" i="21"/>
  <c r="AI24" i="21" l="1"/>
  <c r="AI23" i="21"/>
  <c r="B12" i="26"/>
  <c r="C12" i="26"/>
  <c r="D12" i="26"/>
  <c r="E12" i="26"/>
  <c r="F12" i="26"/>
  <c r="G12" i="26"/>
  <c r="H12" i="26"/>
  <c r="I12" i="26"/>
  <c r="J12" i="26"/>
  <c r="K12" i="26"/>
  <c r="L12" i="26"/>
  <c r="M12" i="26"/>
  <c r="W14" i="107" l="1"/>
  <c r="W16" i="107"/>
  <c r="W12" i="107"/>
  <c r="R4" i="56" l="1"/>
  <c r="R5" i="56"/>
  <c r="R6" i="56"/>
  <c r="R7" i="56"/>
  <c r="R8" i="56"/>
  <c r="R9" i="56"/>
  <c r="R10" i="56"/>
  <c r="R11" i="56"/>
  <c r="R12" i="56"/>
  <c r="R13" i="56"/>
  <c r="R14" i="56"/>
  <c r="R15" i="56"/>
  <c r="R19" i="56"/>
  <c r="R16" i="56"/>
  <c r="R17" i="56"/>
  <c r="R18" i="56"/>
  <c r="R20" i="56"/>
  <c r="R21" i="56"/>
  <c r="R22" i="56"/>
  <c r="R23" i="56"/>
  <c r="R24" i="56"/>
  <c r="R25" i="56"/>
  <c r="R26" i="56"/>
  <c r="Q4" i="56"/>
  <c r="Q5" i="56"/>
  <c r="Q6" i="56"/>
  <c r="Q7" i="56"/>
  <c r="Q8" i="56"/>
  <c r="Q9" i="56"/>
  <c r="Q10" i="56"/>
  <c r="Q11" i="56"/>
  <c r="Q12" i="56"/>
  <c r="Q13" i="56"/>
  <c r="Q14" i="56"/>
  <c r="Q15" i="56"/>
  <c r="Q19" i="56"/>
  <c r="Q16" i="56"/>
  <c r="Q17" i="56"/>
  <c r="Q18" i="56"/>
  <c r="Q20" i="56"/>
  <c r="Q21" i="56"/>
  <c r="Q22" i="56"/>
  <c r="Q23" i="56"/>
  <c r="Q24" i="56"/>
  <c r="Q25" i="56"/>
  <c r="Q26" i="56"/>
  <c r="R3" i="56"/>
  <c r="Q3" i="56"/>
  <c r="Q48" i="1" l="1"/>
  <c r="R48" i="1"/>
  <c r="Q47" i="1"/>
  <c r="R47" i="1"/>
  <c r="Q46" i="1"/>
  <c r="R46" i="1"/>
  <c r="Q45" i="1"/>
  <c r="R45" i="1"/>
  <c r="Q44" i="1"/>
  <c r="R44" i="1"/>
  <c r="Q43" i="1"/>
  <c r="R43" i="1"/>
  <c r="Q42" i="1"/>
  <c r="R42" i="1"/>
  <c r="Q41" i="1"/>
  <c r="R41" i="1"/>
  <c r="Q40" i="1"/>
  <c r="R40" i="1"/>
  <c r="Q35" i="1"/>
  <c r="R35" i="1"/>
  <c r="Q34" i="1"/>
  <c r="R34" i="1"/>
  <c r="Q33" i="1"/>
  <c r="R33" i="1"/>
  <c r="Q32" i="1"/>
  <c r="R32" i="1"/>
  <c r="Q31" i="1"/>
  <c r="R31" i="1"/>
  <c r="Q30" i="1"/>
  <c r="R30" i="1"/>
  <c r="Q29" i="1"/>
  <c r="R29" i="1"/>
  <c r="Q28" i="1"/>
  <c r="R28" i="1"/>
  <c r="Q27" i="1"/>
  <c r="R27" i="1"/>
  <c r="Q26" i="1"/>
  <c r="R26" i="1"/>
  <c r="Q25" i="1"/>
  <c r="R25" i="1"/>
  <c r="Q21" i="1"/>
  <c r="R21" i="1"/>
  <c r="Q20" i="1"/>
  <c r="R20" i="1"/>
  <c r="Q19" i="1"/>
  <c r="R19" i="1"/>
  <c r="Q18" i="1"/>
  <c r="R18" i="1"/>
  <c r="Q17" i="1"/>
  <c r="R17" i="1"/>
  <c r="Q16" i="1"/>
  <c r="R16" i="1"/>
  <c r="Q15" i="1"/>
  <c r="R15" i="1"/>
  <c r="Q14" i="1"/>
  <c r="R14" i="1"/>
  <c r="Q13" i="1"/>
  <c r="R13" i="1"/>
  <c r="Q12" i="1"/>
  <c r="R12" i="1"/>
  <c r="Q11" i="1"/>
  <c r="R11" i="1"/>
  <c r="Q10" i="1"/>
  <c r="R10" i="1"/>
  <c r="Q9" i="1"/>
  <c r="R9" i="1"/>
  <c r="Q8" i="1"/>
  <c r="R8" i="1"/>
  <c r="Q49" i="7"/>
  <c r="R49" i="7"/>
  <c r="Q48" i="7"/>
  <c r="R48" i="7"/>
  <c r="Q47" i="7"/>
  <c r="R47" i="7"/>
  <c r="Q46" i="7"/>
  <c r="R46" i="7"/>
  <c r="Q45" i="7"/>
  <c r="R45" i="7"/>
  <c r="Q44" i="7"/>
  <c r="R44" i="7"/>
  <c r="Q43" i="7"/>
  <c r="R43" i="7"/>
  <c r="Q42" i="7"/>
  <c r="R42" i="7"/>
  <c r="Q41" i="7"/>
  <c r="R41" i="7"/>
  <c r="Q36" i="7"/>
  <c r="R36" i="7"/>
  <c r="Q35" i="7"/>
  <c r="R35" i="7"/>
  <c r="Q34" i="7"/>
  <c r="R34" i="7"/>
  <c r="Q33" i="7"/>
  <c r="R33" i="7"/>
  <c r="Q32" i="7"/>
  <c r="R32" i="7"/>
  <c r="Q31" i="7"/>
  <c r="R31" i="7"/>
  <c r="Q30" i="7"/>
  <c r="R30" i="7"/>
  <c r="Q29" i="7"/>
  <c r="R29" i="7"/>
  <c r="Q28" i="7"/>
  <c r="R28" i="7"/>
  <c r="Q27" i="7"/>
  <c r="R27" i="7"/>
  <c r="Q26" i="7"/>
  <c r="R26" i="7"/>
  <c r="Q21" i="7"/>
  <c r="R21" i="7"/>
  <c r="Q20" i="7"/>
  <c r="R20" i="7"/>
  <c r="Q19" i="7"/>
  <c r="R19" i="7"/>
  <c r="Q18" i="7"/>
  <c r="R18" i="7"/>
  <c r="Q17" i="7"/>
  <c r="R17" i="7"/>
  <c r="Q16" i="7"/>
  <c r="R16" i="7"/>
  <c r="Q15" i="7"/>
  <c r="R15" i="7"/>
  <c r="Q12" i="7"/>
  <c r="R12" i="7"/>
  <c r="Q11" i="7"/>
  <c r="R11" i="7"/>
  <c r="Q10" i="7"/>
  <c r="R10" i="7"/>
  <c r="Q9" i="7"/>
  <c r="R9" i="7"/>
  <c r="Q8" i="7"/>
  <c r="R8" i="7"/>
  <c r="Q6" i="7"/>
  <c r="R6" i="7"/>
  <c r="Q5" i="7"/>
  <c r="R5" i="7"/>
  <c r="Q4" i="7"/>
  <c r="R4" i="7"/>
  <c r="Q3" i="7"/>
  <c r="R3" i="7"/>
  <c r="Q48" i="8"/>
  <c r="R48" i="8"/>
  <c r="Q47" i="8"/>
  <c r="R47" i="8"/>
  <c r="Q46" i="8"/>
  <c r="R46" i="8"/>
  <c r="Q45" i="8"/>
  <c r="R45" i="8"/>
  <c r="Q44" i="8"/>
  <c r="R44" i="8"/>
  <c r="Q43" i="8"/>
  <c r="R43" i="8"/>
  <c r="Q42" i="8"/>
  <c r="R42" i="8"/>
  <c r="Q41" i="8"/>
  <c r="R41" i="8"/>
  <c r="Q40" i="8"/>
  <c r="R40" i="8"/>
  <c r="Q35" i="8"/>
  <c r="R35" i="8"/>
  <c r="Q34" i="8"/>
  <c r="R34" i="8"/>
  <c r="Q33" i="8"/>
  <c r="R33" i="8"/>
  <c r="Q32" i="8"/>
  <c r="R32" i="8"/>
  <c r="Q31" i="8"/>
  <c r="R31" i="8"/>
  <c r="Q30" i="8"/>
  <c r="R30" i="8"/>
  <c r="Q29" i="8"/>
  <c r="R29" i="8"/>
  <c r="Q28" i="8"/>
  <c r="R28" i="8"/>
  <c r="Q27" i="8"/>
  <c r="R27" i="8"/>
  <c r="Q26" i="8"/>
  <c r="R26" i="8"/>
  <c r="Q25" i="8"/>
  <c r="R25" i="8"/>
  <c r="Q21" i="8"/>
  <c r="R21" i="8"/>
  <c r="Q20" i="8"/>
  <c r="R20" i="8"/>
  <c r="Q19" i="8"/>
  <c r="R19" i="8"/>
  <c r="Q18" i="8"/>
  <c r="R18" i="8"/>
  <c r="Q17" i="8"/>
  <c r="R17" i="8"/>
  <c r="Q16" i="8"/>
  <c r="R16" i="8"/>
  <c r="Q15" i="8"/>
  <c r="R15" i="8"/>
  <c r="Q14" i="8"/>
  <c r="R14" i="8"/>
  <c r="Q13" i="8"/>
  <c r="R13" i="8"/>
  <c r="Q12" i="8"/>
  <c r="R12" i="8"/>
  <c r="Q11" i="8"/>
  <c r="R11" i="8"/>
  <c r="Q10" i="8"/>
  <c r="R10" i="8"/>
  <c r="Q9" i="8"/>
  <c r="R9" i="8"/>
  <c r="Q8" i="8"/>
  <c r="R8" i="8"/>
  <c r="Q6" i="8"/>
  <c r="R6" i="8"/>
  <c r="Q5" i="8"/>
  <c r="R5" i="8"/>
  <c r="Q4" i="8"/>
  <c r="R4" i="8"/>
  <c r="Q3" i="8"/>
  <c r="R3" i="8"/>
  <c r="Q49" i="13"/>
  <c r="R49" i="13"/>
  <c r="Q42" i="13"/>
  <c r="R42" i="13"/>
  <c r="Q41" i="13"/>
  <c r="R41" i="13"/>
  <c r="L38" i="13"/>
  <c r="M38" i="13"/>
  <c r="N38" i="13"/>
  <c r="O38" i="13"/>
  <c r="Q36" i="13"/>
  <c r="R36" i="13"/>
  <c r="Q35" i="13"/>
  <c r="R35" i="13"/>
  <c r="Q34" i="13"/>
  <c r="R34" i="13"/>
  <c r="Q33" i="13"/>
  <c r="R33" i="13"/>
  <c r="Q32" i="13"/>
  <c r="R32" i="13"/>
  <c r="Q31" i="13"/>
  <c r="R31" i="13"/>
  <c r="Q27" i="13"/>
  <c r="R27" i="13"/>
  <c r="Q26" i="13"/>
  <c r="R26" i="13"/>
  <c r="O51" i="13"/>
  <c r="P24" i="13"/>
  <c r="Q21" i="13"/>
  <c r="Q20" i="13"/>
  <c r="Q12" i="13"/>
  <c r="Q11" i="13"/>
  <c r="Q10" i="13"/>
  <c r="Q9" i="13"/>
  <c r="Q8" i="13"/>
  <c r="Q6" i="13"/>
  <c r="Q5" i="13"/>
  <c r="Q4" i="13"/>
  <c r="Q3" i="13"/>
  <c r="Q6" i="1" l="1"/>
  <c r="Q5" i="1"/>
  <c r="Q4" i="1"/>
  <c r="Q3" i="1"/>
  <c r="R3" i="1"/>
  <c r="R23" i="13"/>
  <c r="R24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8" i="13"/>
  <c r="R4" i="13"/>
  <c r="R5" i="13"/>
  <c r="R6" i="13"/>
  <c r="R3" i="13"/>
  <c r="BK15" i="26" l="1"/>
  <c r="BK14" i="26"/>
  <c r="BK13" i="26"/>
  <c r="BK12" i="26"/>
  <c r="BK11" i="26"/>
  <c r="BK10" i="26"/>
  <c r="BK9" i="26"/>
  <c r="BK8" i="26"/>
  <c r="BK7" i="26"/>
  <c r="BK6" i="26"/>
  <c r="BK5" i="26"/>
  <c r="BK4" i="26"/>
  <c r="AC17" i="24"/>
  <c r="AF22" i="24"/>
  <c r="AF5" i="24"/>
  <c r="AF7" i="24"/>
  <c r="AF8" i="24"/>
  <c r="AF10" i="24"/>
  <c r="AF11" i="24"/>
  <c r="AF12" i="24"/>
  <c r="AF4" i="24"/>
  <c r="AE5" i="24"/>
  <c r="AE10" i="24"/>
  <c r="AE11" i="24"/>
  <c r="AE12" i="24"/>
  <c r="BG26" i="25"/>
  <c r="BG27" i="25" s="1"/>
  <c r="BG23" i="25"/>
  <c r="BG24" i="25" s="1"/>
  <c r="BG20" i="25"/>
  <c r="BG21" i="25" s="1"/>
  <c r="BG17" i="25"/>
  <c r="BG18" i="25" s="1"/>
  <c r="BG9" i="25"/>
  <c r="BG10" i="25" s="1"/>
  <c r="BG6" i="25"/>
  <c r="BG7" i="25" s="1"/>
  <c r="BG3" i="25"/>
  <c r="BG4" i="25" s="1"/>
  <c r="AC36" i="20"/>
  <c r="AC37" i="20" s="1"/>
  <c r="AC34" i="20"/>
  <c r="AC33" i="20"/>
  <c r="AC30" i="20"/>
  <c r="AC31" i="20" s="1"/>
  <c r="AC25" i="20"/>
  <c r="AC26" i="20" s="1"/>
  <c r="AC22" i="20"/>
  <c r="AC23" i="20" s="1"/>
  <c r="AC19" i="20"/>
  <c r="AC20" i="20" s="1"/>
  <c r="G143" i="22"/>
  <c r="AC28" i="20" l="1"/>
  <c r="BG12" i="25"/>
  <c r="BG29" i="25"/>
  <c r="AC39" i="20"/>
  <c r="L46" i="120"/>
  <c r="L52" i="120" s="1"/>
  <c r="M46" i="120"/>
  <c r="M52" i="120" s="1"/>
  <c r="N46" i="120"/>
  <c r="N52" i="120" s="1"/>
  <c r="O46" i="120"/>
  <c r="O52" i="120" s="1"/>
  <c r="L45" i="120"/>
  <c r="L51" i="120" s="1"/>
  <c r="M45" i="120"/>
  <c r="M51" i="120" s="1"/>
  <c r="N45" i="120"/>
  <c r="N51" i="120" s="1"/>
  <c r="O45" i="120"/>
  <c r="O51" i="120" s="1"/>
  <c r="L44" i="120"/>
  <c r="L50" i="120" s="1"/>
  <c r="M44" i="120"/>
  <c r="M50" i="120" s="1"/>
  <c r="N44" i="120"/>
  <c r="N50" i="120" s="1"/>
  <c r="O44" i="120"/>
  <c r="O50" i="120" s="1"/>
  <c r="R9" i="120"/>
  <c r="R10" i="120"/>
  <c r="R8" i="120"/>
  <c r="Q9" i="120"/>
  <c r="Q10" i="120"/>
  <c r="Q8" i="120"/>
  <c r="Q5" i="120"/>
  <c r="Q6" i="120"/>
  <c r="Q4" i="120"/>
  <c r="P9" i="120"/>
  <c r="P10" i="120"/>
  <c r="P8" i="120"/>
  <c r="P5" i="120"/>
  <c r="P6" i="120"/>
  <c r="P4" i="120"/>
  <c r="Q24" i="112"/>
  <c r="Q23" i="112"/>
  <c r="O25" i="112"/>
  <c r="O24" i="112"/>
  <c r="O22" i="112"/>
  <c r="O23" i="112"/>
  <c r="Q25" i="112"/>
  <c r="Q22" i="112"/>
  <c r="P25" i="112"/>
  <c r="P24" i="112"/>
  <c r="P23" i="112"/>
  <c r="P22" i="112"/>
  <c r="M14" i="71" l="1"/>
  <c r="M18" i="71" s="1"/>
  <c r="K14" i="71"/>
  <c r="K18" i="71" s="1"/>
  <c r="L14" i="71"/>
  <c r="L22" i="71" s="1"/>
  <c r="M22" i="71"/>
  <c r="O8" i="71"/>
  <c r="O9" i="71"/>
  <c r="J14" i="71"/>
  <c r="J18" i="71" s="1"/>
  <c r="P11" i="121"/>
  <c r="P11" i="3"/>
  <c r="M22" i="3" s="1"/>
  <c r="B11" i="3"/>
  <c r="B22" i="3" s="1"/>
  <c r="C11" i="3"/>
  <c r="D11" i="3"/>
  <c r="D22" i="3" s="1"/>
  <c r="E11" i="3"/>
  <c r="E22" i="3" s="1"/>
  <c r="F11" i="3"/>
  <c r="F22" i="3" s="1"/>
  <c r="G11" i="3"/>
  <c r="H11" i="3"/>
  <c r="I11" i="3"/>
  <c r="J11" i="3"/>
  <c r="K11" i="3"/>
  <c r="L11" i="3"/>
  <c r="M11" i="3"/>
  <c r="B16" i="3"/>
  <c r="C16" i="3"/>
  <c r="D16" i="3"/>
  <c r="E16" i="3"/>
  <c r="F16" i="3"/>
  <c r="G16" i="3"/>
  <c r="H16" i="3"/>
  <c r="I16" i="3"/>
  <c r="J16" i="3"/>
  <c r="K16" i="3"/>
  <c r="L16" i="3"/>
  <c r="M16" i="3"/>
  <c r="B17" i="3"/>
  <c r="C17" i="3"/>
  <c r="D17" i="3"/>
  <c r="E17" i="3"/>
  <c r="F17" i="3"/>
  <c r="G17" i="3"/>
  <c r="H17" i="3"/>
  <c r="I17" i="3"/>
  <c r="J17" i="3"/>
  <c r="K17" i="3"/>
  <c r="L17" i="3"/>
  <c r="M17" i="3"/>
  <c r="B18" i="3"/>
  <c r="C18" i="3"/>
  <c r="D18" i="3"/>
  <c r="E18" i="3"/>
  <c r="F18" i="3"/>
  <c r="G18" i="3"/>
  <c r="H18" i="3"/>
  <c r="I18" i="3"/>
  <c r="J18" i="3"/>
  <c r="K18" i="3"/>
  <c r="L18" i="3"/>
  <c r="M18" i="3"/>
  <c r="B19" i="3"/>
  <c r="C19" i="3"/>
  <c r="D19" i="3"/>
  <c r="E19" i="3"/>
  <c r="F19" i="3"/>
  <c r="G19" i="3"/>
  <c r="H19" i="3"/>
  <c r="I19" i="3"/>
  <c r="J19" i="3"/>
  <c r="K19" i="3"/>
  <c r="L19" i="3"/>
  <c r="M19" i="3"/>
  <c r="B20" i="3"/>
  <c r="C20" i="3"/>
  <c r="D20" i="3"/>
  <c r="E20" i="3"/>
  <c r="F20" i="3"/>
  <c r="G20" i="3"/>
  <c r="H20" i="3"/>
  <c r="I20" i="3"/>
  <c r="J20" i="3"/>
  <c r="K20" i="3"/>
  <c r="L20" i="3"/>
  <c r="M20" i="3"/>
  <c r="B21" i="3"/>
  <c r="C21" i="3"/>
  <c r="D21" i="3"/>
  <c r="E21" i="3"/>
  <c r="F21" i="3"/>
  <c r="G21" i="3"/>
  <c r="H21" i="3"/>
  <c r="I21" i="3"/>
  <c r="J21" i="3"/>
  <c r="K21" i="3"/>
  <c r="L21" i="3"/>
  <c r="M21" i="3"/>
  <c r="C22" i="3"/>
  <c r="G22" i="3"/>
  <c r="I22" i="3" l="1"/>
  <c r="H22" i="3"/>
  <c r="J22" i="71"/>
  <c r="K22" i="71"/>
  <c r="L18" i="71"/>
  <c r="J22" i="3"/>
  <c r="D16" i="115"/>
  <c r="D11" i="34"/>
  <c r="E11" i="34"/>
  <c r="F11" i="34"/>
  <c r="G11" i="34"/>
  <c r="H11" i="34"/>
  <c r="I11" i="34"/>
  <c r="J11" i="34"/>
  <c r="K11" i="34"/>
  <c r="L11" i="34"/>
  <c r="M11" i="34"/>
  <c r="N11" i="34"/>
  <c r="O11" i="34"/>
  <c r="P11" i="34"/>
  <c r="Q11" i="34"/>
  <c r="C11" i="34"/>
  <c r="S10" i="34"/>
  <c r="R10" i="34"/>
  <c r="M17" i="121" l="1"/>
  <c r="M18" i="121"/>
  <c r="M19" i="121"/>
  <c r="M20" i="121"/>
  <c r="M21" i="121"/>
  <c r="M22" i="121"/>
  <c r="M16" i="121"/>
  <c r="B11" i="121"/>
  <c r="C11" i="121"/>
  <c r="D11" i="121"/>
  <c r="E11" i="121"/>
  <c r="F11" i="121"/>
  <c r="G11" i="121"/>
  <c r="H11" i="121"/>
  <c r="I11" i="121"/>
  <c r="J11" i="121"/>
  <c r="K11" i="121"/>
  <c r="L11" i="121"/>
  <c r="M11" i="121"/>
  <c r="B16" i="121"/>
  <c r="C16" i="121"/>
  <c r="D16" i="121"/>
  <c r="E16" i="121"/>
  <c r="F16" i="121"/>
  <c r="G16" i="121"/>
  <c r="H16" i="121"/>
  <c r="I16" i="121"/>
  <c r="J16" i="121"/>
  <c r="K16" i="121"/>
  <c r="L16" i="121"/>
  <c r="B17" i="121"/>
  <c r="C17" i="121"/>
  <c r="D17" i="121"/>
  <c r="E17" i="121"/>
  <c r="F17" i="121"/>
  <c r="G17" i="121"/>
  <c r="H17" i="121"/>
  <c r="I17" i="121"/>
  <c r="J17" i="121"/>
  <c r="K17" i="121"/>
  <c r="L17" i="121"/>
  <c r="B18" i="121"/>
  <c r="C18" i="121"/>
  <c r="D18" i="121"/>
  <c r="E18" i="121"/>
  <c r="F18" i="121"/>
  <c r="G18" i="121"/>
  <c r="H18" i="121"/>
  <c r="I18" i="121"/>
  <c r="J18" i="121"/>
  <c r="K18" i="121"/>
  <c r="L18" i="121"/>
  <c r="S3" i="7"/>
  <c r="S4" i="7"/>
  <c r="S5" i="7"/>
  <c r="S6" i="7"/>
  <c r="S8" i="7"/>
  <c r="S9" i="7"/>
  <c r="S10" i="7"/>
  <c r="S11" i="7"/>
  <c r="S12" i="7"/>
  <c r="S13" i="7"/>
  <c r="S14" i="7"/>
  <c r="S15" i="7"/>
  <c r="S3" i="13"/>
  <c r="S4" i="13"/>
  <c r="S5" i="13"/>
  <c r="S6" i="13"/>
  <c r="S8" i="13"/>
  <c r="S9" i="13"/>
  <c r="S10" i="13"/>
  <c r="S11" i="13"/>
  <c r="S12" i="13"/>
  <c r="Q13" i="13"/>
  <c r="S13" i="13"/>
  <c r="Q14" i="13"/>
  <c r="S14" i="13"/>
  <c r="S15" i="13"/>
  <c r="S23" i="13" l="1"/>
  <c r="AB11" i="107" l="1"/>
  <c r="AC11" i="107" s="1"/>
  <c r="AF11" i="107" l="1"/>
  <c r="W9" i="26" l="1"/>
  <c r="W8" i="26"/>
  <c r="E45" i="120" l="1"/>
  <c r="E51" i="120" s="1"/>
  <c r="F45" i="120"/>
  <c r="F51" i="120" s="1"/>
  <c r="G45" i="120"/>
  <c r="G51" i="120" s="1"/>
  <c r="H45" i="120"/>
  <c r="H51" i="120" s="1"/>
  <c r="I45" i="120"/>
  <c r="I51" i="120" s="1"/>
  <c r="J45" i="120"/>
  <c r="J51" i="120" s="1"/>
  <c r="K45" i="120"/>
  <c r="K51" i="120" s="1"/>
  <c r="E46" i="120"/>
  <c r="E52" i="120" s="1"/>
  <c r="F46" i="120"/>
  <c r="F52" i="120" s="1"/>
  <c r="G46" i="120"/>
  <c r="G52" i="120" s="1"/>
  <c r="H46" i="120"/>
  <c r="H52" i="120" s="1"/>
  <c r="I46" i="120"/>
  <c r="I52" i="120" s="1"/>
  <c r="J46" i="120"/>
  <c r="J52" i="120" s="1"/>
  <c r="K46" i="120"/>
  <c r="K52" i="120" s="1"/>
  <c r="D45" i="120"/>
  <c r="D51" i="120" s="1"/>
  <c r="D46" i="120"/>
  <c r="D52" i="120" s="1"/>
  <c r="E44" i="120"/>
  <c r="E50" i="120" s="1"/>
  <c r="F44" i="120"/>
  <c r="F50" i="120" s="1"/>
  <c r="G44" i="120"/>
  <c r="G50" i="120" s="1"/>
  <c r="H44" i="120"/>
  <c r="H50" i="120" s="1"/>
  <c r="I44" i="120"/>
  <c r="I50" i="120" s="1"/>
  <c r="J44" i="120"/>
  <c r="J50" i="120" s="1"/>
  <c r="K44" i="120"/>
  <c r="K50" i="120" s="1"/>
  <c r="D44" i="120"/>
  <c r="D50" i="120" s="1"/>
  <c r="I200" i="56"/>
  <c r="I199" i="56"/>
  <c r="P52" i="120" l="1"/>
  <c r="P50" i="120"/>
  <c r="P51" i="120"/>
  <c r="M166" i="56"/>
  <c r="M167" i="56"/>
  <c r="M168" i="56"/>
  <c r="M169" i="56"/>
  <c r="M170" i="56"/>
  <c r="M171" i="56"/>
  <c r="M172" i="56"/>
  <c r="M165" i="56"/>
  <c r="M154" i="56"/>
  <c r="M155" i="56"/>
  <c r="M156" i="56"/>
  <c r="M157" i="56"/>
  <c r="M158" i="56"/>
  <c r="M159" i="56"/>
  <c r="M160" i="56"/>
  <c r="M161" i="56"/>
  <c r="M133" i="56"/>
  <c r="M134" i="56"/>
  <c r="M135" i="56"/>
  <c r="M136" i="56"/>
  <c r="M137" i="56"/>
  <c r="M138" i="56"/>
  <c r="M139" i="56"/>
  <c r="M132" i="56"/>
  <c r="F144" i="56" l="1"/>
  <c r="G144" i="56"/>
  <c r="G188" i="56" s="1"/>
  <c r="H144" i="56"/>
  <c r="H188" i="56" s="1"/>
  <c r="I144" i="56"/>
  <c r="I188" i="56" s="1"/>
  <c r="J144" i="56"/>
  <c r="J188" i="56" s="1"/>
  <c r="K144" i="56"/>
  <c r="K188" i="56" s="1"/>
  <c r="L144" i="56"/>
  <c r="L188" i="56" s="1"/>
  <c r="F145" i="56"/>
  <c r="F189" i="56" s="1"/>
  <c r="G145" i="56"/>
  <c r="G189" i="56" s="1"/>
  <c r="H145" i="56"/>
  <c r="H189" i="56" s="1"/>
  <c r="I145" i="56"/>
  <c r="I189" i="56" s="1"/>
  <c r="J145" i="56"/>
  <c r="J189" i="56" s="1"/>
  <c r="K145" i="56"/>
  <c r="K189" i="56" s="1"/>
  <c r="L145" i="56"/>
  <c r="L189" i="56" s="1"/>
  <c r="F146" i="56"/>
  <c r="F190" i="56" s="1"/>
  <c r="G146" i="56"/>
  <c r="G190" i="56" s="1"/>
  <c r="H146" i="56"/>
  <c r="H190" i="56" s="1"/>
  <c r="I146" i="56"/>
  <c r="I190" i="56" s="1"/>
  <c r="J146" i="56"/>
  <c r="J190" i="56" s="1"/>
  <c r="K146" i="56"/>
  <c r="K190" i="56" s="1"/>
  <c r="L146" i="56"/>
  <c r="L190" i="56" s="1"/>
  <c r="F147" i="56"/>
  <c r="F191" i="56" s="1"/>
  <c r="G147" i="56"/>
  <c r="G191" i="56" s="1"/>
  <c r="H147" i="56"/>
  <c r="H191" i="56" s="1"/>
  <c r="I147" i="56"/>
  <c r="I191" i="56" s="1"/>
  <c r="J147" i="56"/>
  <c r="J191" i="56" s="1"/>
  <c r="K147" i="56"/>
  <c r="K191" i="56" s="1"/>
  <c r="L147" i="56"/>
  <c r="L191" i="56" s="1"/>
  <c r="F148" i="56"/>
  <c r="F192" i="56" s="1"/>
  <c r="G148" i="56"/>
  <c r="G192" i="56" s="1"/>
  <c r="H148" i="56"/>
  <c r="H192" i="56" s="1"/>
  <c r="I148" i="56"/>
  <c r="I192" i="56" s="1"/>
  <c r="J148" i="56"/>
  <c r="J192" i="56" s="1"/>
  <c r="K148" i="56"/>
  <c r="K192" i="56" s="1"/>
  <c r="L148" i="56"/>
  <c r="L192" i="56" s="1"/>
  <c r="F149" i="56"/>
  <c r="G149" i="56"/>
  <c r="G193" i="56" s="1"/>
  <c r="H149" i="56"/>
  <c r="H193" i="56" s="1"/>
  <c r="I149" i="56"/>
  <c r="I193" i="56" s="1"/>
  <c r="J149" i="56"/>
  <c r="J193" i="56" s="1"/>
  <c r="K149" i="56"/>
  <c r="K193" i="56" s="1"/>
  <c r="L149" i="56"/>
  <c r="L193" i="56" s="1"/>
  <c r="F150" i="56"/>
  <c r="F194" i="56" s="1"/>
  <c r="G150" i="56"/>
  <c r="G194" i="56" s="1"/>
  <c r="H150" i="56"/>
  <c r="H194" i="56" s="1"/>
  <c r="I150" i="56"/>
  <c r="I194" i="56" s="1"/>
  <c r="J150" i="56"/>
  <c r="J194" i="56" s="1"/>
  <c r="K150" i="56"/>
  <c r="K194" i="56" s="1"/>
  <c r="L150" i="56"/>
  <c r="L194" i="56" s="1"/>
  <c r="G143" i="56"/>
  <c r="G187" i="56" s="1"/>
  <c r="H143" i="56"/>
  <c r="H187" i="56" s="1"/>
  <c r="I143" i="56"/>
  <c r="I187" i="56" s="1"/>
  <c r="J143" i="56"/>
  <c r="J187" i="56" s="1"/>
  <c r="K143" i="56"/>
  <c r="K187" i="56" s="1"/>
  <c r="L143" i="56"/>
  <c r="L187" i="56" s="1"/>
  <c r="F143" i="56"/>
  <c r="F187" i="56" s="1"/>
  <c r="F183" i="56" l="1"/>
  <c r="H180" i="56"/>
  <c r="F188" i="56"/>
  <c r="M188" i="56" s="1"/>
  <c r="F177" i="56"/>
  <c r="H182" i="56"/>
  <c r="J179" i="56"/>
  <c r="I176" i="56"/>
  <c r="I181" i="56"/>
  <c r="F179" i="56"/>
  <c r="J183" i="56"/>
  <c r="L180" i="56"/>
  <c r="H178" i="56"/>
  <c r="F182" i="56"/>
  <c r="F193" i="56"/>
  <c r="M193" i="56" s="1"/>
  <c r="M189" i="56"/>
  <c r="L176" i="56"/>
  <c r="H176" i="56"/>
  <c r="I183" i="56"/>
  <c r="K182" i="56"/>
  <c r="G182" i="56"/>
  <c r="H181" i="56"/>
  <c r="K180" i="56"/>
  <c r="G180" i="56"/>
  <c r="I179" i="56"/>
  <c r="K178" i="56"/>
  <c r="G178" i="56"/>
  <c r="I177" i="56"/>
  <c r="M187" i="56"/>
  <c r="M194" i="56"/>
  <c r="M190" i="56"/>
  <c r="K176" i="56"/>
  <c r="G176" i="56"/>
  <c r="H183" i="56"/>
  <c r="J182" i="56"/>
  <c r="K181" i="56"/>
  <c r="G181" i="56"/>
  <c r="J180" i="56"/>
  <c r="F180" i="56"/>
  <c r="H179" i="56"/>
  <c r="J178" i="56"/>
  <c r="F178" i="56"/>
  <c r="H177" i="56"/>
  <c r="M192" i="56"/>
  <c r="N192" i="56" s="1"/>
  <c r="J177" i="56"/>
  <c r="M191" i="56"/>
  <c r="J176" i="56"/>
  <c r="K183" i="56"/>
  <c r="G183" i="56"/>
  <c r="I182" i="56"/>
  <c r="J181" i="56"/>
  <c r="F181" i="56"/>
  <c r="I180" i="56"/>
  <c r="K179" i="56"/>
  <c r="G179" i="56"/>
  <c r="I178" i="56"/>
  <c r="K177" i="56"/>
  <c r="G177" i="56"/>
  <c r="U122" i="56"/>
  <c r="U123" i="56"/>
  <c r="U125" i="56"/>
  <c r="U126" i="56"/>
  <c r="U127" i="56"/>
  <c r="U121" i="56"/>
  <c r="T122" i="56"/>
  <c r="T123" i="56"/>
  <c r="T125" i="56"/>
  <c r="T126" i="56"/>
  <c r="T127" i="56"/>
  <c r="T121" i="56"/>
  <c r="U128" i="56"/>
  <c r="T128" i="56"/>
  <c r="U124" i="56"/>
  <c r="T124" i="56"/>
  <c r="N193" i="56" l="1"/>
  <c r="N191" i="56"/>
  <c r="M179" i="56"/>
  <c r="M178" i="56"/>
  <c r="N194" i="56"/>
  <c r="M183" i="56"/>
  <c r="M182" i="56"/>
  <c r="M176" i="56"/>
  <c r="M177" i="56"/>
  <c r="M181" i="56"/>
  <c r="M180" i="56"/>
  <c r="W125" i="56"/>
  <c r="V121" i="56"/>
  <c r="W121" i="56"/>
  <c r="V125" i="56"/>
  <c r="N183" i="56" l="1"/>
  <c r="N182" i="56"/>
  <c r="N180" i="56"/>
  <c r="N181" i="56"/>
  <c r="F28" i="120"/>
  <c r="F29" i="120"/>
  <c r="F27" i="120"/>
  <c r="B24" i="120"/>
  <c r="C24" i="120" s="1"/>
  <c r="D24" i="120" s="1"/>
  <c r="E24" i="120" s="1"/>
  <c r="F24" i="120" s="1"/>
  <c r="G28" i="120" s="1"/>
  <c r="B25" i="120"/>
  <c r="C25" i="120" s="1"/>
  <c r="D25" i="120" s="1"/>
  <c r="E25" i="120" s="1"/>
  <c r="F25" i="120" s="1"/>
  <c r="G29" i="120" s="1"/>
  <c r="B23" i="120"/>
  <c r="C23" i="120" s="1"/>
  <c r="D23" i="120" s="1"/>
  <c r="E23" i="120" s="1"/>
  <c r="F23" i="120" s="1"/>
  <c r="G27" i="120" s="1"/>
  <c r="C28" i="120" l="1"/>
  <c r="B21" i="120" s="1"/>
  <c r="C29" i="120"/>
  <c r="B22" i="120" s="1"/>
  <c r="C27" i="120"/>
  <c r="B20" i="120" s="1"/>
  <c r="T10" i="72" l="1"/>
  <c r="T11" i="72"/>
  <c r="T4" i="72"/>
  <c r="T5" i="72"/>
  <c r="T6" i="72"/>
  <c r="T7" i="72"/>
  <c r="T8" i="72"/>
  <c r="T9" i="72"/>
  <c r="T12" i="72"/>
  <c r="F35" i="71" l="1"/>
  <c r="F36" i="71"/>
  <c r="F37" i="71"/>
  <c r="E38" i="71"/>
  <c r="F38" i="71" s="1"/>
  <c r="E39" i="71"/>
  <c r="F39" i="71"/>
  <c r="N22" i="71" l="1"/>
  <c r="N14" i="71"/>
  <c r="F40" i="71"/>
  <c r="N18" i="71"/>
  <c r="AB17" i="24" l="1"/>
  <c r="AB9" i="24"/>
  <c r="Q23" i="13" l="1"/>
  <c r="S6" i="1"/>
  <c r="S6" i="8" l="1"/>
  <c r="C21" i="120" l="1"/>
  <c r="D21" i="120" s="1"/>
  <c r="E21" i="120" s="1"/>
  <c r="F21" i="120" s="1"/>
  <c r="D28" i="120" s="1"/>
  <c r="C22" i="120"/>
  <c r="D22" i="120" s="1"/>
  <c r="E22" i="120" s="1"/>
  <c r="F22" i="120" s="1"/>
  <c r="D29" i="120" s="1"/>
  <c r="C20" i="120"/>
  <c r="D20" i="120" s="1"/>
  <c r="E20" i="120" s="1"/>
  <c r="F20" i="120" s="1"/>
  <c r="D27" i="120" s="1"/>
  <c r="D13" i="64" l="1"/>
  <c r="E13" i="64"/>
  <c r="F13" i="64"/>
  <c r="G13" i="64"/>
  <c r="H13" i="64"/>
  <c r="C13" i="64"/>
  <c r="D12" i="64"/>
  <c r="E12" i="64"/>
  <c r="F12" i="64"/>
  <c r="G12" i="64"/>
  <c r="H12" i="64"/>
  <c r="C12" i="64"/>
  <c r="D11" i="64"/>
  <c r="E11" i="64"/>
  <c r="F11" i="64"/>
  <c r="G11" i="64"/>
  <c r="H11" i="64"/>
  <c r="C11" i="64"/>
  <c r="I11" i="64" l="1"/>
  <c r="I13" i="64"/>
  <c r="I12" i="64"/>
  <c r="G142" i="22"/>
  <c r="AB36" i="20"/>
  <c r="AB37" i="20"/>
  <c r="AB33" i="20"/>
  <c r="AB34" i="20" s="1"/>
  <c r="AB30" i="20"/>
  <c r="AB31" i="20" s="1"/>
  <c r="AB25" i="20"/>
  <c r="AB26" i="20"/>
  <c r="AB22" i="20"/>
  <c r="AB23" i="20" s="1"/>
  <c r="AB19" i="20"/>
  <c r="AB20" i="20" s="1"/>
  <c r="BF26" i="25"/>
  <c r="BF27" i="25" s="1"/>
  <c r="BF23" i="25"/>
  <c r="BF24" i="25" s="1"/>
  <c r="BF20" i="25"/>
  <c r="BF21" i="25" s="1"/>
  <c r="BF17" i="25"/>
  <c r="BF18" i="25" s="1"/>
  <c r="BF9" i="25"/>
  <c r="BF10" i="25" s="1"/>
  <c r="BF6" i="25"/>
  <c r="BF7" i="25"/>
  <c r="BF3" i="25"/>
  <c r="BF4" i="25" s="1"/>
  <c r="C37" i="21"/>
  <c r="D37" i="21"/>
  <c r="E37" i="21"/>
  <c r="F37" i="21"/>
  <c r="G37" i="21"/>
  <c r="H37" i="21"/>
  <c r="I37" i="21"/>
  <c r="J37" i="21"/>
  <c r="K37" i="21"/>
  <c r="L37" i="21"/>
  <c r="M37" i="21"/>
  <c r="B37" i="21"/>
  <c r="C35" i="21"/>
  <c r="D35" i="21"/>
  <c r="E35" i="21"/>
  <c r="F35" i="21"/>
  <c r="G35" i="21"/>
  <c r="H35" i="21"/>
  <c r="I35" i="21"/>
  <c r="J35" i="21"/>
  <c r="K35" i="21"/>
  <c r="L35" i="21"/>
  <c r="M35" i="21"/>
  <c r="B35" i="21"/>
  <c r="C33" i="21"/>
  <c r="D33" i="21"/>
  <c r="E33" i="21"/>
  <c r="F33" i="21"/>
  <c r="G33" i="21"/>
  <c r="H33" i="21"/>
  <c r="I33" i="21"/>
  <c r="J33" i="21"/>
  <c r="K33" i="21"/>
  <c r="L33" i="21"/>
  <c r="M33" i="21"/>
  <c r="B33" i="21"/>
  <c r="C23" i="21"/>
  <c r="D23" i="21"/>
  <c r="E23" i="21"/>
  <c r="F23" i="21"/>
  <c r="G23" i="21"/>
  <c r="H23" i="21"/>
  <c r="I23" i="21"/>
  <c r="J23" i="21"/>
  <c r="K23" i="21"/>
  <c r="L23" i="21"/>
  <c r="M23" i="21"/>
  <c r="B23" i="21"/>
  <c r="N29" i="21"/>
  <c r="C32" i="21"/>
  <c r="D32" i="21"/>
  <c r="E32" i="21"/>
  <c r="F32" i="21"/>
  <c r="G32" i="21"/>
  <c r="H32" i="21"/>
  <c r="I32" i="21"/>
  <c r="J32" i="21"/>
  <c r="K32" i="21"/>
  <c r="L32" i="21"/>
  <c r="M32" i="21"/>
  <c r="B32" i="21"/>
  <c r="C21" i="21"/>
  <c r="D21" i="21"/>
  <c r="E21" i="21"/>
  <c r="F21" i="21"/>
  <c r="G21" i="21"/>
  <c r="H21" i="21"/>
  <c r="I21" i="21"/>
  <c r="J21" i="21"/>
  <c r="K21" i="21"/>
  <c r="L21" i="21"/>
  <c r="M21" i="21"/>
  <c r="B21" i="21"/>
  <c r="C19" i="21"/>
  <c r="D19" i="21"/>
  <c r="E19" i="21"/>
  <c r="F19" i="21"/>
  <c r="G19" i="21"/>
  <c r="H19" i="21"/>
  <c r="I19" i="21"/>
  <c r="J19" i="21"/>
  <c r="K19" i="21"/>
  <c r="L19" i="21"/>
  <c r="M19" i="21"/>
  <c r="B19" i="21"/>
  <c r="C18" i="21"/>
  <c r="D18" i="21"/>
  <c r="E18" i="21"/>
  <c r="F18" i="21"/>
  <c r="G18" i="21"/>
  <c r="H18" i="21"/>
  <c r="I18" i="21"/>
  <c r="J18" i="21"/>
  <c r="K18" i="21"/>
  <c r="L18" i="21"/>
  <c r="M18" i="21"/>
  <c r="B18" i="21"/>
  <c r="N9" i="21"/>
  <c r="N15" i="21"/>
  <c r="N13" i="21"/>
  <c r="C6" i="21"/>
  <c r="D6" i="21"/>
  <c r="E6" i="21"/>
  <c r="F6" i="21"/>
  <c r="G6" i="21"/>
  <c r="H6" i="21"/>
  <c r="I6" i="21"/>
  <c r="J6" i="21"/>
  <c r="K6" i="21"/>
  <c r="L6" i="21"/>
  <c r="M6" i="21"/>
  <c r="B6" i="21"/>
  <c r="B19" i="121"/>
  <c r="C19" i="121"/>
  <c r="D19" i="121"/>
  <c r="E19" i="121"/>
  <c r="F19" i="121"/>
  <c r="G19" i="121"/>
  <c r="H19" i="121"/>
  <c r="I19" i="121"/>
  <c r="J19" i="121"/>
  <c r="K19" i="121"/>
  <c r="L19" i="121"/>
  <c r="S10" i="121"/>
  <c r="R10" i="121"/>
  <c r="Q10" i="121"/>
  <c r="S9" i="121"/>
  <c r="R9" i="121"/>
  <c r="Q9" i="121"/>
  <c r="S8" i="121"/>
  <c r="R8" i="121"/>
  <c r="Q8" i="121"/>
  <c r="S7" i="121"/>
  <c r="R7" i="121"/>
  <c r="Q7" i="121"/>
  <c r="S6" i="121"/>
  <c r="R6" i="121"/>
  <c r="Q6" i="121"/>
  <c r="U5" i="121"/>
  <c r="T5" i="121"/>
  <c r="S5" i="121"/>
  <c r="R5" i="121"/>
  <c r="Q5" i="121"/>
  <c r="L21" i="121"/>
  <c r="K21" i="121"/>
  <c r="J21" i="121"/>
  <c r="I21" i="121"/>
  <c r="H21" i="121"/>
  <c r="G21" i="121"/>
  <c r="F21" i="121"/>
  <c r="E21" i="121"/>
  <c r="D21" i="121"/>
  <c r="C21" i="121"/>
  <c r="B21" i="121"/>
  <c r="L20" i="121"/>
  <c r="K20" i="121"/>
  <c r="J20" i="121"/>
  <c r="I20" i="121"/>
  <c r="H20" i="121"/>
  <c r="G20" i="121"/>
  <c r="F20" i="121"/>
  <c r="E20" i="121"/>
  <c r="D20" i="121"/>
  <c r="C20" i="121"/>
  <c r="B20" i="121"/>
  <c r="O11" i="121"/>
  <c r="L22" i="121" s="1"/>
  <c r="N11" i="121"/>
  <c r="K22" i="121" s="1"/>
  <c r="I22" i="121"/>
  <c r="G22" i="121"/>
  <c r="F22" i="121"/>
  <c r="E22" i="121"/>
  <c r="D22" i="121"/>
  <c r="C22" i="121"/>
  <c r="B22" i="121"/>
  <c r="S8" i="3"/>
  <c r="R8" i="3"/>
  <c r="Q8" i="3"/>
  <c r="S18" i="34"/>
  <c r="R18" i="34"/>
  <c r="S17" i="34"/>
  <c r="R17" i="34"/>
  <c r="S19" i="34"/>
  <c r="R19" i="34"/>
  <c r="BF12" i="25" l="1"/>
  <c r="AB28" i="20"/>
  <c r="AB39" i="20"/>
  <c r="N37" i="21"/>
  <c r="AE34" i="21" s="1"/>
  <c r="N23" i="21"/>
  <c r="BF29" i="25"/>
  <c r="H22" i="121"/>
  <c r="Q11" i="121"/>
  <c r="R11" i="121"/>
  <c r="J22" i="121"/>
  <c r="S11" i="121"/>
  <c r="D37" i="90"/>
  <c r="D40" i="90" s="1"/>
  <c r="D43" i="90" s="1"/>
  <c r="E37" i="90"/>
  <c r="E40" i="90" s="1"/>
  <c r="E43" i="90" s="1"/>
  <c r="F40" i="90"/>
  <c r="F43" i="90" s="1"/>
  <c r="G37" i="90"/>
  <c r="G40" i="90" s="1"/>
  <c r="G43" i="90" s="1"/>
  <c r="H37" i="90"/>
  <c r="H40" i="90" s="1"/>
  <c r="H43" i="90" s="1"/>
  <c r="I37" i="90"/>
  <c r="I40" i="90" s="1"/>
  <c r="I43" i="90" s="1"/>
  <c r="D38" i="90"/>
  <c r="D41" i="90" s="1"/>
  <c r="D44" i="90" s="1"/>
  <c r="E38" i="90"/>
  <c r="E41" i="90" s="1"/>
  <c r="E44" i="90" s="1"/>
  <c r="F38" i="90"/>
  <c r="F41" i="90" s="1"/>
  <c r="F44" i="90" s="1"/>
  <c r="G38" i="90"/>
  <c r="G41" i="90" s="1"/>
  <c r="G44" i="90" s="1"/>
  <c r="H38" i="90"/>
  <c r="H41" i="90" s="1"/>
  <c r="H44" i="90" s="1"/>
  <c r="I41" i="90"/>
  <c r="I44" i="90" s="1"/>
  <c r="J12" i="71" l="1"/>
  <c r="J16" i="71" s="1"/>
  <c r="D38" i="112"/>
  <c r="D37" i="112"/>
  <c r="D36" i="112"/>
  <c r="D35" i="112"/>
  <c r="E16" i="115" l="1"/>
  <c r="E85" i="26" l="1"/>
  <c r="X5" i="26"/>
  <c r="X6" i="26"/>
  <c r="X7" i="26"/>
  <c r="AQ15" i="26"/>
  <c r="AR15" i="26"/>
  <c r="AS15" i="26"/>
  <c r="AT15" i="26"/>
  <c r="AO14" i="26"/>
  <c r="AP14" i="26"/>
  <c r="AQ14" i="26"/>
  <c r="AR14" i="26"/>
  <c r="AS14" i="26"/>
  <c r="AT14" i="26"/>
  <c r="AO13" i="26"/>
  <c r="AP13" i="26"/>
  <c r="AQ13" i="26"/>
  <c r="AR13" i="26"/>
  <c r="AS13" i="26"/>
  <c r="AT13" i="26"/>
  <c r="AO12" i="26"/>
  <c r="AP12" i="26"/>
  <c r="AQ12" i="26"/>
  <c r="AR12" i="26"/>
  <c r="AS12" i="26"/>
  <c r="AT12" i="26"/>
  <c r="AU15" i="26"/>
  <c r="AU14" i="26"/>
  <c r="AU13" i="26"/>
  <c r="AU12" i="26"/>
  <c r="AG21" i="107" l="1"/>
  <c r="AD21" i="107"/>
  <c r="AB21" i="107"/>
  <c r="AG20" i="107"/>
  <c r="AD20" i="107"/>
  <c r="AB20" i="107"/>
  <c r="AG19" i="107"/>
  <c r="AD19" i="107"/>
  <c r="AB19" i="107"/>
  <c r="AG18" i="107"/>
  <c r="AD18" i="107"/>
  <c r="AB18" i="107"/>
  <c r="AG17" i="107"/>
  <c r="AD17" i="107"/>
  <c r="AB17" i="107"/>
  <c r="W17" i="107"/>
  <c r="AG16" i="107"/>
  <c r="AD16" i="107"/>
  <c r="AB16" i="107"/>
  <c r="W13" i="107"/>
  <c r="AE10" i="107"/>
  <c r="AB10" i="107"/>
  <c r="AC10" i="107" s="1"/>
  <c r="AE9" i="107"/>
  <c r="AB9" i="107"/>
  <c r="AC9" i="107" s="1"/>
  <c r="AE8" i="107"/>
  <c r="AB8" i="107"/>
  <c r="AC8" i="107" s="1"/>
  <c r="AE7" i="107"/>
  <c r="AB7" i="107"/>
  <c r="AC7" i="107" s="1"/>
  <c r="AE6" i="107"/>
  <c r="AB6" i="107"/>
  <c r="AC6" i="107" s="1"/>
  <c r="AB5" i="107"/>
  <c r="AC5" i="107" s="1"/>
  <c r="AF5" i="107" s="1"/>
  <c r="S77" i="64"/>
  <c r="H20" i="64" s="1"/>
  <c r="S76" i="64"/>
  <c r="H19" i="64" s="1"/>
  <c r="S75" i="64"/>
  <c r="H18" i="64" s="1"/>
  <c r="S74" i="64"/>
  <c r="H17" i="64" s="1"/>
  <c r="S65" i="64"/>
  <c r="G20" i="64" s="1"/>
  <c r="S64" i="64"/>
  <c r="G19" i="64" s="1"/>
  <c r="S63" i="64"/>
  <c r="G18" i="64" s="1"/>
  <c r="S62" i="64"/>
  <c r="G17" i="64" s="1"/>
  <c r="S53" i="64"/>
  <c r="F20" i="64" s="1"/>
  <c r="S52" i="64"/>
  <c r="F19" i="64" s="1"/>
  <c r="S51" i="64"/>
  <c r="F18" i="64" s="1"/>
  <c r="S50" i="64"/>
  <c r="F17" i="64" s="1"/>
  <c r="S41" i="64"/>
  <c r="E20" i="64" s="1"/>
  <c r="S40" i="64"/>
  <c r="E19" i="64" s="1"/>
  <c r="S39" i="64"/>
  <c r="E18" i="64" s="1"/>
  <c r="S38" i="64"/>
  <c r="E17" i="64" s="1"/>
  <c r="S29" i="64"/>
  <c r="D20" i="64" s="1"/>
  <c r="S28" i="64"/>
  <c r="D19" i="64" s="1"/>
  <c r="S27" i="64"/>
  <c r="D18" i="64" s="1"/>
  <c r="S26" i="64"/>
  <c r="D17" i="64" s="1"/>
  <c r="S17" i="64"/>
  <c r="C20" i="64" s="1"/>
  <c r="S16" i="64"/>
  <c r="C19" i="64" s="1"/>
  <c r="S15" i="64"/>
  <c r="C18" i="64" s="1"/>
  <c r="S14" i="64"/>
  <c r="C17" i="64" s="1"/>
  <c r="I9" i="64"/>
  <c r="I8" i="64"/>
  <c r="I7" i="64"/>
  <c r="I6" i="64"/>
  <c r="I5" i="64"/>
  <c r="I4" i="64"/>
  <c r="T16" i="72"/>
  <c r="U16" i="72" s="1"/>
  <c r="T15" i="72"/>
  <c r="U15" i="72" s="1"/>
  <c r="T14" i="72"/>
  <c r="U14" i="72" s="1"/>
  <c r="T13" i="72"/>
  <c r="U13" i="72" s="1"/>
  <c r="U12" i="72"/>
  <c r="U11" i="72"/>
  <c r="U10" i="72"/>
  <c r="U9" i="72"/>
  <c r="U8" i="72"/>
  <c r="U7" i="72"/>
  <c r="U6" i="72"/>
  <c r="U5" i="72"/>
  <c r="U4" i="72"/>
  <c r="U3" i="72"/>
  <c r="G13" i="112"/>
  <c r="F13" i="112"/>
  <c r="E13" i="112"/>
  <c r="D13" i="112"/>
  <c r="C13" i="112"/>
  <c r="B13" i="112"/>
  <c r="M13" i="71"/>
  <c r="L13" i="71"/>
  <c r="K13" i="71"/>
  <c r="J13" i="71"/>
  <c r="J17" i="71" s="1"/>
  <c r="M12" i="71"/>
  <c r="L12" i="71"/>
  <c r="K12" i="71"/>
  <c r="J20" i="71"/>
  <c r="O7" i="71"/>
  <c r="O6" i="71"/>
  <c r="O5" i="71"/>
  <c r="O4" i="71"/>
  <c r="E60" i="90"/>
  <c r="G60" i="90" s="1"/>
  <c r="E59" i="90"/>
  <c r="F59" i="90" s="1"/>
  <c r="E58" i="90"/>
  <c r="G58" i="90" s="1"/>
  <c r="E57" i="90"/>
  <c r="G57" i="90" s="1"/>
  <c r="E56" i="90"/>
  <c r="G56" i="90" s="1"/>
  <c r="E55" i="90"/>
  <c r="F55" i="90" s="1"/>
  <c r="E54" i="90"/>
  <c r="G54" i="90" s="1"/>
  <c r="E53" i="90"/>
  <c r="G53" i="90" s="1"/>
  <c r="E52" i="90"/>
  <c r="G52" i="90" s="1"/>
  <c r="E51" i="90"/>
  <c r="F51" i="90" s="1"/>
  <c r="E50" i="90"/>
  <c r="F50" i="90" s="1"/>
  <c r="E49" i="90"/>
  <c r="J44" i="90"/>
  <c r="J43" i="90"/>
  <c r="S5" i="90"/>
  <c r="T5" i="90" s="1"/>
  <c r="T4" i="90"/>
  <c r="T3" i="90"/>
  <c r="S16" i="34"/>
  <c r="R16" i="34"/>
  <c r="S15" i="34"/>
  <c r="R15" i="34"/>
  <c r="S14" i="34"/>
  <c r="R14" i="34"/>
  <c r="S13" i="34"/>
  <c r="R13" i="34"/>
  <c r="S12" i="34"/>
  <c r="R12" i="34"/>
  <c r="S9" i="34"/>
  <c r="R9" i="34"/>
  <c r="S8" i="34"/>
  <c r="R8" i="34"/>
  <c r="S7" i="34"/>
  <c r="R7" i="34"/>
  <c r="S6" i="34"/>
  <c r="R6" i="34"/>
  <c r="S5" i="34"/>
  <c r="R5" i="34"/>
  <c r="S4" i="34"/>
  <c r="R4" i="34"/>
  <c r="S3" i="34"/>
  <c r="R3" i="34"/>
  <c r="M18" i="14"/>
  <c r="L18" i="14"/>
  <c r="K18" i="14"/>
  <c r="J18" i="14"/>
  <c r="I18" i="14"/>
  <c r="H18" i="14"/>
  <c r="G18" i="14"/>
  <c r="F18" i="14"/>
  <c r="E18" i="14"/>
  <c r="D18" i="14"/>
  <c r="C18" i="14"/>
  <c r="B18" i="14"/>
  <c r="Q13" i="14"/>
  <c r="P13" i="14"/>
  <c r="P14" i="14" s="1"/>
  <c r="M19" i="14" s="1"/>
  <c r="O13" i="14"/>
  <c r="O14" i="14" s="1"/>
  <c r="L19" i="14" s="1"/>
  <c r="N13" i="14"/>
  <c r="N14" i="14" s="1"/>
  <c r="K19" i="14" s="1"/>
  <c r="M13" i="14"/>
  <c r="M14" i="14" s="1"/>
  <c r="L13" i="14"/>
  <c r="L14" i="14" s="1"/>
  <c r="K13" i="14"/>
  <c r="K14" i="14" s="1"/>
  <c r="J13" i="14"/>
  <c r="J14" i="14" s="1"/>
  <c r="I13" i="14"/>
  <c r="I14" i="14" s="1"/>
  <c r="H13" i="14"/>
  <c r="H14" i="14" s="1"/>
  <c r="G13" i="14"/>
  <c r="G14" i="14" s="1"/>
  <c r="G19" i="14" s="1"/>
  <c r="F13" i="14"/>
  <c r="F14" i="14" s="1"/>
  <c r="F19" i="14" s="1"/>
  <c r="E13" i="14"/>
  <c r="E14" i="14" s="1"/>
  <c r="E19" i="14" s="1"/>
  <c r="D13" i="14"/>
  <c r="D14" i="14" s="1"/>
  <c r="D19" i="14" s="1"/>
  <c r="C13" i="14"/>
  <c r="C14" i="14" s="1"/>
  <c r="C19" i="14" s="1"/>
  <c r="B13" i="14"/>
  <c r="B14" i="14" s="1"/>
  <c r="B19" i="14" s="1"/>
  <c r="S12" i="14"/>
  <c r="R12" i="14"/>
  <c r="Q12" i="14"/>
  <c r="S11" i="14"/>
  <c r="R11" i="14"/>
  <c r="Q11" i="14"/>
  <c r="S10" i="14"/>
  <c r="R10" i="14"/>
  <c r="Q10" i="14"/>
  <c r="S5" i="14"/>
  <c r="R5" i="14"/>
  <c r="Q5" i="14"/>
  <c r="O11" i="3"/>
  <c r="L22" i="3" s="1"/>
  <c r="N11" i="3"/>
  <c r="K22" i="3" s="1"/>
  <c r="S10" i="3"/>
  <c r="R10" i="3"/>
  <c r="Q10" i="3"/>
  <c r="S9" i="3"/>
  <c r="R9" i="3"/>
  <c r="Q9" i="3"/>
  <c r="S7" i="3"/>
  <c r="R7" i="3"/>
  <c r="Q7" i="3"/>
  <c r="S6" i="3"/>
  <c r="R6" i="3"/>
  <c r="Q6" i="3"/>
  <c r="U5" i="3"/>
  <c r="T5" i="3"/>
  <c r="S5" i="3"/>
  <c r="R5" i="3"/>
  <c r="Q5" i="3"/>
  <c r="S48" i="8"/>
  <c r="S47" i="8"/>
  <c r="S46" i="8"/>
  <c r="S45" i="8"/>
  <c r="S44" i="8"/>
  <c r="S43" i="8"/>
  <c r="S42" i="8"/>
  <c r="S41" i="8"/>
  <c r="S40" i="8"/>
  <c r="S36" i="8"/>
  <c r="R36" i="8"/>
  <c r="Q36" i="8"/>
  <c r="S35" i="8"/>
  <c r="S34" i="8"/>
  <c r="S33" i="8"/>
  <c r="S32" i="8"/>
  <c r="S31" i="8"/>
  <c r="S30" i="8"/>
  <c r="S29" i="8"/>
  <c r="S28" i="8"/>
  <c r="S27" i="8"/>
  <c r="S26" i="8"/>
  <c r="S25" i="8"/>
  <c r="B23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5" i="8"/>
  <c r="S4" i="8"/>
  <c r="S3" i="8"/>
  <c r="S49" i="7"/>
  <c r="S48" i="7"/>
  <c r="S47" i="7"/>
  <c r="S46" i="7"/>
  <c r="S45" i="7"/>
  <c r="S44" i="7"/>
  <c r="S43" i="7"/>
  <c r="S42" i="7"/>
  <c r="S41" i="7"/>
  <c r="S37" i="7"/>
  <c r="R37" i="7"/>
  <c r="Q37" i="7"/>
  <c r="S36" i="7"/>
  <c r="S35" i="7"/>
  <c r="S34" i="7"/>
  <c r="S33" i="7"/>
  <c r="S32" i="7"/>
  <c r="S31" i="7"/>
  <c r="S30" i="7"/>
  <c r="S29" i="7"/>
  <c r="S28" i="7"/>
  <c r="S27" i="7"/>
  <c r="S26" i="7"/>
  <c r="B24" i="7"/>
  <c r="S21" i="7"/>
  <c r="S20" i="7"/>
  <c r="S19" i="7"/>
  <c r="S18" i="7"/>
  <c r="S17" i="7"/>
  <c r="S16" i="7"/>
  <c r="S48" i="1"/>
  <c r="S47" i="1"/>
  <c r="S46" i="1"/>
  <c r="S45" i="1"/>
  <c r="S44" i="1"/>
  <c r="S43" i="1"/>
  <c r="S42" i="1"/>
  <c r="S41" i="1"/>
  <c r="S40" i="1"/>
  <c r="S36" i="1"/>
  <c r="R36" i="1"/>
  <c r="Q36" i="1"/>
  <c r="S35" i="1"/>
  <c r="S34" i="1"/>
  <c r="S33" i="1"/>
  <c r="S32" i="1"/>
  <c r="S31" i="1"/>
  <c r="S30" i="1"/>
  <c r="S29" i="1"/>
  <c r="S28" i="1"/>
  <c r="S27" i="1"/>
  <c r="S26" i="1"/>
  <c r="S25" i="1"/>
  <c r="B23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R6" i="1"/>
  <c r="S5" i="1"/>
  <c r="R5" i="1"/>
  <c r="S4" i="1"/>
  <c r="R4" i="1"/>
  <c r="S3" i="1"/>
  <c r="O52" i="13"/>
  <c r="N52" i="13"/>
  <c r="M52" i="13"/>
  <c r="L52" i="13"/>
  <c r="K52" i="13"/>
  <c r="J52" i="13"/>
  <c r="I52" i="13"/>
  <c r="H52" i="13"/>
  <c r="G52" i="13"/>
  <c r="F52" i="13"/>
  <c r="E52" i="13"/>
  <c r="D52" i="13"/>
  <c r="S49" i="13"/>
  <c r="S48" i="13"/>
  <c r="R48" i="13"/>
  <c r="Q48" i="13"/>
  <c r="S47" i="13"/>
  <c r="R47" i="13"/>
  <c r="Q47" i="13"/>
  <c r="S46" i="13"/>
  <c r="R46" i="13"/>
  <c r="Q46" i="13"/>
  <c r="S45" i="13"/>
  <c r="R45" i="13"/>
  <c r="Q45" i="13"/>
  <c r="S44" i="13"/>
  <c r="R44" i="13"/>
  <c r="Q44" i="13"/>
  <c r="S43" i="13"/>
  <c r="R43" i="13"/>
  <c r="Q43" i="13"/>
  <c r="S42" i="13"/>
  <c r="S41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S37" i="13"/>
  <c r="R37" i="13"/>
  <c r="Q37" i="13"/>
  <c r="S36" i="13"/>
  <c r="S35" i="13"/>
  <c r="S34" i="13"/>
  <c r="S33" i="13"/>
  <c r="S32" i="13"/>
  <c r="S31" i="13"/>
  <c r="S30" i="13"/>
  <c r="R30" i="13"/>
  <c r="Q30" i="13"/>
  <c r="S29" i="13"/>
  <c r="R29" i="13"/>
  <c r="Q29" i="13"/>
  <c r="S28" i="13"/>
  <c r="R28" i="13"/>
  <c r="Q28" i="13"/>
  <c r="S27" i="13"/>
  <c r="S26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S21" i="13"/>
  <c r="S20" i="13"/>
  <c r="S19" i="13"/>
  <c r="Q19" i="13"/>
  <c r="S18" i="13"/>
  <c r="Q18" i="13"/>
  <c r="S17" i="13"/>
  <c r="Q17" i="13"/>
  <c r="S16" i="13"/>
  <c r="Q16" i="13"/>
  <c r="D327" i="26"/>
  <c r="D297" i="26"/>
  <c r="D266" i="26"/>
  <c r="D235" i="26"/>
  <c r="C192" i="26"/>
  <c r="F151" i="26"/>
  <c r="G150" i="26"/>
  <c r="G149" i="26"/>
  <c r="G148" i="26"/>
  <c r="G147" i="26"/>
  <c r="G146" i="26"/>
  <c r="G145" i="26"/>
  <c r="G144" i="26"/>
  <c r="G143" i="26"/>
  <c r="G142" i="26"/>
  <c r="G141" i="26"/>
  <c r="G140" i="26"/>
  <c r="G139" i="26"/>
  <c r="G138" i="26"/>
  <c r="G137" i="26"/>
  <c r="G136" i="26"/>
  <c r="G135" i="26"/>
  <c r="G134" i="26"/>
  <c r="G133" i="26"/>
  <c r="G132" i="26"/>
  <c r="G131" i="26"/>
  <c r="G130" i="26"/>
  <c r="G129" i="26"/>
  <c r="G128" i="26"/>
  <c r="G127" i="26"/>
  <c r="G126" i="26"/>
  <c r="G125" i="26"/>
  <c r="G124" i="26"/>
  <c r="G123" i="26"/>
  <c r="G122" i="26"/>
  <c r="G121" i="26"/>
  <c r="G120" i="26"/>
  <c r="G119" i="26"/>
  <c r="G118" i="26"/>
  <c r="W20" i="26"/>
  <c r="X20" i="26" s="1"/>
  <c r="W19" i="26"/>
  <c r="X19" i="26" s="1"/>
  <c r="W18" i="26"/>
  <c r="X18" i="26" s="1"/>
  <c r="W17" i="26"/>
  <c r="X17" i="26" s="1"/>
  <c r="W16" i="26"/>
  <c r="X16" i="26" s="1"/>
  <c r="W15" i="26"/>
  <c r="X15" i="26" s="1"/>
  <c r="W14" i="26"/>
  <c r="X14" i="26" s="1"/>
  <c r="M13" i="26"/>
  <c r="M18" i="26" s="1"/>
  <c r="M26" i="26" s="1"/>
  <c r="L13" i="26"/>
  <c r="L18" i="26" s="1"/>
  <c r="L26" i="26" s="1"/>
  <c r="K13" i="26"/>
  <c r="K18" i="26" s="1"/>
  <c r="K26" i="26" s="1"/>
  <c r="J13" i="26"/>
  <c r="J18" i="26" s="1"/>
  <c r="J26" i="26" s="1"/>
  <c r="I13" i="26"/>
  <c r="I18" i="26" s="1"/>
  <c r="I26" i="26" s="1"/>
  <c r="H13" i="26"/>
  <c r="H18" i="26" s="1"/>
  <c r="H26" i="26" s="1"/>
  <c r="W12" i="26"/>
  <c r="M17" i="26"/>
  <c r="M25" i="26" s="1"/>
  <c r="L17" i="26"/>
  <c r="L25" i="26" s="1"/>
  <c r="K17" i="26"/>
  <c r="K25" i="26" s="1"/>
  <c r="J17" i="26"/>
  <c r="J25" i="26" s="1"/>
  <c r="I17" i="26"/>
  <c r="I25" i="26" s="1"/>
  <c r="H17" i="26"/>
  <c r="H25" i="26" s="1"/>
  <c r="F17" i="26"/>
  <c r="F25" i="26" s="1"/>
  <c r="AU11" i="26"/>
  <c r="AT11" i="26"/>
  <c r="AS11" i="26"/>
  <c r="AR11" i="26"/>
  <c r="AQ11" i="26"/>
  <c r="AP11" i="26"/>
  <c r="AO11" i="26"/>
  <c r="W11" i="26"/>
  <c r="X11" i="26" s="1"/>
  <c r="M11" i="26"/>
  <c r="M16" i="26" s="1"/>
  <c r="M23" i="26" s="1"/>
  <c r="L11" i="26"/>
  <c r="L16" i="26" s="1"/>
  <c r="L23" i="26" s="1"/>
  <c r="K11" i="26"/>
  <c r="K16" i="26" s="1"/>
  <c r="K23" i="26" s="1"/>
  <c r="J11" i="26"/>
  <c r="J16" i="26" s="1"/>
  <c r="J23" i="26" s="1"/>
  <c r="I11" i="26"/>
  <c r="I16" i="26" s="1"/>
  <c r="I23" i="26" s="1"/>
  <c r="H11" i="26"/>
  <c r="H16" i="26" s="1"/>
  <c r="H23" i="26" s="1"/>
  <c r="AU10" i="26"/>
  <c r="AT10" i="26"/>
  <c r="AS10" i="26"/>
  <c r="AR10" i="26"/>
  <c r="AQ10" i="26"/>
  <c r="AP10" i="26"/>
  <c r="AO10" i="26"/>
  <c r="W10" i="26"/>
  <c r="X10" i="26" s="1"/>
  <c r="M10" i="26"/>
  <c r="M15" i="26" s="1"/>
  <c r="M22" i="26" s="1"/>
  <c r="L10" i="26"/>
  <c r="L15" i="26" s="1"/>
  <c r="L22" i="26" s="1"/>
  <c r="K10" i="26"/>
  <c r="K15" i="26" s="1"/>
  <c r="K22" i="26" s="1"/>
  <c r="J10" i="26"/>
  <c r="J15" i="26" s="1"/>
  <c r="J22" i="26" s="1"/>
  <c r="I10" i="26"/>
  <c r="I15" i="26" s="1"/>
  <c r="I22" i="26" s="1"/>
  <c r="H10" i="26"/>
  <c r="H15" i="26" s="1"/>
  <c r="H22" i="26" s="1"/>
  <c r="G10" i="26"/>
  <c r="G15" i="26" s="1"/>
  <c r="G22" i="26" s="1"/>
  <c r="F10" i="26"/>
  <c r="F15" i="26" s="1"/>
  <c r="F22" i="26" s="1"/>
  <c r="E10" i="26"/>
  <c r="E15" i="26" s="1"/>
  <c r="E22" i="26" s="1"/>
  <c r="D10" i="26"/>
  <c r="D15" i="26" s="1"/>
  <c r="D22" i="26" s="1"/>
  <c r="C10" i="26"/>
  <c r="C15" i="26" s="1"/>
  <c r="C22" i="26" s="1"/>
  <c r="B10" i="26"/>
  <c r="B15" i="26" s="1"/>
  <c r="B22" i="26" s="1"/>
  <c r="AU9" i="26"/>
  <c r="G13" i="26" s="1"/>
  <c r="G18" i="26" s="1"/>
  <c r="G26" i="26" s="1"/>
  <c r="AT9" i="26"/>
  <c r="AS9" i="26"/>
  <c r="AR9" i="26"/>
  <c r="G17" i="26" s="1"/>
  <c r="G25" i="26" s="1"/>
  <c r="AQ9" i="26"/>
  <c r="AP9" i="26"/>
  <c r="AO9" i="26"/>
  <c r="X9" i="26"/>
  <c r="AU8" i="26"/>
  <c r="AT8" i="26"/>
  <c r="AS8" i="26"/>
  <c r="AR8" i="26"/>
  <c r="AQ8" i="26"/>
  <c r="AP8" i="26"/>
  <c r="F11" i="26" s="1"/>
  <c r="F16" i="26" s="1"/>
  <c r="F23" i="26" s="1"/>
  <c r="AO8" i="26"/>
  <c r="X8" i="26"/>
  <c r="F13" i="26"/>
  <c r="F18" i="26" s="1"/>
  <c r="F26" i="26" s="1"/>
  <c r="B13" i="26"/>
  <c r="B18" i="26" s="1"/>
  <c r="B26" i="26" s="1"/>
  <c r="AU7" i="26"/>
  <c r="E13" i="26" s="1"/>
  <c r="E18" i="26" s="1"/>
  <c r="E26" i="26" s="1"/>
  <c r="AT7" i="26"/>
  <c r="AS7" i="26"/>
  <c r="AR7" i="26"/>
  <c r="E17" i="26" s="1"/>
  <c r="E25" i="26" s="1"/>
  <c r="AQ7" i="26"/>
  <c r="AP7" i="26"/>
  <c r="AO7" i="26"/>
  <c r="D17" i="26"/>
  <c r="D25" i="26" s="1"/>
  <c r="AU6" i="26"/>
  <c r="D13" i="26" s="1"/>
  <c r="D18" i="26" s="1"/>
  <c r="D26" i="26" s="1"/>
  <c r="AT6" i="26"/>
  <c r="AS6" i="26"/>
  <c r="AR6" i="26"/>
  <c r="AQ6" i="26"/>
  <c r="AP6" i="26"/>
  <c r="D11" i="26" s="1"/>
  <c r="D16" i="26" s="1"/>
  <c r="D23" i="26" s="1"/>
  <c r="AO6" i="26"/>
  <c r="G11" i="26"/>
  <c r="E11" i="26"/>
  <c r="E16" i="26" s="1"/>
  <c r="E23" i="26" s="1"/>
  <c r="C11" i="26"/>
  <c r="C16" i="26" s="1"/>
  <c r="C23" i="26" s="1"/>
  <c r="AU5" i="26"/>
  <c r="C13" i="26" s="1"/>
  <c r="C18" i="26" s="1"/>
  <c r="C26" i="26" s="1"/>
  <c r="AT5" i="26"/>
  <c r="AS5" i="26"/>
  <c r="AR5" i="26"/>
  <c r="C17" i="26" s="1"/>
  <c r="C25" i="26" s="1"/>
  <c r="AQ5" i="26"/>
  <c r="AP5" i="26"/>
  <c r="AO5" i="26"/>
  <c r="AU4" i="26"/>
  <c r="AT4" i="26"/>
  <c r="AS4" i="26"/>
  <c r="AR4" i="26"/>
  <c r="B17" i="26" s="1"/>
  <c r="B25" i="26" s="1"/>
  <c r="AQ4" i="26"/>
  <c r="AP4" i="26"/>
  <c r="B11" i="26" s="1"/>
  <c r="B16" i="26" s="1"/>
  <c r="B23" i="26" s="1"/>
  <c r="AO4" i="26"/>
  <c r="X4" i="26"/>
  <c r="BE26" i="25"/>
  <c r="BE27" i="25" s="1"/>
  <c r="BD26" i="25"/>
  <c r="BD27" i="25" s="1"/>
  <c r="BC26" i="25"/>
  <c r="BC27" i="25" s="1"/>
  <c r="BB26" i="25"/>
  <c r="BB27" i="25" s="1"/>
  <c r="BA26" i="25"/>
  <c r="BA27" i="25" s="1"/>
  <c r="AZ26" i="25"/>
  <c r="AZ27" i="25" s="1"/>
  <c r="AY26" i="25"/>
  <c r="AY27" i="25" s="1"/>
  <c r="AX26" i="25"/>
  <c r="AX27" i="25" s="1"/>
  <c r="AW26" i="25"/>
  <c r="AW27" i="25" s="1"/>
  <c r="AV26" i="25"/>
  <c r="AV27" i="25" s="1"/>
  <c r="AU26" i="25"/>
  <c r="AU27" i="25" s="1"/>
  <c r="AT26" i="25"/>
  <c r="AT27" i="25" s="1"/>
  <c r="AS26" i="25"/>
  <c r="AS27" i="25" s="1"/>
  <c r="AR26" i="25"/>
  <c r="AR27" i="25" s="1"/>
  <c r="AQ26" i="25"/>
  <c r="AQ27" i="25" s="1"/>
  <c r="AP26" i="25"/>
  <c r="AP27" i="25" s="1"/>
  <c r="AO26" i="25"/>
  <c r="AO27" i="25" s="1"/>
  <c r="AN26" i="25"/>
  <c r="AN27" i="25" s="1"/>
  <c r="AM26" i="25"/>
  <c r="AM27" i="25" s="1"/>
  <c r="AL26" i="25"/>
  <c r="AL27" i="25" s="1"/>
  <c r="AK26" i="25"/>
  <c r="AK27" i="25" s="1"/>
  <c r="AJ26" i="25"/>
  <c r="AJ27" i="25" s="1"/>
  <c r="AI26" i="25"/>
  <c r="AI27" i="25" s="1"/>
  <c r="AH26" i="25"/>
  <c r="AH27" i="25" s="1"/>
  <c r="AG26" i="25"/>
  <c r="AG27" i="25" s="1"/>
  <c r="BE23" i="25"/>
  <c r="BE24" i="25" s="1"/>
  <c r="BD23" i="25"/>
  <c r="BD24" i="25" s="1"/>
  <c r="BC23" i="25"/>
  <c r="BC24" i="25" s="1"/>
  <c r="BB23" i="25"/>
  <c r="BB24" i="25" s="1"/>
  <c r="BA23" i="25"/>
  <c r="BA24" i="25" s="1"/>
  <c r="AZ23" i="25"/>
  <c r="AZ24" i="25" s="1"/>
  <c r="AY23" i="25"/>
  <c r="AY24" i="25" s="1"/>
  <c r="AX23" i="25"/>
  <c r="AX24" i="25" s="1"/>
  <c r="AW23" i="25"/>
  <c r="AW24" i="25" s="1"/>
  <c r="AV23" i="25"/>
  <c r="AV24" i="25" s="1"/>
  <c r="AU23" i="25"/>
  <c r="AU24" i="25" s="1"/>
  <c r="AT23" i="25"/>
  <c r="AT24" i="25" s="1"/>
  <c r="AS23" i="25"/>
  <c r="AS24" i="25" s="1"/>
  <c r="AR23" i="25"/>
  <c r="AR24" i="25" s="1"/>
  <c r="AQ23" i="25"/>
  <c r="AQ24" i="25" s="1"/>
  <c r="AP23" i="25"/>
  <c r="AP24" i="25" s="1"/>
  <c r="AO23" i="25"/>
  <c r="AO24" i="25" s="1"/>
  <c r="AN23" i="25"/>
  <c r="AN24" i="25" s="1"/>
  <c r="AM23" i="25"/>
  <c r="AM24" i="25" s="1"/>
  <c r="AL23" i="25"/>
  <c r="AL24" i="25" s="1"/>
  <c r="AK23" i="25"/>
  <c r="AK24" i="25" s="1"/>
  <c r="AJ23" i="25"/>
  <c r="AJ24" i="25" s="1"/>
  <c r="AI23" i="25"/>
  <c r="AI24" i="25" s="1"/>
  <c r="AH23" i="25"/>
  <c r="AH24" i="25" s="1"/>
  <c r="AG23" i="25"/>
  <c r="AG24" i="25" s="1"/>
  <c r="BE20" i="25"/>
  <c r="BE21" i="25" s="1"/>
  <c r="BD20" i="25"/>
  <c r="BD21" i="25" s="1"/>
  <c r="BC20" i="25"/>
  <c r="BC21" i="25" s="1"/>
  <c r="BB20" i="25"/>
  <c r="BB21" i="25" s="1"/>
  <c r="BA20" i="25"/>
  <c r="BA21" i="25" s="1"/>
  <c r="AZ20" i="25"/>
  <c r="AZ21" i="25" s="1"/>
  <c r="AY20" i="25"/>
  <c r="AY21" i="25" s="1"/>
  <c r="AX20" i="25"/>
  <c r="AX21" i="25" s="1"/>
  <c r="AW20" i="25"/>
  <c r="AW21" i="25" s="1"/>
  <c r="AV20" i="25"/>
  <c r="AV21" i="25" s="1"/>
  <c r="AU20" i="25"/>
  <c r="AU21" i="25" s="1"/>
  <c r="AT20" i="25"/>
  <c r="AT21" i="25" s="1"/>
  <c r="AS20" i="25"/>
  <c r="AS21" i="25" s="1"/>
  <c r="AR20" i="25"/>
  <c r="AR21" i="25" s="1"/>
  <c r="AQ20" i="25"/>
  <c r="AQ21" i="25" s="1"/>
  <c r="AP20" i="25"/>
  <c r="AP21" i="25" s="1"/>
  <c r="AO20" i="25"/>
  <c r="AO21" i="25" s="1"/>
  <c r="AN20" i="25"/>
  <c r="AN21" i="25" s="1"/>
  <c r="AM20" i="25"/>
  <c r="AM21" i="25" s="1"/>
  <c r="AL20" i="25"/>
  <c r="AL21" i="25" s="1"/>
  <c r="AK20" i="25"/>
  <c r="AK21" i="25" s="1"/>
  <c r="AJ20" i="25"/>
  <c r="AJ21" i="25" s="1"/>
  <c r="AI20" i="25"/>
  <c r="AI21" i="25" s="1"/>
  <c r="AH20" i="25"/>
  <c r="AH21" i="25" s="1"/>
  <c r="AG20" i="25"/>
  <c r="AG21" i="25" s="1"/>
  <c r="BE17" i="25"/>
  <c r="BE18" i="25" s="1"/>
  <c r="BD17" i="25"/>
  <c r="BD18" i="25" s="1"/>
  <c r="BC17" i="25"/>
  <c r="BC18" i="25" s="1"/>
  <c r="BB17" i="25"/>
  <c r="BB18" i="25" s="1"/>
  <c r="BA17" i="25"/>
  <c r="BA18" i="25" s="1"/>
  <c r="AZ17" i="25"/>
  <c r="AZ18" i="25" s="1"/>
  <c r="AY17" i="25"/>
  <c r="AY18" i="25" s="1"/>
  <c r="AX17" i="25"/>
  <c r="AX18" i="25" s="1"/>
  <c r="AW17" i="25"/>
  <c r="AW18" i="25" s="1"/>
  <c r="AV17" i="25"/>
  <c r="AV18" i="25" s="1"/>
  <c r="AU17" i="25"/>
  <c r="AU18" i="25" s="1"/>
  <c r="AT17" i="25"/>
  <c r="AT18" i="25" s="1"/>
  <c r="AS17" i="25"/>
  <c r="AS18" i="25" s="1"/>
  <c r="AR17" i="25"/>
  <c r="AR18" i="25" s="1"/>
  <c r="AQ17" i="25"/>
  <c r="AQ18" i="25" s="1"/>
  <c r="AP17" i="25"/>
  <c r="AP18" i="25" s="1"/>
  <c r="AO17" i="25"/>
  <c r="AO18" i="25" s="1"/>
  <c r="AN17" i="25"/>
  <c r="AN18" i="25" s="1"/>
  <c r="AM17" i="25"/>
  <c r="AM18" i="25" s="1"/>
  <c r="AL17" i="25"/>
  <c r="AL18" i="25" s="1"/>
  <c r="AK17" i="25"/>
  <c r="AK18" i="25" s="1"/>
  <c r="AJ17" i="25"/>
  <c r="AJ18" i="25" s="1"/>
  <c r="AI17" i="25"/>
  <c r="AI18" i="25" s="1"/>
  <c r="AH17" i="25"/>
  <c r="AH18" i="25" s="1"/>
  <c r="AG17" i="25"/>
  <c r="AG18" i="25" s="1"/>
  <c r="BE9" i="25"/>
  <c r="BE10" i="25" s="1"/>
  <c r="BD9" i="25"/>
  <c r="BD10" i="25" s="1"/>
  <c r="BC9" i="25"/>
  <c r="BC10" i="25" s="1"/>
  <c r="BB9" i="25"/>
  <c r="BB10" i="25" s="1"/>
  <c r="BA9" i="25"/>
  <c r="BA10" i="25" s="1"/>
  <c r="AZ9" i="25"/>
  <c r="AZ10" i="25" s="1"/>
  <c r="AY9" i="25"/>
  <c r="AY10" i="25" s="1"/>
  <c r="AX9" i="25"/>
  <c r="AX10" i="25" s="1"/>
  <c r="AW9" i="25"/>
  <c r="AW10" i="25" s="1"/>
  <c r="AV9" i="25"/>
  <c r="AV10" i="25" s="1"/>
  <c r="AU9" i="25"/>
  <c r="AU10" i="25" s="1"/>
  <c r="AT9" i="25"/>
  <c r="AT10" i="25" s="1"/>
  <c r="AS9" i="25"/>
  <c r="AS10" i="25" s="1"/>
  <c r="AR9" i="25"/>
  <c r="AR10" i="25" s="1"/>
  <c r="AQ9" i="25"/>
  <c r="AQ10" i="25" s="1"/>
  <c r="AP9" i="25"/>
  <c r="AP10" i="25" s="1"/>
  <c r="AO9" i="25"/>
  <c r="AO10" i="25" s="1"/>
  <c r="AN9" i="25"/>
  <c r="AN10" i="25" s="1"/>
  <c r="AM9" i="25"/>
  <c r="AM10" i="25" s="1"/>
  <c r="AL9" i="25"/>
  <c r="AL10" i="25" s="1"/>
  <c r="AK9" i="25"/>
  <c r="AK10" i="25" s="1"/>
  <c r="AJ9" i="25"/>
  <c r="AJ10" i="25" s="1"/>
  <c r="AI9" i="25"/>
  <c r="AI10" i="25" s="1"/>
  <c r="AH9" i="25"/>
  <c r="AH10" i="25" s="1"/>
  <c r="AG9" i="25"/>
  <c r="AG10" i="25" s="1"/>
  <c r="AF9" i="25"/>
  <c r="AF10" i="25" s="1"/>
  <c r="BE6" i="25"/>
  <c r="BE7" i="25" s="1"/>
  <c r="BD6" i="25"/>
  <c r="BD7" i="25" s="1"/>
  <c r="BC6" i="25"/>
  <c r="BC7" i="25" s="1"/>
  <c r="BB6" i="25"/>
  <c r="BB7" i="25" s="1"/>
  <c r="BA6" i="25"/>
  <c r="BA7" i="25" s="1"/>
  <c r="AZ6" i="25"/>
  <c r="AZ7" i="25" s="1"/>
  <c r="AY6" i="25"/>
  <c r="AY7" i="25" s="1"/>
  <c r="AX6" i="25"/>
  <c r="AX7" i="25" s="1"/>
  <c r="AW6" i="25"/>
  <c r="AW7" i="25" s="1"/>
  <c r="AV6" i="25"/>
  <c r="AV7" i="25" s="1"/>
  <c r="AU6" i="25"/>
  <c r="AU7" i="25" s="1"/>
  <c r="AT6" i="25"/>
  <c r="AT7" i="25" s="1"/>
  <c r="AS6" i="25"/>
  <c r="AS7" i="25" s="1"/>
  <c r="AR6" i="25"/>
  <c r="AR7" i="25" s="1"/>
  <c r="AQ6" i="25"/>
  <c r="AQ7" i="25" s="1"/>
  <c r="AP6" i="25"/>
  <c r="AP7" i="25" s="1"/>
  <c r="AO6" i="25"/>
  <c r="AO7" i="25" s="1"/>
  <c r="AN6" i="25"/>
  <c r="AN7" i="25" s="1"/>
  <c r="AM6" i="25"/>
  <c r="AM7" i="25" s="1"/>
  <c r="AL6" i="25"/>
  <c r="AL7" i="25" s="1"/>
  <c r="AK6" i="25"/>
  <c r="AK7" i="25" s="1"/>
  <c r="AJ6" i="25"/>
  <c r="AJ7" i="25" s="1"/>
  <c r="AI6" i="25"/>
  <c r="AI7" i="25" s="1"/>
  <c r="AH6" i="25"/>
  <c r="AH7" i="25" s="1"/>
  <c r="AG6" i="25"/>
  <c r="AG7" i="25" s="1"/>
  <c r="AF6" i="25"/>
  <c r="AF7" i="25" s="1"/>
  <c r="BE3" i="25"/>
  <c r="BE4" i="25" s="1"/>
  <c r="BD3" i="25"/>
  <c r="BD4" i="25" s="1"/>
  <c r="BC3" i="25"/>
  <c r="BC4" i="25" s="1"/>
  <c r="BB3" i="25"/>
  <c r="BB4" i="25" s="1"/>
  <c r="BA3" i="25"/>
  <c r="BA4" i="25" s="1"/>
  <c r="AZ3" i="25"/>
  <c r="AZ4" i="25" s="1"/>
  <c r="AY3" i="25"/>
  <c r="AY4" i="25" s="1"/>
  <c r="AX3" i="25"/>
  <c r="AX4" i="25" s="1"/>
  <c r="AW3" i="25"/>
  <c r="AW4" i="25" s="1"/>
  <c r="AV3" i="25"/>
  <c r="AV4" i="25" s="1"/>
  <c r="AU3" i="25"/>
  <c r="AU4" i="25" s="1"/>
  <c r="AT3" i="25"/>
  <c r="AT4" i="25" s="1"/>
  <c r="AS3" i="25"/>
  <c r="AS4" i="25" s="1"/>
  <c r="AR3" i="25"/>
  <c r="AR4" i="25" s="1"/>
  <c r="AQ3" i="25"/>
  <c r="AQ4" i="25" s="1"/>
  <c r="AP3" i="25"/>
  <c r="AP4" i="25" s="1"/>
  <c r="AO3" i="25"/>
  <c r="AO4" i="25" s="1"/>
  <c r="AN3" i="25"/>
  <c r="AN4" i="25" s="1"/>
  <c r="AM3" i="25"/>
  <c r="AM4" i="25" s="1"/>
  <c r="AL3" i="25"/>
  <c r="AL4" i="25" s="1"/>
  <c r="AK3" i="25"/>
  <c r="AK4" i="25" s="1"/>
  <c r="AJ3" i="25"/>
  <c r="AJ4" i="25" s="1"/>
  <c r="AI3" i="25"/>
  <c r="AI4" i="25" s="1"/>
  <c r="AH3" i="25"/>
  <c r="AH4" i="25" s="1"/>
  <c r="AG3" i="25"/>
  <c r="AG4" i="25" s="1"/>
  <c r="AF3" i="25"/>
  <c r="AF4" i="25" s="1"/>
  <c r="AA36" i="20"/>
  <c r="AA37" i="20" s="1"/>
  <c r="Z36" i="20"/>
  <c r="Z37" i="20" s="1"/>
  <c r="Y36" i="20"/>
  <c r="Y37" i="20" s="1"/>
  <c r="X36" i="20"/>
  <c r="X37" i="20" s="1"/>
  <c r="W36" i="20"/>
  <c r="W37" i="20" s="1"/>
  <c r="V36" i="20"/>
  <c r="V37" i="20" s="1"/>
  <c r="U36" i="20"/>
  <c r="U37" i="20" s="1"/>
  <c r="T36" i="20"/>
  <c r="T37" i="20" s="1"/>
  <c r="S36" i="20"/>
  <c r="S37" i="20" s="1"/>
  <c r="R36" i="20"/>
  <c r="R37" i="20" s="1"/>
  <c r="Q36" i="20"/>
  <c r="Q37" i="20" s="1"/>
  <c r="P36" i="20"/>
  <c r="P37" i="20" s="1"/>
  <c r="O36" i="20"/>
  <c r="O37" i="20" s="1"/>
  <c r="N36" i="20"/>
  <c r="N37" i="20" s="1"/>
  <c r="M36" i="20"/>
  <c r="M37" i="20" s="1"/>
  <c r="L36" i="20"/>
  <c r="L37" i="20" s="1"/>
  <c r="K36" i="20"/>
  <c r="K37" i="20" s="1"/>
  <c r="J36" i="20"/>
  <c r="J37" i="20" s="1"/>
  <c r="I36" i="20"/>
  <c r="I37" i="20" s="1"/>
  <c r="H36" i="20"/>
  <c r="H37" i="20" s="1"/>
  <c r="G36" i="20"/>
  <c r="G37" i="20" s="1"/>
  <c r="F36" i="20"/>
  <c r="F37" i="20" s="1"/>
  <c r="E36" i="20"/>
  <c r="E37" i="20" s="1"/>
  <c r="D36" i="20"/>
  <c r="D37" i="20" s="1"/>
  <c r="C36" i="20"/>
  <c r="C37" i="20" s="1"/>
  <c r="K34" i="20"/>
  <c r="AA33" i="20"/>
  <c r="AA34" i="20" s="1"/>
  <c r="Z33" i="20"/>
  <c r="Z34" i="20" s="1"/>
  <c r="Y33" i="20"/>
  <c r="Y34" i="20" s="1"/>
  <c r="X33" i="20"/>
  <c r="X34" i="20" s="1"/>
  <c r="W33" i="20"/>
  <c r="W34" i="20" s="1"/>
  <c r="V33" i="20"/>
  <c r="V34" i="20" s="1"/>
  <c r="U33" i="20"/>
  <c r="U34" i="20" s="1"/>
  <c r="T33" i="20"/>
  <c r="T34" i="20" s="1"/>
  <c r="S33" i="20"/>
  <c r="S34" i="20" s="1"/>
  <c r="R33" i="20"/>
  <c r="R34" i="20" s="1"/>
  <c r="Q33" i="20"/>
  <c r="Q34" i="20" s="1"/>
  <c r="P33" i="20"/>
  <c r="P34" i="20" s="1"/>
  <c r="O33" i="20"/>
  <c r="O34" i="20" s="1"/>
  <c r="N33" i="20"/>
  <c r="N34" i="20" s="1"/>
  <c r="M33" i="20"/>
  <c r="M34" i="20" s="1"/>
  <c r="L33" i="20"/>
  <c r="L34" i="20" s="1"/>
  <c r="K33" i="20"/>
  <c r="J33" i="20"/>
  <c r="J34" i="20" s="1"/>
  <c r="I33" i="20"/>
  <c r="I34" i="20" s="1"/>
  <c r="H33" i="20"/>
  <c r="H34" i="20" s="1"/>
  <c r="G33" i="20"/>
  <c r="G34" i="20" s="1"/>
  <c r="F33" i="20"/>
  <c r="F34" i="20" s="1"/>
  <c r="E33" i="20"/>
  <c r="E34" i="20" s="1"/>
  <c r="D33" i="20"/>
  <c r="D34" i="20" s="1"/>
  <c r="C33" i="20"/>
  <c r="C34" i="20" s="1"/>
  <c r="AA30" i="20"/>
  <c r="AA31" i="20" s="1"/>
  <c r="Z30" i="20"/>
  <c r="Z31" i="20" s="1"/>
  <c r="Y30" i="20"/>
  <c r="Y31" i="20" s="1"/>
  <c r="X30" i="20"/>
  <c r="X31" i="20" s="1"/>
  <c r="W30" i="20"/>
  <c r="W31" i="20" s="1"/>
  <c r="V30" i="20"/>
  <c r="V31" i="20" s="1"/>
  <c r="U30" i="20"/>
  <c r="U31" i="20" s="1"/>
  <c r="T30" i="20"/>
  <c r="T31" i="20" s="1"/>
  <c r="S30" i="20"/>
  <c r="S31" i="20" s="1"/>
  <c r="R30" i="20"/>
  <c r="R31" i="20" s="1"/>
  <c r="Q30" i="20"/>
  <c r="Q31" i="20" s="1"/>
  <c r="P30" i="20"/>
  <c r="P31" i="20" s="1"/>
  <c r="O30" i="20"/>
  <c r="O31" i="20" s="1"/>
  <c r="N30" i="20"/>
  <c r="N31" i="20" s="1"/>
  <c r="M30" i="20"/>
  <c r="M31" i="20" s="1"/>
  <c r="L30" i="20"/>
  <c r="L31" i="20" s="1"/>
  <c r="K30" i="20"/>
  <c r="K31" i="20" s="1"/>
  <c r="J30" i="20"/>
  <c r="J31" i="20" s="1"/>
  <c r="I30" i="20"/>
  <c r="I31" i="20" s="1"/>
  <c r="H30" i="20"/>
  <c r="H31" i="20" s="1"/>
  <c r="G30" i="20"/>
  <c r="G31" i="20" s="1"/>
  <c r="F30" i="20"/>
  <c r="F31" i="20" s="1"/>
  <c r="E30" i="20"/>
  <c r="E31" i="20" s="1"/>
  <c r="D30" i="20"/>
  <c r="D31" i="20" s="1"/>
  <c r="C30" i="20"/>
  <c r="C31" i="20" s="1"/>
  <c r="AA25" i="20"/>
  <c r="AA26" i="20" s="1"/>
  <c r="Z25" i="20"/>
  <c r="Z26" i="20" s="1"/>
  <c r="Y25" i="20"/>
  <c r="Y26" i="20" s="1"/>
  <c r="X25" i="20"/>
  <c r="X26" i="20" s="1"/>
  <c r="W25" i="20"/>
  <c r="W26" i="20" s="1"/>
  <c r="V25" i="20"/>
  <c r="V26" i="20" s="1"/>
  <c r="U25" i="20"/>
  <c r="U26" i="20" s="1"/>
  <c r="T25" i="20"/>
  <c r="T26" i="20" s="1"/>
  <c r="S25" i="20"/>
  <c r="S26" i="20" s="1"/>
  <c r="R25" i="20"/>
  <c r="R26" i="20" s="1"/>
  <c r="Q25" i="20"/>
  <c r="Q26" i="20" s="1"/>
  <c r="P25" i="20"/>
  <c r="P26" i="20" s="1"/>
  <c r="O25" i="20"/>
  <c r="O26" i="20" s="1"/>
  <c r="N25" i="20"/>
  <c r="N26" i="20" s="1"/>
  <c r="M25" i="20"/>
  <c r="M26" i="20" s="1"/>
  <c r="L25" i="20"/>
  <c r="L26" i="20" s="1"/>
  <c r="K25" i="20"/>
  <c r="K26" i="20" s="1"/>
  <c r="J25" i="20"/>
  <c r="J26" i="20" s="1"/>
  <c r="I25" i="20"/>
  <c r="I26" i="20" s="1"/>
  <c r="H25" i="20"/>
  <c r="H26" i="20" s="1"/>
  <c r="G25" i="20"/>
  <c r="G26" i="20" s="1"/>
  <c r="F25" i="20"/>
  <c r="F26" i="20" s="1"/>
  <c r="E25" i="20"/>
  <c r="E26" i="20" s="1"/>
  <c r="D25" i="20"/>
  <c r="D26" i="20" s="1"/>
  <c r="C25" i="20"/>
  <c r="C26" i="20" s="1"/>
  <c r="B25" i="20"/>
  <c r="B26" i="20" s="1"/>
  <c r="AA22" i="20"/>
  <c r="AA23" i="20" s="1"/>
  <c r="Z22" i="20"/>
  <c r="Z23" i="20" s="1"/>
  <c r="Y22" i="20"/>
  <c r="Y23" i="20" s="1"/>
  <c r="X22" i="20"/>
  <c r="X23" i="20" s="1"/>
  <c r="W22" i="20"/>
  <c r="W23" i="20" s="1"/>
  <c r="V22" i="20"/>
  <c r="V23" i="20" s="1"/>
  <c r="U22" i="20"/>
  <c r="U23" i="20" s="1"/>
  <c r="T22" i="20"/>
  <c r="T23" i="20" s="1"/>
  <c r="S22" i="20"/>
  <c r="S23" i="20" s="1"/>
  <c r="R22" i="20"/>
  <c r="R23" i="20" s="1"/>
  <c r="Q22" i="20"/>
  <c r="Q23" i="20" s="1"/>
  <c r="P22" i="20"/>
  <c r="P23" i="20" s="1"/>
  <c r="O22" i="20"/>
  <c r="O23" i="20" s="1"/>
  <c r="N22" i="20"/>
  <c r="N23" i="20" s="1"/>
  <c r="M22" i="20"/>
  <c r="M23" i="20" s="1"/>
  <c r="L22" i="20"/>
  <c r="L23" i="20" s="1"/>
  <c r="K22" i="20"/>
  <c r="K23" i="20" s="1"/>
  <c r="J22" i="20"/>
  <c r="J23" i="20" s="1"/>
  <c r="I22" i="20"/>
  <c r="I23" i="20" s="1"/>
  <c r="H22" i="20"/>
  <c r="H23" i="20" s="1"/>
  <c r="G22" i="20"/>
  <c r="G23" i="20" s="1"/>
  <c r="F22" i="20"/>
  <c r="F23" i="20" s="1"/>
  <c r="E22" i="20"/>
  <c r="E23" i="20" s="1"/>
  <c r="D22" i="20"/>
  <c r="D23" i="20" s="1"/>
  <c r="C22" i="20"/>
  <c r="C23" i="20" s="1"/>
  <c r="B22" i="20"/>
  <c r="B23" i="20" s="1"/>
  <c r="AA19" i="20"/>
  <c r="AA20" i="20" s="1"/>
  <c r="Z19" i="20"/>
  <c r="Z20" i="20" s="1"/>
  <c r="Y19" i="20"/>
  <c r="Y20" i="20" s="1"/>
  <c r="X19" i="20"/>
  <c r="X20" i="20" s="1"/>
  <c r="W19" i="20"/>
  <c r="W20" i="20" s="1"/>
  <c r="V19" i="20"/>
  <c r="V20" i="20" s="1"/>
  <c r="U19" i="20"/>
  <c r="U20" i="20" s="1"/>
  <c r="T19" i="20"/>
  <c r="T20" i="20" s="1"/>
  <c r="S19" i="20"/>
  <c r="S20" i="20" s="1"/>
  <c r="R19" i="20"/>
  <c r="R20" i="20" s="1"/>
  <c r="Q19" i="20"/>
  <c r="Q20" i="20" s="1"/>
  <c r="P19" i="20"/>
  <c r="P20" i="20" s="1"/>
  <c r="O19" i="20"/>
  <c r="O20" i="20" s="1"/>
  <c r="N19" i="20"/>
  <c r="N20" i="20" s="1"/>
  <c r="M19" i="20"/>
  <c r="M20" i="20" s="1"/>
  <c r="L19" i="20"/>
  <c r="L20" i="20" s="1"/>
  <c r="K19" i="20"/>
  <c r="K20" i="20" s="1"/>
  <c r="J19" i="20"/>
  <c r="J20" i="20" s="1"/>
  <c r="I19" i="20"/>
  <c r="I20" i="20" s="1"/>
  <c r="H19" i="20"/>
  <c r="H20" i="20" s="1"/>
  <c r="G19" i="20"/>
  <c r="G20" i="20" s="1"/>
  <c r="F19" i="20"/>
  <c r="F20" i="20" s="1"/>
  <c r="E19" i="20"/>
  <c r="E20" i="20" s="1"/>
  <c r="D19" i="20"/>
  <c r="D20" i="20" s="1"/>
  <c r="C19" i="20"/>
  <c r="C20" i="20" s="1"/>
  <c r="B19" i="20"/>
  <c r="B20" i="20" s="1"/>
  <c r="N35" i="21"/>
  <c r="AE32" i="21" s="1"/>
  <c r="L34" i="21"/>
  <c r="L36" i="21" s="1"/>
  <c r="K34" i="21"/>
  <c r="K36" i="21" s="1"/>
  <c r="J34" i="21"/>
  <c r="H34" i="21"/>
  <c r="H36" i="21" s="1"/>
  <c r="G34" i="21"/>
  <c r="F34" i="21"/>
  <c r="D34" i="21"/>
  <c r="D36" i="21" s="1"/>
  <c r="C34" i="21"/>
  <c r="C36" i="21" s="1"/>
  <c r="B34" i="21"/>
  <c r="B36" i="21" s="1"/>
  <c r="N28" i="21"/>
  <c r="N27" i="21"/>
  <c r="N26" i="21"/>
  <c r="N21" i="21"/>
  <c r="M20" i="21"/>
  <c r="M22" i="21" s="1"/>
  <c r="L20" i="21"/>
  <c r="K20" i="21"/>
  <c r="K22" i="21" s="1"/>
  <c r="J20" i="21"/>
  <c r="I20" i="21"/>
  <c r="I22" i="21" s="1"/>
  <c r="H20" i="21"/>
  <c r="G20" i="21"/>
  <c r="F20" i="21"/>
  <c r="E20" i="21"/>
  <c r="D20" i="21"/>
  <c r="C20" i="21"/>
  <c r="C22" i="21" s="1"/>
  <c r="B20" i="21"/>
  <c r="N18" i="21"/>
  <c r="N14" i="21"/>
  <c r="N12" i="21"/>
  <c r="M8" i="21"/>
  <c r="L8" i="21"/>
  <c r="K8" i="21"/>
  <c r="J8" i="21"/>
  <c r="I8" i="21"/>
  <c r="H8" i="21"/>
  <c r="G8" i="21"/>
  <c r="F8" i="21"/>
  <c r="E8" i="21"/>
  <c r="D8" i="21"/>
  <c r="C8" i="21"/>
  <c r="B8" i="21"/>
  <c r="N7" i="21"/>
  <c r="N5" i="21"/>
  <c r="N4" i="21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G111" i="22"/>
  <c r="G141" i="22" s="1"/>
  <c r="G110" i="22"/>
  <c r="G140" i="22" s="1"/>
  <c r="G109" i="22"/>
  <c r="G139" i="22" s="1"/>
  <c r="G108" i="22"/>
  <c r="G138" i="22" s="1"/>
  <c r="G107" i="22"/>
  <c r="G137" i="22" s="1"/>
  <c r="G106" i="22"/>
  <c r="G136" i="22" s="1"/>
  <c r="G105" i="22"/>
  <c r="G135" i="22" s="1"/>
  <c r="G104" i="22"/>
  <c r="G134" i="22" s="1"/>
  <c r="G103" i="22"/>
  <c r="G133" i="22" s="1"/>
  <c r="G102" i="22"/>
  <c r="G132" i="22" s="1"/>
  <c r="G101" i="22"/>
  <c r="G131" i="22" s="1"/>
  <c r="G100" i="22"/>
  <c r="G130" i="22" s="1"/>
  <c r="G99" i="22"/>
  <c r="G129" i="22" s="1"/>
  <c r="G98" i="22"/>
  <c r="G128" i="22" s="1"/>
  <c r="G97" i="22"/>
  <c r="G127" i="22" s="1"/>
  <c r="G96" i="22"/>
  <c r="G126" i="22" s="1"/>
  <c r="G95" i="22"/>
  <c r="G125" i="22" s="1"/>
  <c r="G94" i="22"/>
  <c r="G124" i="22" s="1"/>
  <c r="G93" i="22"/>
  <c r="G123" i="22" s="1"/>
  <c r="G92" i="22"/>
  <c r="G122" i="22" s="1"/>
  <c r="G91" i="22"/>
  <c r="G121" i="22" s="1"/>
  <c r="G90" i="22"/>
  <c r="G120" i="22" s="1"/>
  <c r="G89" i="22"/>
  <c r="G119" i="22" s="1"/>
  <c r="G88" i="22"/>
  <c r="G118" i="22" s="1"/>
  <c r="G87" i="22"/>
  <c r="G117" i="22" s="1"/>
  <c r="G86" i="22"/>
  <c r="G116" i="22" s="1"/>
  <c r="C133" i="23"/>
  <c r="G132" i="23" s="1"/>
  <c r="C132" i="23"/>
  <c r="G131" i="23" s="1"/>
  <c r="C131" i="23"/>
  <c r="G130" i="23" s="1"/>
  <c r="C130" i="23"/>
  <c r="G129" i="23" s="1"/>
  <c r="C129" i="23"/>
  <c r="G128" i="23" s="1"/>
  <c r="C128" i="23"/>
  <c r="G127" i="23" s="1"/>
  <c r="C127" i="23"/>
  <c r="G126" i="23" s="1"/>
  <c r="C126" i="23"/>
  <c r="G125" i="23" s="1"/>
  <c r="C125" i="23"/>
  <c r="G124" i="23" s="1"/>
  <c r="C124" i="23"/>
  <c r="G123" i="23" s="1"/>
  <c r="C123" i="23"/>
  <c r="G122" i="23" s="1"/>
  <c r="C122" i="23"/>
  <c r="G121" i="23" s="1"/>
  <c r="C121" i="23"/>
  <c r="G120" i="23" s="1"/>
  <c r="C120" i="23"/>
  <c r="G119" i="23" s="1"/>
  <c r="C119" i="23"/>
  <c r="G118" i="23" s="1"/>
  <c r="C118" i="23"/>
  <c r="G117" i="23" s="1"/>
  <c r="C117" i="23"/>
  <c r="G116" i="23" s="1"/>
  <c r="C116" i="23"/>
  <c r="G115" i="23" s="1"/>
  <c r="C115" i="23"/>
  <c r="G114" i="23" s="1"/>
  <c r="C114" i="23"/>
  <c r="G113" i="23" s="1"/>
  <c r="C113" i="23"/>
  <c r="G112" i="23" s="1"/>
  <c r="C112" i="23"/>
  <c r="G111" i="23" s="1"/>
  <c r="C111" i="23"/>
  <c r="G110" i="23" s="1"/>
  <c r="C110" i="23"/>
  <c r="G109" i="23" s="1"/>
  <c r="C109" i="23"/>
  <c r="G108" i="23" s="1"/>
  <c r="C92" i="23"/>
  <c r="C91" i="23"/>
  <c r="C90" i="23"/>
  <c r="C89" i="23"/>
  <c r="C88" i="23"/>
  <c r="C87" i="23"/>
  <c r="C86" i="23"/>
  <c r="C85" i="23"/>
  <c r="C84" i="23"/>
  <c r="C83" i="23"/>
  <c r="C82" i="23"/>
  <c r="C81" i="23"/>
  <c r="AA21" i="24"/>
  <c r="Z21" i="24"/>
  <c r="Y21" i="24"/>
  <c r="X21" i="24"/>
  <c r="W21" i="24"/>
  <c r="V21" i="24"/>
  <c r="U21" i="24"/>
  <c r="T21" i="24"/>
  <c r="S21" i="24"/>
  <c r="Q21" i="24"/>
  <c r="P21" i="24"/>
  <c r="O21" i="24"/>
  <c r="N21" i="24"/>
  <c r="K21" i="24"/>
  <c r="J21" i="24"/>
  <c r="I21" i="24"/>
  <c r="H21" i="24"/>
  <c r="G21" i="24"/>
  <c r="F21" i="24"/>
  <c r="E21" i="24"/>
  <c r="D21" i="24"/>
  <c r="C21" i="24"/>
  <c r="R20" i="24"/>
  <c r="R19" i="24"/>
  <c r="R18" i="24"/>
  <c r="AA17" i="24"/>
  <c r="Z17" i="24"/>
  <c r="Y17" i="24"/>
  <c r="X17" i="24"/>
  <c r="W17" i="24"/>
  <c r="V17" i="24"/>
  <c r="U17" i="24"/>
  <c r="T17" i="24"/>
  <c r="S17" i="24"/>
  <c r="Q17" i="24"/>
  <c r="P17" i="24"/>
  <c r="O17" i="24"/>
  <c r="N17" i="24"/>
  <c r="K17" i="24"/>
  <c r="J17" i="24"/>
  <c r="I17" i="24"/>
  <c r="H17" i="24"/>
  <c r="G17" i="24"/>
  <c r="F17" i="24"/>
  <c r="E17" i="24"/>
  <c r="D17" i="24"/>
  <c r="C17" i="24"/>
  <c r="R16" i="24"/>
  <c r="AE16" i="24" s="1"/>
  <c r="R15" i="24"/>
  <c r="R14" i="24"/>
  <c r="AE14" i="24" s="1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K13" i="24"/>
  <c r="J13" i="24"/>
  <c r="I13" i="24"/>
  <c r="H13" i="24"/>
  <c r="G13" i="24"/>
  <c r="F13" i="24"/>
  <c r="E13" i="24"/>
  <c r="D13" i="24"/>
  <c r="C13" i="24"/>
  <c r="AA9" i="24"/>
  <c r="Z9" i="24"/>
  <c r="Y9" i="24"/>
  <c r="X9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G22" i="21" l="1"/>
  <c r="P20" i="21"/>
  <c r="G36" i="21"/>
  <c r="P34" i="21"/>
  <c r="AF12" i="25"/>
  <c r="AJ12" i="25"/>
  <c r="AO12" i="25"/>
  <c r="AS12" i="25"/>
  <c r="BA12" i="25"/>
  <c r="BE12" i="25"/>
  <c r="AK12" i="25"/>
  <c r="S28" i="20"/>
  <c r="C39" i="20"/>
  <c r="K39" i="20"/>
  <c r="S39" i="20"/>
  <c r="AA39" i="20"/>
  <c r="D39" i="20"/>
  <c r="H39" i="20"/>
  <c r="L39" i="20"/>
  <c r="P39" i="20"/>
  <c r="T39" i="20"/>
  <c r="X39" i="20"/>
  <c r="O28" i="20"/>
  <c r="W28" i="20"/>
  <c r="AA28" i="20"/>
  <c r="E28" i="20"/>
  <c r="M28" i="20"/>
  <c r="U28" i="20"/>
  <c r="C28" i="20"/>
  <c r="G28" i="20"/>
  <c r="K28" i="20"/>
  <c r="Q28" i="20"/>
  <c r="D28" i="20"/>
  <c r="H28" i="20"/>
  <c r="L28" i="20"/>
  <c r="P28" i="20"/>
  <c r="T28" i="20"/>
  <c r="X28" i="20"/>
  <c r="E39" i="20"/>
  <c r="M39" i="20"/>
  <c r="U39" i="20"/>
  <c r="Y28" i="20"/>
  <c r="F39" i="20"/>
  <c r="J39" i="20"/>
  <c r="N39" i="20"/>
  <c r="R39" i="20"/>
  <c r="V39" i="20"/>
  <c r="Z39" i="20"/>
  <c r="G39" i="20"/>
  <c r="O39" i="20"/>
  <c r="W39" i="20"/>
  <c r="I28" i="20"/>
  <c r="AE35" i="21"/>
  <c r="AF35" i="21"/>
  <c r="B28" i="20"/>
  <c r="F28" i="20"/>
  <c r="J28" i="20"/>
  <c r="N28" i="20"/>
  <c r="R28" i="20"/>
  <c r="V28" i="20"/>
  <c r="Z28" i="20"/>
  <c r="I39" i="20"/>
  <c r="Q39" i="20"/>
  <c r="Y39" i="20"/>
  <c r="AI29" i="25"/>
  <c r="AQ29" i="25"/>
  <c r="AY29" i="25"/>
  <c r="W15" i="107"/>
  <c r="AG12" i="25"/>
  <c r="G151" i="26"/>
  <c r="AW12" i="25"/>
  <c r="AI12" i="25"/>
  <c r="AM12" i="25"/>
  <c r="AQ12" i="25"/>
  <c r="AU12" i="25"/>
  <c r="AY12" i="25"/>
  <c r="BC12" i="25"/>
  <c r="S24" i="13"/>
  <c r="N6" i="21"/>
  <c r="E22" i="21"/>
  <c r="AF16" i="24"/>
  <c r="AF19" i="24"/>
  <c r="AE19" i="24"/>
  <c r="AF20" i="24"/>
  <c r="AE20" i="24"/>
  <c r="AF14" i="24"/>
  <c r="AF6" i="24"/>
  <c r="AE6" i="24"/>
  <c r="AE9" i="24"/>
  <c r="AF9" i="24"/>
  <c r="AE13" i="24"/>
  <c r="AF13" i="24"/>
  <c r="AF15" i="24"/>
  <c r="AE15" i="24"/>
  <c r="AE18" i="24"/>
  <c r="AF18" i="24"/>
  <c r="AR29" i="25"/>
  <c r="BD29" i="25"/>
  <c r="AN12" i="25"/>
  <c r="AR12" i="25"/>
  <c r="AV12" i="25"/>
  <c r="AZ12" i="25"/>
  <c r="BD12" i="25"/>
  <c r="AG29" i="25"/>
  <c r="AK29" i="25"/>
  <c r="AO29" i="25"/>
  <c r="AS29" i="25"/>
  <c r="AW29" i="25"/>
  <c r="BA29" i="25"/>
  <c r="BE29" i="25"/>
  <c r="AU29" i="25"/>
  <c r="AN29" i="25"/>
  <c r="AZ29" i="25"/>
  <c r="AH29" i="25"/>
  <c r="AL29" i="25"/>
  <c r="AP29" i="25"/>
  <c r="AT29" i="25"/>
  <c r="AX29" i="25"/>
  <c r="BB29" i="25"/>
  <c r="AJ29" i="25"/>
  <c r="AV29" i="25"/>
  <c r="AH12" i="25"/>
  <c r="AL12" i="25"/>
  <c r="AP12" i="25"/>
  <c r="AT12" i="25"/>
  <c r="AX12" i="25"/>
  <c r="BB12" i="25"/>
  <c r="AM29" i="25"/>
  <c r="BC29" i="25"/>
  <c r="R38" i="13"/>
  <c r="R39" i="13"/>
  <c r="R51" i="13"/>
  <c r="R52" i="13"/>
  <c r="S39" i="13"/>
  <c r="S38" i="13"/>
  <c r="S51" i="13"/>
  <c r="S52" i="13"/>
  <c r="Q38" i="13"/>
  <c r="Q39" i="13"/>
  <c r="Q51" i="13"/>
  <c r="Q52" i="13"/>
  <c r="G55" i="90"/>
  <c r="K24" i="26"/>
  <c r="AF7" i="107"/>
  <c r="AE20" i="107"/>
  <c r="AK18" i="107" s="1"/>
  <c r="AH19" i="107"/>
  <c r="AL17" i="107" s="1"/>
  <c r="AE17" i="107"/>
  <c r="AK15" i="107" s="1"/>
  <c r="AH16" i="107"/>
  <c r="AL14" i="107" s="1"/>
  <c r="N26" i="26"/>
  <c r="F24" i="26"/>
  <c r="K20" i="71"/>
  <c r="K16" i="71"/>
  <c r="K17" i="71"/>
  <c r="K21" i="71"/>
  <c r="U17" i="72"/>
  <c r="S49" i="8"/>
  <c r="S50" i="8"/>
  <c r="S37" i="8"/>
  <c r="S38" i="8"/>
  <c r="S37" i="1"/>
  <c r="S23" i="8"/>
  <c r="S22" i="8"/>
  <c r="S51" i="7"/>
  <c r="S50" i="7"/>
  <c r="S38" i="7"/>
  <c r="S39" i="7"/>
  <c r="S24" i="7"/>
  <c r="S23" i="7"/>
  <c r="S50" i="1"/>
  <c r="S49" i="1"/>
  <c r="S38" i="1"/>
  <c r="S23" i="1"/>
  <c r="S22" i="1"/>
  <c r="R37" i="8"/>
  <c r="Q37" i="8"/>
  <c r="Q23" i="8"/>
  <c r="Q22" i="8"/>
  <c r="R23" i="8"/>
  <c r="R22" i="8"/>
  <c r="R50" i="7"/>
  <c r="Q50" i="7"/>
  <c r="R38" i="7"/>
  <c r="R24" i="7"/>
  <c r="Q23" i="7"/>
  <c r="R23" i="7"/>
  <c r="Q24" i="7"/>
  <c r="R49" i="1"/>
  <c r="Q23" i="1"/>
  <c r="R23" i="1"/>
  <c r="R22" i="1"/>
  <c r="Q22" i="1"/>
  <c r="R49" i="8"/>
  <c r="R50" i="8"/>
  <c r="Q50" i="8"/>
  <c r="Q49" i="8"/>
  <c r="Q38" i="8"/>
  <c r="R38" i="8"/>
  <c r="Q51" i="7"/>
  <c r="R51" i="7"/>
  <c r="R39" i="7"/>
  <c r="Q39" i="7"/>
  <c r="Q38" i="7"/>
  <c r="R50" i="1"/>
  <c r="Q49" i="1"/>
  <c r="Q50" i="1"/>
  <c r="R38" i="1"/>
  <c r="Q37" i="1"/>
  <c r="Q38" i="1"/>
  <c r="R37" i="1"/>
  <c r="Q24" i="13"/>
  <c r="J36" i="21"/>
  <c r="F36" i="21"/>
  <c r="H22" i="21"/>
  <c r="D22" i="21"/>
  <c r="L22" i="21"/>
  <c r="B22" i="21"/>
  <c r="F22" i="21"/>
  <c r="J22" i="21"/>
  <c r="N8" i="21"/>
  <c r="E34" i="21"/>
  <c r="I34" i="21"/>
  <c r="I36" i="21" s="1"/>
  <c r="M34" i="21"/>
  <c r="M36" i="21" s="1"/>
  <c r="N33" i="21"/>
  <c r="AE30" i="21" s="1"/>
  <c r="AH30" i="21" s="1"/>
  <c r="AI30" i="21" s="1"/>
  <c r="N32" i="21"/>
  <c r="AE29" i="21" s="1"/>
  <c r="N19" i="21"/>
  <c r="N20" i="21" s="1"/>
  <c r="J19" i="14"/>
  <c r="I19" i="14"/>
  <c r="H19" i="14"/>
  <c r="R13" i="14"/>
  <c r="S11" i="3"/>
  <c r="Q11" i="3"/>
  <c r="R11" i="3"/>
  <c r="R11" i="34"/>
  <c r="S11" i="34"/>
  <c r="F54" i="90"/>
  <c r="G59" i="90"/>
  <c r="F58" i="90"/>
  <c r="G51" i="90"/>
  <c r="E64" i="90"/>
  <c r="G50" i="90"/>
  <c r="T6" i="90"/>
  <c r="F49" i="90"/>
  <c r="F53" i="90"/>
  <c r="F57" i="90"/>
  <c r="E65" i="90"/>
  <c r="G49" i="90"/>
  <c r="F52" i="90"/>
  <c r="F56" i="90"/>
  <c r="F60" i="90"/>
  <c r="M21" i="71"/>
  <c r="M17" i="71"/>
  <c r="M20" i="71"/>
  <c r="M16" i="71"/>
  <c r="L21" i="71"/>
  <c r="L17" i="71"/>
  <c r="L16" i="71"/>
  <c r="L20" i="71"/>
  <c r="J21" i="71"/>
  <c r="N12" i="71"/>
  <c r="N13" i="71"/>
  <c r="J24" i="26"/>
  <c r="R21" i="24"/>
  <c r="AE21" i="24" s="1"/>
  <c r="R17" i="24"/>
  <c r="AE17" i="24" s="1"/>
  <c r="X21" i="26"/>
  <c r="C24" i="26"/>
  <c r="H24" i="26"/>
  <c r="L24" i="26"/>
  <c r="E24" i="26"/>
  <c r="I24" i="26"/>
  <c r="M24" i="26"/>
  <c r="B24" i="26"/>
  <c r="N22" i="26"/>
  <c r="D24" i="26"/>
  <c r="N25" i="26"/>
  <c r="N11" i="26"/>
  <c r="G16" i="26"/>
  <c r="G23" i="26" s="1"/>
  <c r="AF9" i="107"/>
  <c r="AE21" i="107"/>
  <c r="AK19" i="107" s="1"/>
  <c r="AH17" i="107"/>
  <c r="AL15" i="107" s="1"/>
  <c r="AH20" i="107"/>
  <c r="AL18" i="107" s="1"/>
  <c r="AE16" i="107"/>
  <c r="AK14" i="107" s="1"/>
  <c r="AH18" i="107"/>
  <c r="AL16" i="107" s="1"/>
  <c r="AE18" i="107"/>
  <c r="AK16" i="107" s="1"/>
  <c r="AE19" i="107"/>
  <c r="AK17" i="107" s="1"/>
  <c r="AH21" i="107"/>
  <c r="AL19" i="107" s="1"/>
  <c r="AF10" i="107"/>
  <c r="AF8" i="107"/>
  <c r="AF6" i="107"/>
  <c r="N20" i="71" l="1"/>
  <c r="AH29" i="21"/>
  <c r="AI29" i="21" s="1"/>
  <c r="AE31" i="21"/>
  <c r="AF35" i="107"/>
  <c r="P21" i="21"/>
  <c r="N34" i="21"/>
  <c r="E36" i="21"/>
  <c r="N36" i="21" s="1"/>
  <c r="N22" i="21"/>
  <c r="AF21" i="24"/>
  <c r="AF17" i="24"/>
  <c r="N17" i="71"/>
  <c r="F67" i="90"/>
  <c r="G65" i="90"/>
  <c r="F64" i="90"/>
  <c r="AF37" i="107"/>
  <c r="AF30" i="107"/>
  <c r="AF32" i="107"/>
  <c r="AF41" i="107"/>
  <c r="AF43" i="107"/>
  <c r="F68" i="90"/>
  <c r="G68" i="90"/>
  <c r="G64" i="90"/>
  <c r="F65" i="90"/>
  <c r="G67" i="90"/>
  <c r="N21" i="71"/>
  <c r="N16" i="71"/>
  <c r="N23" i="26"/>
  <c r="G24" i="26"/>
  <c r="N24" i="26" s="1"/>
  <c r="P23" i="26" s="1"/>
  <c r="P24" i="26" l="1"/>
  <c r="P32" i="21"/>
  <c r="AE33" i="21"/>
  <c r="AC3" i="21"/>
  <c r="AG31" i="21"/>
  <c r="AG30" i="21"/>
  <c r="AG29" i="21"/>
  <c r="AH31" i="21"/>
  <c r="AI31" i="21" s="1"/>
  <c r="P35" i="21"/>
</calcChain>
</file>

<file path=xl/sharedStrings.xml><?xml version="1.0" encoding="utf-8"?>
<sst xmlns="http://schemas.openxmlformats.org/spreadsheetml/2006/main" count="8999" uniqueCount="1821">
  <si>
    <t>Chlorophyll a and Secchi</t>
  </si>
  <si>
    <t>Chlorophyll, ug/L</t>
  </si>
  <si>
    <t>SITE</t>
  </si>
  <si>
    <t>Bear Creek Reservoir Monitoring Program</t>
  </si>
  <si>
    <t>Secchi Depth, m</t>
  </si>
  <si>
    <t>Notes</t>
  </si>
  <si>
    <t xml:space="preserve"> Reservoir</t>
  </si>
  <si>
    <t>Peak Chlorophyll-a [ug/l]</t>
  </si>
  <si>
    <t>Parameter</t>
  </si>
  <si>
    <t>Site</t>
  </si>
  <si>
    <t>Chlorophyll-a (ug/L)</t>
  </si>
  <si>
    <t>Nitrate-Nitrogen (ug/L)</t>
  </si>
  <si>
    <t xml:space="preserve">Total Phosphorus (ug/L) </t>
  </si>
  <si>
    <t>Total Suspended Solids (mg/L)</t>
  </si>
  <si>
    <t>Secchi Depth (m)</t>
  </si>
  <si>
    <t>Average</t>
  </si>
  <si>
    <t>Reservoir Average</t>
  </si>
  <si>
    <t>Turkey Creek Inflow</t>
  </si>
  <si>
    <t>Bear Creek Inflow</t>
  </si>
  <si>
    <t>Bear Creek Outflow</t>
  </si>
  <si>
    <t>Lower Bear Creek</t>
  </si>
  <si>
    <t>Total Inflow</t>
  </si>
  <si>
    <t>Reservoir Top</t>
  </si>
  <si>
    <t>Reservoir Middle</t>
  </si>
  <si>
    <t>Reservoir Bottom</t>
  </si>
  <si>
    <t>Secchi</t>
  </si>
  <si>
    <t>Reservoir Outflow</t>
  </si>
  <si>
    <t>TP</t>
  </si>
  <si>
    <t>TN</t>
  </si>
  <si>
    <t>Chl</t>
  </si>
  <si>
    <t>Chl-peak</t>
  </si>
  <si>
    <t>Seasonal Means</t>
  </si>
  <si>
    <t>XSD</t>
  </si>
  <si>
    <t>XCA</t>
  </si>
  <si>
    <t>XTP</t>
  </si>
  <si>
    <t>Annual Means</t>
  </si>
  <si>
    <t>Carlson's Annual</t>
  </si>
  <si>
    <t xml:space="preserve">Carlson's Seasonal </t>
  </si>
  <si>
    <t>lca</t>
  </si>
  <si>
    <t>ltp</t>
  </si>
  <si>
    <t>lsd</t>
  </si>
  <si>
    <t>lw</t>
  </si>
  <si>
    <t>hyper</t>
  </si>
  <si>
    <t>eu</t>
  </si>
  <si>
    <t>Walker Model - Annual Averages</t>
  </si>
  <si>
    <t>Walker Model - Seasonal Averages</t>
  </si>
  <si>
    <t>year</t>
  </si>
  <si>
    <t>Conc</t>
  </si>
  <si>
    <t xml:space="preserve">Year </t>
  </si>
  <si>
    <t>Nitrate-nitrogen ug/l</t>
  </si>
  <si>
    <t>Retained in Reservoir</t>
  </si>
  <si>
    <t>Average Inflow</t>
  </si>
  <si>
    <t>Retained In Reservoir</t>
  </si>
  <si>
    <t>Total Phosphorus Trends</t>
  </si>
  <si>
    <t>Value</t>
  </si>
  <si>
    <t>25-30</t>
  </si>
  <si>
    <t>Oligotrophic-Mesotropic</t>
  </si>
  <si>
    <t>45-50</t>
  </si>
  <si>
    <t>Mesotrophic-Eutrophic</t>
  </si>
  <si>
    <t>65-70</t>
  </si>
  <si>
    <t>Eutrophic-Hypereutrophic</t>
  </si>
  <si>
    <t>Carlson</t>
  </si>
  <si>
    <t>40-50</t>
  </si>
  <si>
    <t>Total Phosphorus (ug/l)</t>
  </si>
  <si>
    <t>Total Phosphorus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</si>
  <si>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</si>
  <si>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</si>
  <si>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</si>
  <si>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</si>
  <si>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</si>
  <si>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</si>
  <si>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</si>
  <si>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</si>
  <si>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</si>
  <si>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</si>
  <si>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</si>
  <si>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</si>
  <si>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Peak</t>
  </si>
  <si>
    <t>&gt;70</t>
  </si>
  <si>
    <t>Hypereutrophic</t>
  </si>
  <si>
    <t>Days</t>
  </si>
  <si>
    <t>Ac-ft/month Bear Creek Reservoir</t>
  </si>
  <si>
    <t>Annual ac-ft/yr</t>
  </si>
  <si>
    <t>Annual Mean</t>
  </si>
  <si>
    <t>Total Load</t>
  </si>
  <si>
    <t>Annual Average</t>
  </si>
  <si>
    <t>Seasonal Mean</t>
  </si>
  <si>
    <t>Annual Reservoir Average</t>
  </si>
  <si>
    <t>Seasonal Reservoir Average</t>
  </si>
  <si>
    <t>Estimated Monthly Flow (ac-ft) At Stations</t>
  </si>
  <si>
    <t>Year</t>
  </si>
  <si>
    <t>50-65</t>
  </si>
  <si>
    <t>Eutrophic</t>
  </si>
  <si>
    <t>30-45</t>
  </si>
  <si>
    <t>Mesotrophic</t>
  </si>
  <si>
    <t>Eu-hyp</t>
  </si>
  <si>
    <t>Hyp</t>
  </si>
  <si>
    <t>Eu</t>
  </si>
  <si>
    <t>Transition State</t>
  </si>
  <si>
    <t>Reservoir Annual Average Concentrations</t>
  </si>
  <si>
    <t>Water Column</t>
  </si>
  <si>
    <t>Top</t>
  </si>
  <si>
    <t>Mid</t>
  </si>
  <si>
    <t>Seasonal Average</t>
  </si>
  <si>
    <t>Sechhi</t>
  </si>
  <si>
    <t>TSI Index</t>
  </si>
  <si>
    <t>Chlorophyll-a</t>
  </si>
  <si>
    <t>Total Phosphorus Pounds</t>
  </si>
  <si>
    <t xml:space="preserve">Bear Creek </t>
  </si>
  <si>
    <t xml:space="preserve">Turkey Creek </t>
  </si>
  <si>
    <t>Bear Creek</t>
  </si>
  <si>
    <t>Average arce-ft/day</t>
  </si>
  <si>
    <t>Chlorophyll</t>
  </si>
  <si>
    <t>Index (f)</t>
  </si>
  <si>
    <t>Secchi (ft)</t>
  </si>
  <si>
    <t>Annual Reservoir</t>
  </si>
  <si>
    <t>Seasonal Reservoir</t>
  </si>
  <si>
    <t>Phosphorus</t>
  </si>
  <si>
    <t xml:space="preserve">Phytoplankton Species </t>
  </si>
  <si>
    <t>ltn</t>
  </si>
  <si>
    <t>Bear Creek Lair O'Bear</t>
  </si>
  <si>
    <t>Jefferson County, Colorado</t>
  </si>
  <si>
    <t>Hydrologic Unit Code 10190002</t>
  </si>
  <si>
    <t>Latitude  39°39'08", Longitude 105°10'23" NAD27</t>
  </si>
  <si>
    <t>Drainage area 176  square miles</t>
  </si>
  <si>
    <t>Contributing drainage area 176  square miles</t>
  </si>
  <si>
    <t>Gage datum 5,645.00 feet above sea level NGVD29</t>
  </si>
  <si>
    <t>Association Annual ac-ft/yr</t>
  </si>
  <si>
    <t>0-25</t>
  </si>
  <si>
    <t>Oligotrophic</t>
  </si>
  <si>
    <t>Oligotrophic-Mesotrophic</t>
  </si>
  <si>
    <t>65+</t>
  </si>
  <si>
    <t>Walker TI</t>
  </si>
  <si>
    <t>Date</t>
  </si>
  <si>
    <t>Average Annual Sechhi Depth (meters)</t>
  </si>
  <si>
    <t>Time</t>
  </si>
  <si>
    <t>SC</t>
  </si>
  <si>
    <t>DO</t>
  </si>
  <si>
    <t>Temp</t>
  </si>
  <si>
    <t>pH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</si>
  <si>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</si>
  <si>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</si>
  <si>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</si>
  <si>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</si>
  <si>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</si>
  <si>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</si>
  <si>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</si>
  <si>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</si>
  <si>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</si>
  <si>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Secchi m</t>
  </si>
  <si>
    <t>Width (feet)</t>
  </si>
  <si>
    <t>Distance</t>
  </si>
  <si>
    <t>Depth</t>
  </si>
  <si>
    <t>Vel Ave Ft/sec</t>
  </si>
  <si>
    <t>Area</t>
  </si>
  <si>
    <t>Discharge,cfs</t>
  </si>
  <si>
    <t>cfs</t>
  </si>
  <si>
    <t>T Depth m</t>
  </si>
  <si>
    <t>Coyote Gulch Upper</t>
  </si>
  <si>
    <t>Coyote Gulch Lower</t>
  </si>
  <si>
    <t>Phosphorus, total</t>
  </si>
  <si>
    <t>Chlorophyll a</t>
  </si>
  <si>
    <t>Parameter (ug/l)</t>
  </si>
  <si>
    <t>Bear Creek Laboratory Monitoring Data</t>
  </si>
  <si>
    <t xml:space="preserve">Residue, Non-Filterable (TSS) </t>
  </si>
  <si>
    <t>Nitrate/Nitrite as N, dissolved</t>
  </si>
  <si>
    <t>Site 5</t>
  </si>
  <si>
    <t>10m</t>
  </si>
  <si>
    <t>11m</t>
  </si>
  <si>
    <t>BCReservoir</t>
  </si>
  <si>
    <t>Reservoir Profiles</t>
  </si>
  <si>
    <t>date:</t>
  </si>
  <si>
    <t>TCIn; 16a</t>
  </si>
  <si>
    <t>BCIn; 15a</t>
  </si>
  <si>
    <t>LBCout; 45</t>
  </si>
  <si>
    <t>40a/40c</t>
  </si>
  <si>
    <t>Site 41 (1)</t>
  </si>
  <si>
    <t>Site 42 (3)</t>
  </si>
  <si>
    <t>Site 43 (4)</t>
  </si>
  <si>
    <t>Site 44 (5)</t>
  </si>
  <si>
    <t xml:space="preserve">Total Nitrogen </t>
  </si>
  <si>
    <t>Total Nitrogen</t>
  </si>
  <si>
    <t>Total Phosphorus, ug/l</t>
  </si>
  <si>
    <t>Water Year</t>
  </si>
  <si>
    <t>Total Turkey Creek Inflow (Acre-Ft/Year)</t>
  </si>
  <si>
    <t>00060, Discharge, cubic feet per second</t>
  </si>
  <si>
    <t>Total Reservoir Inflow (Acre-Ft/Year)</t>
  </si>
  <si>
    <t>Bear Creek Inflow, Site 15a</t>
  </si>
  <si>
    <t>Turkey Creek Inflow, Site 16a</t>
  </si>
  <si>
    <t>Lower Bear Creek Outflow, Site 45</t>
  </si>
  <si>
    <t>Reservoir Sites</t>
  </si>
  <si>
    <t>Reservoir Site 40</t>
  </si>
  <si>
    <t>9.0 (13.0)</t>
  </si>
  <si>
    <t>23.3 (23.8)</t>
  </si>
  <si>
    <t>Standard</t>
  </si>
  <si>
    <t>site 40</t>
  </si>
  <si>
    <t>Site 41</t>
  </si>
  <si>
    <t>Site 42</t>
  </si>
  <si>
    <t>S(Apr-Dec)</t>
  </si>
  <si>
    <t>S(Jan-Mar)</t>
  </si>
  <si>
    <t>Profile Average (mg/l)</t>
  </si>
  <si>
    <t>Total Depth Profile (m)</t>
  </si>
  <si>
    <t>Site 36</t>
  </si>
  <si>
    <t>Site 37</t>
  </si>
  <si>
    <t>Site 8a</t>
  </si>
  <si>
    <t>Site 9</t>
  </si>
  <si>
    <t>Site 12</t>
  </si>
  <si>
    <t>Site 13a</t>
  </si>
  <si>
    <t>Site 14a</t>
  </si>
  <si>
    <t>Site 18</t>
  </si>
  <si>
    <t>Site 19</t>
  </si>
  <si>
    <t>Site 25</t>
  </si>
  <si>
    <t>Site 35</t>
  </si>
  <si>
    <t>Site 50</t>
  </si>
  <si>
    <t xml:space="preserve">Site ID </t>
  </si>
  <si>
    <t>Site Location by Stream Segment</t>
  </si>
  <si>
    <t>Segment 1a</t>
  </si>
  <si>
    <t>Site 3a</t>
  </si>
  <si>
    <t>Above Evergreen Lake at CDOW Site</t>
  </si>
  <si>
    <t>Segment 1e</t>
  </si>
  <si>
    <t>Bear Creek Cabins at CDOW Site</t>
  </si>
  <si>
    <t>O'Fallon Park, west end at CDOW Site</t>
  </si>
  <si>
    <t>Lair o' the Bear Park, at CDOW site</t>
  </si>
  <si>
    <t>Below Idledale, Shady Lane at CDOW site</t>
  </si>
  <si>
    <t>Segment 3</t>
  </si>
  <si>
    <t>Vance Creek (Mt. Evans Wilderness drainage)</t>
  </si>
  <si>
    <t>Segment 5</t>
  </si>
  <si>
    <t>Cub Creek, Upstream of Cub Creek Park</t>
  </si>
  <si>
    <t>Segment 6a</t>
  </si>
  <si>
    <t>North Turkey Creek Flying J Ranch Bridge</t>
  </si>
  <si>
    <t>T Phos Ug/l</t>
  </si>
  <si>
    <t>TN Ug/l</t>
  </si>
  <si>
    <t>Above EMD WWTP, CDOW downtown site</t>
  </si>
  <si>
    <t>Morrison Park west, CDOW Site</t>
  </si>
  <si>
    <t>DO(mg/l)</t>
  </si>
  <si>
    <t>Location</t>
  </si>
  <si>
    <t>Segment</t>
  </si>
  <si>
    <t xml:space="preserve"> Bear Creek Reservoir Monitoring Program</t>
  </si>
  <si>
    <t>Bottom</t>
  </si>
  <si>
    <t>1/2m</t>
  </si>
  <si>
    <t>1 1/2m</t>
  </si>
  <si>
    <t>2 1/2m</t>
  </si>
  <si>
    <t>3 1/2m</t>
  </si>
  <si>
    <t xml:space="preserve"> BEAR CREEK ABOVE BEAR CREEK LAKE NEAR MORRISON, CO</t>
  </si>
  <si>
    <r>
      <t xml:space="preserve">Temperature, 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>C</t>
    </r>
  </si>
  <si>
    <t xml:space="preserve">Annual </t>
  </si>
  <si>
    <t>Temp 1/2-2m</t>
  </si>
  <si>
    <t>Average1/2-2m (mg/l)</t>
  </si>
  <si>
    <t>Total Nitrogen (ug/l)</t>
  </si>
  <si>
    <t xml:space="preserve">Bear Creek Cabins </t>
  </si>
  <si>
    <t>Flow (cfs)</t>
  </si>
  <si>
    <t>Dissolved Oxygen (mg/l)</t>
  </si>
  <si>
    <t>Site 4 Evergreen Lake</t>
  </si>
  <si>
    <t>DO1/2-2m</t>
  </si>
  <si>
    <t>pH wc</t>
  </si>
  <si>
    <t>SC wc</t>
  </si>
  <si>
    <t xml:space="preserve">Vel Ave </t>
  </si>
  <si>
    <t>Width</t>
  </si>
  <si>
    <t>Samplers</t>
  </si>
  <si>
    <t>Weather</t>
  </si>
  <si>
    <t>July</t>
  </si>
  <si>
    <t>August</t>
  </si>
  <si>
    <t>x</t>
  </si>
  <si>
    <t>MAX</t>
  </si>
  <si>
    <t>MIN</t>
  </si>
  <si>
    <t>avg</t>
  </si>
  <si>
    <t>June</t>
  </si>
  <si>
    <t>Ammonia</t>
  </si>
  <si>
    <t xml:space="preserve">Median </t>
  </si>
  <si>
    <t>Average Total Nitrogen [ug/l]: -1m</t>
  </si>
  <si>
    <t>Average Total Nitrogen [ug/l]: -10m</t>
  </si>
  <si>
    <t>Peak Annual Total Phosphorus [ug/l] Water Column</t>
  </si>
  <si>
    <t>Total Nitrogen Pounds</t>
  </si>
  <si>
    <t>Average Annual Total Nitrogen [ug/l]: Water Column</t>
  </si>
  <si>
    <t>Growing Season Total Phosphorus [ug/l]: -1m</t>
  </si>
  <si>
    <t>Growing Season Total Phosphorus [ug/l]: -10m</t>
  </si>
  <si>
    <t>Average Annual Total Phosphorus [ug/l] -1m</t>
  </si>
  <si>
    <t>Average Annual Total Phosphorus [ug/l] -10m</t>
  </si>
  <si>
    <t>Growing Season Total Phosphorus [ug/l]: Water Column</t>
  </si>
  <si>
    <t>Average Annual Total Phosphorus [ug/l]: Water Column</t>
  </si>
  <si>
    <t>Average Growing Season Chlorophyll-a [ug/l (-1m)]</t>
  </si>
  <si>
    <t>Average Annual Chlorophyll-a [ug/l (-1m)]</t>
  </si>
  <si>
    <t>Reservoir Growing Season July to September</t>
  </si>
  <si>
    <t>Growing Season Total Nitrogen [ug/l]: Water Column</t>
  </si>
  <si>
    <t>Growing Season Total Nitrogen [ug/l]: -1m</t>
  </si>
  <si>
    <t>Growing Season Total Nitrogen [ug/l]: -10m</t>
  </si>
  <si>
    <t>Growing Season Average Secchi Depth (meters)</t>
  </si>
  <si>
    <t>Temperature C</t>
  </si>
  <si>
    <t>Specific Conductance ms/cm</t>
  </si>
  <si>
    <t>Dissolved Oxygen mg/l</t>
  </si>
  <si>
    <t>Site 63 Bottom Plume</t>
  </si>
  <si>
    <t>Site 2a</t>
  </si>
  <si>
    <t>Site 58</t>
  </si>
  <si>
    <t>South Turkey Creek Myers Ranch</t>
  </si>
  <si>
    <t>Site 37 Bear Creek</t>
  </si>
  <si>
    <t>Site 40 Central Pool</t>
  </si>
  <si>
    <t>Site 41- BC Outlet</t>
  </si>
  <si>
    <t>Site 42 - South Dam</t>
  </si>
  <si>
    <t>Dissolved Oxygen, mg/l</t>
  </si>
  <si>
    <t>36 - Outlet Summit Lake</t>
  </si>
  <si>
    <t>37 - Upper Bear Creek</t>
  </si>
  <si>
    <t>16a-Turkey Creek Inflow</t>
  </si>
  <si>
    <t>15a-Bear Creek Inflow</t>
  </si>
  <si>
    <t>45-Bear Creek Discharge</t>
  </si>
  <si>
    <t>Average (m)</t>
  </si>
  <si>
    <t>Average 1/2-2m</t>
  </si>
  <si>
    <t>Profile Average</t>
  </si>
  <si>
    <t>Discharge V avg A</t>
  </si>
  <si>
    <t>BCR Average 1/2-2m</t>
  </si>
  <si>
    <t>BCR Site 40 Profile Average</t>
  </si>
  <si>
    <t>Site 15a-Bear Creek Inflow</t>
  </si>
  <si>
    <t>Site 16a-Turkey Creek Inflow</t>
  </si>
  <si>
    <t>Site 45-Reservoir Discharge</t>
  </si>
  <si>
    <t>Site 40a-Reservoir - Top</t>
  </si>
  <si>
    <t>Site 40c-Reservoir - Lower</t>
  </si>
  <si>
    <t>BCR Water Column Average TN</t>
  </si>
  <si>
    <t>Golden Willow Road UBC</t>
  </si>
  <si>
    <t>Reservoir - Top (TP)</t>
  </si>
  <si>
    <t>BCR Water Column Average TP</t>
  </si>
  <si>
    <t>Reservoir - Lower (TP)</t>
  </si>
  <si>
    <t>Est Periphyton Coverage %</t>
  </si>
  <si>
    <t>Water Clarity</t>
  </si>
  <si>
    <t>Chemistry</t>
  </si>
  <si>
    <t>R</t>
  </si>
  <si>
    <t>Golden Willow Bridge</t>
  </si>
  <si>
    <t>Site 15a</t>
  </si>
  <si>
    <t> x</t>
  </si>
  <si>
    <t>Segment 1c</t>
  </si>
  <si>
    <t xml:space="preserve">R </t>
  </si>
  <si>
    <t>Below Idledale, Shady Lane CDOW site</t>
  </si>
  <si>
    <t>x </t>
  </si>
  <si>
    <t>Site 45</t>
  </si>
  <si>
    <t>Site 47a</t>
  </si>
  <si>
    <t>Upper Coyote Gulch</t>
  </si>
  <si>
    <t>Site 47b</t>
  </si>
  <si>
    <t>Lower Coyote Gulch,  reservoir</t>
  </si>
  <si>
    <t>Cub Creek, Upstream Cub Creek Park</t>
  </si>
  <si>
    <t>Cub Creek @ Brookforest Inn</t>
  </si>
  <si>
    <t>Site 16a</t>
  </si>
  <si>
    <t>Summit Lake (Segment 8)</t>
  </si>
  <si>
    <t>Bear Creek Mainstem (Segment 7)</t>
  </si>
  <si>
    <t>Field Data</t>
  </si>
  <si>
    <t>Laboratory Analyses</t>
  </si>
  <si>
    <t>Total Ammonia</t>
  </si>
  <si>
    <t>Temperature (field probe, 1/2-m intervals in central pool)</t>
  </si>
  <si>
    <t>Bear Creek within Bear Creek Park</t>
  </si>
  <si>
    <t>Manual Flows</t>
  </si>
  <si>
    <t>Reservoirs (BCR and Evergreen)</t>
  </si>
  <si>
    <t>USGS gauge</t>
  </si>
  <si>
    <t>Turkey Creek within Bear Creek Park</t>
  </si>
  <si>
    <t>site 42</t>
  </si>
  <si>
    <t>BCR, Outlet</t>
  </si>
  <si>
    <t>BCR South Dam</t>
  </si>
  <si>
    <t>Field Profile</t>
  </si>
  <si>
    <t>Temperature (discrete field probe )</t>
  </si>
  <si>
    <t>Macroinvertebrates</t>
  </si>
  <si>
    <t>E. coli, select sites</t>
  </si>
  <si>
    <t>BCR Phytoplankton (July, August, September only; six sample sets)</t>
  </si>
  <si>
    <t>Temperature  (continuous data loggers, 1/2-2m)</t>
  </si>
  <si>
    <t>Secchi Reading</t>
  </si>
  <si>
    <t>site 32</t>
  </si>
  <si>
    <t>Site 64</t>
  </si>
  <si>
    <t>Troublesome Mouth</t>
  </si>
  <si>
    <t>Troublesome at Culvert above West Jeff</t>
  </si>
  <si>
    <t>Mt Vernon Drainage, Morrison</t>
  </si>
  <si>
    <t>JCS Outdoor Lab</t>
  </si>
  <si>
    <t>Parameter (units)</t>
  </si>
  <si>
    <t>Physical/Field</t>
  </si>
  <si>
    <t>X</t>
  </si>
  <si>
    <t>Specific Conductance (umhos/cm)</t>
  </si>
  <si>
    <t>Secchi (meters)</t>
  </si>
  <si>
    <t>Temperature (C)</t>
  </si>
  <si>
    <t>Data Logger at site 40</t>
  </si>
  <si>
    <t>pH (standard unit)</t>
  </si>
  <si>
    <t>Chlorophyll a (ug/l)</t>
  </si>
  <si>
    <t>X (top, lower)</t>
  </si>
  <si>
    <t>Total Depth (m)</t>
  </si>
  <si>
    <t>Bottom Sediments BCR</t>
  </si>
  <si>
    <t>Total Phosphorus (mg/kg)</t>
  </si>
  <si>
    <t>% Organics ( TOC)</t>
  </si>
  <si>
    <t>% Clay-silt</t>
  </si>
  <si>
    <t>Daily average effluent discharge</t>
  </si>
  <si>
    <t>Total Inorganic Nitrogen (Calculation = NO2+NO3+NH4)</t>
  </si>
  <si>
    <t>Temperature  (continuous data loggers, Effluent)</t>
  </si>
  <si>
    <t>TDP</t>
  </si>
  <si>
    <t>Reference Site</t>
  </si>
  <si>
    <t xml:space="preserve">Data Logger </t>
  </si>
  <si>
    <t>Forest Hills Metro District</t>
  </si>
  <si>
    <t xml:space="preserve">Conifer Metro District </t>
  </si>
  <si>
    <t xml:space="preserve">JCS Conifer High School </t>
  </si>
  <si>
    <t>Site 40a-Reservoir - Top TP</t>
  </si>
  <si>
    <t>Site 40c-Reservoir - Lower TP</t>
  </si>
  <si>
    <t>E. coli cts/100ml</t>
  </si>
  <si>
    <t>Total Nitrogen ug/l</t>
  </si>
  <si>
    <t xml:space="preserve">Brookforest Inn </t>
  </si>
  <si>
    <t xml:space="preserve">Aspen Park Metro District </t>
  </si>
  <si>
    <t xml:space="preserve">GWSD </t>
  </si>
  <si>
    <t xml:space="preserve">KSWD </t>
  </si>
  <si>
    <t>Chlorophyll (Site 40)</t>
  </si>
  <si>
    <t>Clarity (All Profiles)</t>
  </si>
  <si>
    <t>Dissolved Oxygen (site 40 Profile)</t>
  </si>
  <si>
    <t>Annual Average at -1/2m - 2m [mg/l]</t>
  </si>
  <si>
    <t>Seasonal Minimum at -1/2 - 2m [mg/l]</t>
  </si>
  <si>
    <t>Seasonal Average at -1/2 - 2m [mg/l]</t>
  </si>
  <si>
    <t xml:space="preserve">Specific Conductance </t>
  </si>
  <si>
    <t>Annual Average at -1/2m - 2m [uS/cm]</t>
  </si>
  <si>
    <t>Seasonal Average at -1/2 - 2m [us/cm]</t>
  </si>
  <si>
    <t>Seasonal Minimum at -1/2 - 2m [us/cm]</t>
  </si>
  <si>
    <t>Total Outflow</t>
  </si>
  <si>
    <t>Site 45 Outflow BCR</t>
  </si>
  <si>
    <t>BCR Evaporation</t>
  </si>
  <si>
    <t>BCR Total Nitrogen Deposition</t>
  </si>
  <si>
    <t>BCR Total Phosphorus Deposition</t>
  </si>
  <si>
    <t>Total Nitrogen -Total Load In to BCR</t>
  </si>
  <si>
    <t>Total Nitrogen -Total Load From BCR</t>
  </si>
  <si>
    <t>Total Nitrogen -Total Deposition into BCR</t>
  </si>
  <si>
    <t>Total Phosphorus -Total Load In to BCR</t>
  </si>
  <si>
    <t>Total Phosphorus -Total Load From BCR</t>
  </si>
  <si>
    <t>Total Phosphorus -Total Deposition into BCR</t>
  </si>
  <si>
    <t>Loading - Annual Pounds</t>
  </si>
  <si>
    <t>Reservoir Monitoring Parameters</t>
  </si>
  <si>
    <t xml:space="preserve">Peak Phytoplankton </t>
  </si>
  <si>
    <t>47A Upper Coyote</t>
  </si>
  <si>
    <t>47B Lower Coyote</t>
  </si>
  <si>
    <t>*all preserved samples have an allowable holding time of 28 days</t>
  </si>
  <si>
    <t>Analyte</t>
  </si>
  <si>
    <t>Method</t>
  </si>
  <si>
    <t>Filtered (0.45 µm filter)</t>
  </si>
  <si>
    <t>Allowable Hold Time
(unpreserved samples)*</t>
  </si>
  <si>
    <t>No</t>
  </si>
  <si>
    <t>48 hours prior to digestion;
7 days prior to analysis</t>
  </si>
  <si>
    <t>Total Dissolved
Phosphorus</t>
  </si>
  <si>
    <t>Yes</t>
  </si>
  <si>
    <t>Nitrate + Nitrite</t>
  </si>
  <si>
    <t>48 hours</t>
  </si>
  <si>
    <t>24 hours</t>
  </si>
  <si>
    <t>Total Suspended
Solids</t>
  </si>
  <si>
    <t>Standard Methods 2540 D</t>
  </si>
  <si>
    <t>7 days before filtration, indefinitely after drying</t>
  </si>
  <si>
    <t>Hot Ethanol Extraction</t>
  </si>
  <si>
    <t>28 days</t>
  </si>
  <si>
    <t>Average % Recovery</t>
  </si>
  <si>
    <t>Number of Samples
Spiked</t>
  </si>
  <si>
    <t>Within Target Range</t>
  </si>
  <si>
    <t>Matrix spikes by analyte. Target recovery range is 80-120% recovery.</t>
  </si>
  <si>
    <t xml:space="preserve">Analyte </t>
  </si>
  <si>
    <t xml:space="preserve">Minimum Detection limit </t>
  </si>
  <si>
    <t xml:space="preserve">Total Phosphorus </t>
  </si>
  <si>
    <t xml:space="preserve">2 μg/L </t>
  </si>
  <si>
    <t>Nitrate+Nitrite</t>
  </si>
  <si>
    <t>3 ug/l</t>
  </si>
  <si>
    <t>2 ug/l</t>
  </si>
  <si>
    <t>4 mg/l</t>
  </si>
  <si>
    <t>0.1 ug/l</t>
  </si>
  <si>
    <t>All matrix spikes within target range of 80-120% recovery</t>
  </si>
  <si>
    <t>QA Requirement</t>
  </si>
  <si>
    <t>Note</t>
  </si>
  <si>
    <t>Chain of Custody received complete</t>
  </si>
  <si>
    <t>Samples received within holding times</t>
  </si>
  <si>
    <t>Samples at correct temperature (1-8ºC)</t>
  </si>
  <si>
    <t>QA/QC Standards within acceptable 10% difference</t>
  </si>
  <si>
    <t>Duplicate samples within acceptable 10% difference</t>
  </si>
  <si>
    <t>Morrison</t>
  </si>
  <si>
    <t>WWTF Site 20</t>
  </si>
  <si>
    <t>WWTF Site 22</t>
  </si>
  <si>
    <t>WWTF Site 23</t>
  </si>
  <si>
    <t>WWTF Site 34a</t>
  </si>
  <si>
    <t>NH3</t>
  </si>
  <si>
    <t>Parameter Summary</t>
  </si>
  <si>
    <t>Dissolved Oxygen 1/2-2m</t>
  </si>
  <si>
    <t xml:space="preserve">pH water column </t>
  </si>
  <si>
    <t>Temperature (C) 1/2-2m</t>
  </si>
  <si>
    <t>Specific Conductance (us/m)</t>
  </si>
  <si>
    <t>Morrison WWTF</t>
  </si>
  <si>
    <t>Park BC</t>
  </si>
  <si>
    <t>Evergreen</t>
  </si>
  <si>
    <t>Sheridan</t>
  </si>
  <si>
    <t>Estimated Flow cfs</t>
  </si>
  <si>
    <t>Periphyton Coverage</t>
  </si>
  <si>
    <t>BCWA Segment Sample Sites</t>
  </si>
  <si>
    <t>Total Nitrogen, ug/l</t>
  </si>
  <si>
    <t>Phosphorus, total, ug/l</t>
  </si>
  <si>
    <t>PQL</t>
  </si>
  <si>
    <t>BCRMORCO</t>
  </si>
  <si>
    <t>=</t>
  </si>
  <si>
    <t>DATE</t>
  </si>
  <si>
    <t>COUNT</t>
  </si>
  <si>
    <t>Fish Present</t>
  </si>
  <si>
    <t>site 36 - within Summit lake</t>
  </si>
  <si>
    <t>site 36 through Culverts</t>
  </si>
  <si>
    <t>site 37 - Bear Creek</t>
  </si>
  <si>
    <t>Total Nitrogen, Pounds/month</t>
  </si>
  <si>
    <t>Total Phosphorus, Pounds/month</t>
  </si>
  <si>
    <t>Season Totals</t>
  </si>
  <si>
    <t>Flow acre-feet/month</t>
  </si>
  <si>
    <t>Segment 4a</t>
  </si>
  <si>
    <t>BCROUTCO</t>
  </si>
  <si>
    <t>CFS Morrison</t>
  </si>
  <si>
    <t>&lt;p&gt;Warning: Javascript must be enabled to use all the features on this page! &lt;p&gt;Warning: Javascript must be enabled to use all the features on this page!</t>
  </si>
  <si>
    <t>Daily Mean Discharge, cubic feet per second</t>
  </si>
  <si>
    <t>Ice</t>
  </si>
  <si>
    <t>None</t>
  </si>
  <si>
    <t>Site 32</t>
  </si>
  <si>
    <t>WWTF Site 24</t>
  </si>
  <si>
    <t>DNR</t>
  </si>
  <si>
    <t>WWTF Site 66</t>
  </si>
  <si>
    <t>WWTF Site 71</t>
  </si>
  <si>
    <t>WWTF Site 72</t>
  </si>
  <si>
    <t>Evergreen Metro Distict</t>
  </si>
  <si>
    <t>WWTF Site 21</t>
  </si>
  <si>
    <t>Conifer Sanitation District</t>
  </si>
  <si>
    <t>WWTF Site 59</t>
  </si>
  <si>
    <t xml:space="preserve">West Jefferson County Metro District </t>
  </si>
  <si>
    <t>WWTF Site 73</t>
  </si>
  <si>
    <t>Site 5a</t>
  </si>
  <si>
    <t>Morrison Park east end  at gaging station</t>
  </si>
  <si>
    <t>WWTF Site 56</t>
  </si>
  <si>
    <t>BCR Top, Site 40a</t>
  </si>
  <si>
    <t>BCR  -10m, Site 40c</t>
  </si>
  <si>
    <t>91-13 Mean</t>
  </si>
  <si>
    <t>91-13 Median</t>
  </si>
  <si>
    <t>EGL 4a</t>
  </si>
  <si>
    <t>EGL 4e</t>
  </si>
  <si>
    <t>Evergreen Lake, Segment 1d</t>
  </si>
  <si>
    <t>Little Bear Evergreen</t>
  </si>
  <si>
    <t xml:space="preserve"> Keys-on-the-Green</t>
  </si>
  <si>
    <t>Upper Bear Creek - Mt. Evans Wilderness</t>
  </si>
  <si>
    <t>O'Fallon Park</t>
  </si>
  <si>
    <t xml:space="preserve">Lair o' the Bear </t>
  </si>
  <si>
    <t xml:space="preserve"> Idledale, Shady Lane</t>
  </si>
  <si>
    <t>Morrison Park west</t>
  </si>
  <si>
    <t xml:space="preserve">Vance Creek </t>
  </si>
  <si>
    <t>Mt Vernon, Morrison</t>
  </si>
  <si>
    <t xml:space="preserve">South Turkey Creek </t>
  </si>
  <si>
    <t xml:space="preserve">North Turkey Creek </t>
  </si>
  <si>
    <t xml:space="preserve">Upper Coyote </t>
  </si>
  <si>
    <t xml:space="preserve">Lower Coyote </t>
  </si>
  <si>
    <t>Mar-Apr</t>
  </si>
  <si>
    <t>May-Jun</t>
  </si>
  <si>
    <t>Jul-Aug</t>
  </si>
  <si>
    <t>Sep-Oct</t>
  </si>
  <si>
    <t>Nov-Dec</t>
  </si>
  <si>
    <t>Jan-Feb</t>
  </si>
  <si>
    <t>Upper Coyote</t>
  </si>
  <si>
    <t>Lower Coyote</t>
  </si>
  <si>
    <t>Ac-Ft/day</t>
  </si>
  <si>
    <t>Ac-ft/month</t>
  </si>
  <si>
    <t>Loading Pounds/Period</t>
  </si>
  <si>
    <t>Flow Estimate</t>
  </si>
  <si>
    <t>Annual Pounds</t>
  </si>
  <si>
    <t>Flow Estimate ac-yr</t>
  </si>
  <si>
    <t>Average Loading</t>
  </si>
  <si>
    <t>Seasonal Maximum at -1/2 - 2m [mg/l]</t>
  </si>
  <si>
    <t>Dissolved Oxygen (field probe, 1/2-m intervals in central pool thru 4m, then 1m interval)</t>
  </si>
  <si>
    <t>Specific Conductivity (field probe, 1/2-m intervals in central pool thru 4m, then 1m interval)</t>
  </si>
  <si>
    <t>pH (field probe, 1/2-m intervals in central pool thru 4m, then 1m interval)</t>
  </si>
  <si>
    <t>Pebble Counts</t>
  </si>
  <si>
    <t>Table 1:     FIA Chemistry Method Summary</t>
  </si>
  <si>
    <t>Date
Completed</t>
  </si>
  <si>
    <t>Allowable Hold Time*</t>
  </si>
  <si>
    <t>Total
Phosphorus</t>
  </si>
  <si>
    <t>QuickChem
10-115-01-4-B,
with manual digestion</t>
  </si>
  <si>
    <t>Preserve upon receipt</t>
  </si>
  <si>
    <t>24 hours prior to filtration; Preserve immediately after filtration</t>
  </si>
  <si>
    <t>QuickChem
10-107-04-4-B,
with manual digestion</t>
  </si>
  <si>
    <t>QuickChem
10-107-04-1-C</t>
  </si>
  <si>
    <t>Analyze within 48 hours; Preserve</t>
  </si>
  <si>
    <t>QuickChem
10-107-06-2-A</t>
  </si>
  <si>
    <t>*all preserved samples have an allowable hold time of 28 days</t>
  </si>
  <si>
    <t>QuickChem 10-115-01-4-B, with manual digestion</t>
  </si>
  <si>
    <t>QuickChem 10-107-04-4-B, with manual digestion</t>
  </si>
  <si>
    <t>QuickChem 10-107-04-1-C</t>
  </si>
  <si>
    <t>QuickChem 10-107-06-3-A</t>
  </si>
  <si>
    <t>6 ug/l</t>
  </si>
  <si>
    <t>MDL (ug/l)</t>
  </si>
  <si>
    <t xml:space="preserve">5 ug/l </t>
  </si>
  <si>
    <t>Total Inorganic Nitrogen</t>
  </si>
  <si>
    <t>Fish</t>
  </si>
  <si>
    <t>BCL Park</t>
  </si>
  <si>
    <t>Res</t>
  </si>
  <si>
    <t>LBC Out</t>
  </si>
  <si>
    <t>Notes:</t>
  </si>
  <si>
    <t xml:space="preserve">RNC Consulting; Tony Langoski; </t>
  </si>
  <si>
    <t>_________________________________________________________________</t>
  </si>
  <si>
    <t xml:space="preserve">Site 36 </t>
  </si>
  <si>
    <t>Summit Lake</t>
  </si>
  <si>
    <t>Pipe#1</t>
  </si>
  <si>
    <t>Pipe#2</t>
  </si>
  <si>
    <t>Site 37 (Mt Evans, BC)</t>
  </si>
  <si>
    <t>Site 65 BC Ponds</t>
  </si>
  <si>
    <t>Width (in)</t>
  </si>
  <si>
    <t>Width/Depth</t>
  </si>
  <si>
    <t>Algal Coverage</t>
  </si>
  <si>
    <t>Site 74 Fen Pond #1</t>
  </si>
  <si>
    <t>Site 75 Fen Pond #2</t>
  </si>
  <si>
    <t>63 Bottom Plume</t>
  </si>
  <si>
    <t>65 BC Ponds</t>
  </si>
  <si>
    <t>74 Fen #1</t>
  </si>
  <si>
    <t>75 Fen #2</t>
  </si>
  <si>
    <t>37 Bear Creek</t>
  </si>
  <si>
    <t>76 Fen #3</t>
  </si>
  <si>
    <t>36 Summit Lake</t>
  </si>
  <si>
    <t>PQL (ug/l)</t>
  </si>
  <si>
    <t>GEI Laboratory</t>
  </si>
  <si>
    <t>Colorado Analytical</t>
  </si>
  <si>
    <t>EPA365.1</t>
  </si>
  <si>
    <t>Calculation</t>
  </si>
  <si>
    <t>LQL mg/l</t>
  </si>
  <si>
    <t>SM 4500-NH3-G</t>
  </si>
  <si>
    <t>SM2540-D</t>
  </si>
  <si>
    <t>using TKN + NO3</t>
  </si>
  <si>
    <t>NO3 + NO2</t>
  </si>
  <si>
    <t>NO3/NO2</t>
  </si>
  <si>
    <t>TIN</t>
  </si>
  <si>
    <t>effluent flow</t>
  </si>
  <si>
    <t>Reg 85 Reporting</t>
  </si>
  <si>
    <t>Effluent Monitoring</t>
  </si>
  <si>
    <t>flow meter</t>
  </si>
  <si>
    <t>1 mg/l</t>
  </si>
  <si>
    <t>N-Ammonia</t>
  </si>
  <si>
    <t>50 μg/l</t>
  </si>
  <si>
    <t>N Nitrate/Nitrite</t>
  </si>
  <si>
    <t>0.5 mg/l</t>
  </si>
  <si>
    <t>N-Nitrate</t>
  </si>
  <si>
    <t>N-Nitrite</t>
  </si>
  <si>
    <t>10 μg/l</t>
  </si>
  <si>
    <t>Total Kjeldahl Nitrogen</t>
  </si>
  <si>
    <t>BC03</t>
  </si>
  <si>
    <t>BC05</t>
  </si>
  <si>
    <t>PEL08</t>
  </si>
  <si>
    <t>PEL10</t>
  </si>
  <si>
    <t>TC14</t>
  </si>
  <si>
    <t>TC16</t>
  </si>
  <si>
    <t>Site Pel08</t>
  </si>
  <si>
    <t>Site Pel10</t>
  </si>
  <si>
    <t>Site TC14</t>
  </si>
  <si>
    <t>Site TC16</t>
  </si>
  <si>
    <t>Sediment</t>
  </si>
  <si>
    <t>Profile</t>
  </si>
  <si>
    <t>&lt;200</t>
  </si>
  <si>
    <t>Total Volume</t>
  </si>
  <si>
    <t>Mesh Size/ volume retained</t>
  </si>
  <si>
    <t>Lat</t>
  </si>
  <si>
    <t>Long</t>
  </si>
  <si>
    <t>PEL10a</t>
  </si>
  <si>
    <t>TC14a</t>
  </si>
  <si>
    <t>PEL08a</t>
  </si>
  <si>
    <t>TC16a</t>
  </si>
  <si>
    <t>BC05a</t>
  </si>
  <si>
    <t>Blank</t>
  </si>
  <si>
    <t>Transect</t>
  </si>
  <si>
    <t>tared</t>
  </si>
  <si>
    <t>mgP/kg Mud</t>
  </si>
  <si>
    <t>grams</t>
  </si>
  <si>
    <t>kg</t>
  </si>
  <si>
    <t>TP mg/l</t>
  </si>
  <si>
    <t>Filter</t>
  </si>
  <si>
    <t>Bear Creek Transect</t>
  </si>
  <si>
    <t>SedBC03</t>
  </si>
  <si>
    <t>SedBC05</t>
  </si>
  <si>
    <t>Pelican Point Transect</t>
  </si>
  <si>
    <t>SedPel08</t>
  </si>
  <si>
    <t>SedPel10</t>
  </si>
  <si>
    <t>Turkey Creek Transect</t>
  </si>
  <si>
    <t>SedTC14</t>
  </si>
  <si>
    <t>SedTC16</t>
  </si>
  <si>
    <t>Grams wet mud</t>
  </si>
  <si>
    <t>Grams Dry Mud</t>
  </si>
  <si>
    <t>TOC</t>
  </si>
  <si>
    <t>Tare</t>
  </si>
  <si>
    <t>Mud</t>
  </si>
  <si>
    <t>Wet Mud</t>
  </si>
  <si>
    <t>105 dried Mud</t>
  </si>
  <si>
    <t>dry Mud</t>
  </si>
  <si>
    <t>Ashed Mud</t>
  </si>
  <si>
    <t>% Solids</t>
  </si>
  <si>
    <t>TVS</t>
  </si>
  <si>
    <t>2012 SePRO</t>
  </si>
  <si>
    <t>TP Sed, Mg/kg</t>
  </si>
  <si>
    <t>EPA 365.3, Modified</t>
  </si>
  <si>
    <t>SedBC01</t>
  </si>
  <si>
    <t>SedBC02</t>
  </si>
  <si>
    <t>SedBC04</t>
  </si>
  <si>
    <t>SedBC06</t>
  </si>
  <si>
    <t>SedPel07</t>
  </si>
  <si>
    <t>SedPel09</t>
  </si>
  <si>
    <t>SedPel11</t>
  </si>
  <si>
    <t>SedTC12</t>
  </si>
  <si>
    <t>SedTC13</t>
  </si>
  <si>
    <t>SedTC15</t>
  </si>
  <si>
    <t>SedTC17</t>
  </si>
  <si>
    <t>% TOC</t>
  </si>
  <si>
    <t>TS%</t>
  </si>
  <si>
    <t>91-2014 Mean</t>
  </si>
  <si>
    <t>91-2014 Median</t>
  </si>
  <si>
    <t>Chlorophyll a average</t>
  </si>
  <si>
    <t>Chlorophyll a Average</t>
  </si>
  <si>
    <t>Preservation
(H2SO4 to pH
&lt;2.0)</t>
  </si>
  <si>
    <t>NOx</t>
  </si>
  <si>
    <r>
      <t xml:space="preserve">Chlorophyll </t>
    </r>
    <r>
      <rPr>
        <i/>
        <sz val="10"/>
        <color indexed="8"/>
        <rFont val="Calibri"/>
        <family val="2"/>
        <scheme val="minor"/>
      </rPr>
      <t>a</t>
    </r>
  </si>
  <si>
    <t xml:space="preserve">South Turkey Creek Aspen Park </t>
  </si>
  <si>
    <t>91-2015 Mean</t>
  </si>
  <si>
    <t>91-2015 Median</t>
  </si>
  <si>
    <t>Periphyton Growth Thickness Estimate</t>
  </si>
  <si>
    <t>substrate rough with no visual evidence of microalgae</t>
  </si>
  <si>
    <t>substrate slimy, but no visual accumulation of microalgae is evident</t>
  </si>
  <si>
    <t>thin layer of periphyton is visually evident</t>
  </si>
  <si>
    <t>accumulation of periphyton layer from 0.5-1 mm thick is evident</t>
  </si>
  <si>
    <t>accumulation of periphyton layer from 1 mm to 5 mm thick is evident</t>
  </si>
  <si>
    <t>accumulation of periphyton layer from 5 mm to 2 cm thick is evident</t>
  </si>
  <si>
    <t>accumulation of periphyton layer greater than 2 cm thick is evident</t>
  </si>
  <si>
    <t>Site:</t>
  </si>
  <si>
    <t>Date:</t>
  </si>
  <si>
    <t>Periphyton Estimation</t>
  </si>
  <si>
    <t>Clarity</t>
  </si>
  <si>
    <t>Periphyton</t>
  </si>
  <si>
    <t>LABID</t>
  </si>
  <si>
    <t>CLIENTID</t>
  </si>
  <si>
    <t>COLLECTDATE</t>
  </si>
  <si>
    <t>RECEIVEDATE</t>
  </si>
  <si>
    <t>ANALYTE</t>
  </si>
  <si>
    <t>MATRIX</t>
  </si>
  <si>
    <t>RESULT</t>
  </si>
  <si>
    <t>SW</t>
  </si>
  <si>
    <t>BCRABCCO (DISCHRG)</t>
  </si>
  <si>
    <t>BCREVRCO (DISCHRG)</t>
  </si>
  <si>
    <t>BCRMORCO (DISCHRG)</t>
  </si>
  <si>
    <t>BCROUTCO (DISCHRG)</t>
  </si>
  <si>
    <t>BCRRESCO (ELEV)</t>
  </si>
  <si>
    <t>BCRRESCO (STORAGE)</t>
  </si>
  <si>
    <t>BCRSHECO (DISCHRG)</t>
  </si>
  <si>
    <t>CFS</t>
  </si>
  <si>
    <t>FT</t>
  </si>
  <si>
    <t>AF</t>
  </si>
  <si>
    <t>12m</t>
  </si>
  <si>
    <t>13m</t>
  </si>
  <si>
    <t>14m</t>
  </si>
  <si>
    <t>15m</t>
  </si>
  <si>
    <t>Cub</t>
  </si>
  <si>
    <t>at Lowell</t>
  </si>
  <si>
    <t>EGL</t>
  </si>
  <si>
    <t>Mt Veron</t>
  </si>
  <si>
    <t>BC below Cub</t>
  </si>
  <si>
    <t>EGL out</t>
  </si>
  <si>
    <t>BC at Cub</t>
  </si>
  <si>
    <t>BC @ Cub</t>
  </si>
  <si>
    <t>Cub Crk</t>
  </si>
  <si>
    <t>Site 76 Fen @Site 37</t>
  </si>
  <si>
    <t>Site 61 Across vaults</t>
  </si>
  <si>
    <t>Site 81 Fen @S Parking</t>
  </si>
  <si>
    <t>Month</t>
  </si>
  <si>
    <t>Evergreen (DISCHRG)</t>
  </si>
  <si>
    <t>BCLP (DISCHRG)</t>
  </si>
  <si>
    <t>Morrison (DISCHRG)</t>
  </si>
  <si>
    <t>Outflow (DISCHRG)</t>
  </si>
  <si>
    <t>Reservoir (ELEV)</t>
  </si>
  <si>
    <t>Reservoir (STORAGE)</t>
  </si>
  <si>
    <t>Sheridan (DISCHRG)</t>
  </si>
  <si>
    <t>Tony Langoski, RNC</t>
  </si>
  <si>
    <t>Site 82 (DEH 10)</t>
  </si>
  <si>
    <t>Algal</t>
  </si>
  <si>
    <t xml:space="preserve">0 1 2 3 4 5 </t>
  </si>
  <si>
    <t>9 O'Fallon</t>
  </si>
  <si>
    <t>1987-2012</t>
  </si>
  <si>
    <t>Evergreen Lake @ Dam</t>
  </si>
  <si>
    <t>3,100 rpms</t>
  </si>
  <si>
    <t>sediments taken with Petite Ponar dredge, top 5-10 cm mud</t>
  </si>
  <si>
    <t>% Total Organic Carbon</t>
  </si>
  <si>
    <t>Sediment Phosphorus (mgP/kg Wet Mud)</t>
  </si>
  <si>
    <t>100ml</t>
  </si>
  <si>
    <t>Coarse Sand</t>
  </si>
  <si>
    <t>M Sand</t>
  </si>
  <si>
    <t>F Sand</t>
  </si>
  <si>
    <t>VF Sand</t>
  </si>
  <si>
    <t>Silt &amp; Clay</t>
  </si>
  <si>
    <t>Grain Size % retained</t>
  </si>
  <si>
    <t>TOC %</t>
  </si>
  <si>
    <t>Res  Out</t>
  </si>
  <si>
    <t>Fen Ponds</t>
  </si>
  <si>
    <t>Site 74 Fen #1</t>
  </si>
  <si>
    <t>Site 75 Fen #2</t>
  </si>
  <si>
    <t>Site 76 Fen #3 @ site 37</t>
  </si>
  <si>
    <t>Site 61 Fen Upper Pond DEH-11</t>
  </si>
  <si>
    <t>Site 81 Fen #4 S. Parking Lot</t>
  </si>
  <si>
    <t>Site 82 Fen #5 DEH-10</t>
  </si>
  <si>
    <t>Site 61 Fen #6 Upper Pond DEH-11</t>
  </si>
  <si>
    <t>Median</t>
  </si>
  <si>
    <t>2015 Season</t>
  </si>
  <si>
    <t xml:space="preserve">Site </t>
  </si>
  <si>
    <t xml:space="preserve">pH </t>
  </si>
  <si>
    <t xml:space="preserve">Specific Conductance, uS </t>
  </si>
  <si>
    <t xml:space="preserve">Dissolved Oxygen, mg/l </t>
  </si>
  <si>
    <t xml:space="preserve">Total Nitrogen, ug/l </t>
  </si>
  <si>
    <t xml:space="preserve">Total Phosphorus, ug/l </t>
  </si>
  <si>
    <t xml:space="preserve">74 Fen #1, small </t>
  </si>
  <si>
    <t xml:space="preserve">75 Fen #2, medium </t>
  </si>
  <si>
    <t xml:space="preserve">76 Fen #3, larger </t>
  </si>
  <si>
    <t>T Phosphorus</t>
  </si>
  <si>
    <t xml:space="preserve">63 - Bottom Fen </t>
  </si>
  <si>
    <r>
      <t xml:space="preserve">Temperature, </t>
    </r>
    <r>
      <rPr>
        <b/>
        <vertAlign val="superscript"/>
        <sz val="9"/>
        <color rgb="FF000000"/>
        <rFont val="Calibri"/>
        <family val="2"/>
      </rPr>
      <t>0</t>
    </r>
    <r>
      <rPr>
        <b/>
        <sz val="9"/>
        <color rgb="FF000000"/>
        <rFont val="Calibri"/>
        <family val="2"/>
      </rPr>
      <t xml:space="preserve">C </t>
    </r>
  </si>
  <si>
    <r>
      <t>Segment 1a</t>
    </r>
    <r>
      <rPr>
        <sz val="9"/>
        <rFont val="Calibri"/>
        <family val="2"/>
        <scheme val="minor"/>
      </rPr>
      <t> </t>
    </r>
  </si>
  <si>
    <r>
      <t>Segment 1b</t>
    </r>
    <r>
      <rPr>
        <sz val="9"/>
        <rFont val="Calibri"/>
        <family val="2"/>
        <scheme val="minor"/>
      </rPr>
      <t> </t>
    </r>
  </si>
  <si>
    <r>
      <t>Segment 1d</t>
    </r>
    <r>
      <rPr>
        <sz val="9"/>
        <rFont val="Calibri"/>
        <family val="2"/>
        <scheme val="minor"/>
      </rPr>
      <t> </t>
    </r>
  </si>
  <si>
    <r>
      <t>Segment 1e</t>
    </r>
    <r>
      <rPr>
        <sz val="9"/>
        <rFont val="Calibri"/>
        <family val="2"/>
        <scheme val="minor"/>
      </rPr>
      <t> </t>
    </r>
  </si>
  <si>
    <r>
      <t>Segment 2</t>
    </r>
    <r>
      <rPr>
        <sz val="9"/>
        <rFont val="Calibri"/>
        <family val="2"/>
        <scheme val="minor"/>
      </rPr>
      <t> </t>
    </r>
  </si>
  <si>
    <r>
      <t>Segment 3</t>
    </r>
    <r>
      <rPr>
        <sz val="9"/>
        <rFont val="Calibri"/>
        <family val="2"/>
        <scheme val="minor"/>
      </rPr>
      <t> </t>
    </r>
  </si>
  <si>
    <r>
      <t>Segment 4a</t>
    </r>
    <r>
      <rPr>
        <sz val="9"/>
        <rFont val="Calibri"/>
        <family val="2"/>
        <scheme val="minor"/>
      </rPr>
      <t> </t>
    </r>
  </si>
  <si>
    <r>
      <t>Segment 5</t>
    </r>
    <r>
      <rPr>
        <sz val="9"/>
        <rFont val="Calibri"/>
        <family val="2"/>
        <scheme val="minor"/>
      </rPr>
      <t> </t>
    </r>
  </si>
  <si>
    <r>
      <t>Segment 6b</t>
    </r>
    <r>
      <rPr>
        <sz val="9"/>
        <rFont val="Calibri"/>
        <family val="2"/>
        <scheme val="minor"/>
      </rPr>
      <t> </t>
    </r>
  </si>
  <si>
    <r>
      <t>Segments 7 and 8</t>
    </r>
    <r>
      <rPr>
        <sz val="9"/>
        <rFont val="Calibri"/>
        <family val="2"/>
        <scheme val="minor"/>
      </rPr>
      <t> </t>
    </r>
  </si>
  <si>
    <t>Bear Creek Below Mt. Evan Wilderness</t>
  </si>
  <si>
    <t>Site 4a/4e</t>
  </si>
  <si>
    <t>Site 40a/ 40c</t>
  </si>
  <si>
    <t>Bear Creek Reservoir, Profile; Chemistry -1m,+1m</t>
  </si>
  <si>
    <t xml:space="preserve">Evergreen Lake Surface, profile; Chemistry -1m, +1 </t>
  </si>
  <si>
    <t>Site 90</t>
  </si>
  <si>
    <t>Lower Bear Creek Wadsworth</t>
  </si>
  <si>
    <t>(Sheridan)</t>
  </si>
  <si>
    <t xml:space="preserve"> x</t>
  </si>
  <si>
    <t xml:space="preserve">Lower Bear Creek, below reservoir trace/ weir </t>
  </si>
  <si>
    <t xml:space="preserve">CDOW downtown Little Bear site </t>
  </si>
  <si>
    <t>None in 2016</t>
  </si>
  <si>
    <t>Segment 10, 11, and 12 (Lake/ Pond Segments)</t>
  </si>
  <si>
    <t>Watershed Sample Program Site Location by Stream Segment</t>
  </si>
  <si>
    <t xml:space="preserve">Watershed and Special Stream WQ Studies </t>
  </si>
  <si>
    <t>Field Chemistry/ Physical</t>
  </si>
  <si>
    <t>Dissolved Oxygen, YSI Probe</t>
  </si>
  <si>
    <t>Specific Conductivity, YSI Probe</t>
  </si>
  <si>
    <t>Total Suspended Sediments, select sites Spring Runoff</t>
  </si>
  <si>
    <t>pH, YSI Probe</t>
  </si>
  <si>
    <t>Manual Flow/ gage readings</t>
  </si>
  <si>
    <t>Water Clarity - Staining</t>
  </si>
  <si>
    <t xml:space="preserve">Periphyton Coverage </t>
  </si>
  <si>
    <t>Wastewater Treatment Facilities Regulation 85</t>
  </si>
  <si>
    <t>Monitoring Site Survey - Annual Select Sites</t>
  </si>
  <si>
    <t>Habitat Indices</t>
  </si>
  <si>
    <t>Physical Stream Indices</t>
  </si>
  <si>
    <t>Embeddedness</t>
  </si>
  <si>
    <t>BCR and EGL Sediment Survey - Annual Select Sites</t>
  </si>
  <si>
    <t>Sediment TP (Pore Water)</t>
  </si>
  <si>
    <t>Grain Size</t>
  </si>
  <si>
    <t>% TOC (Organics)</t>
  </si>
  <si>
    <t>% Total Solids</t>
  </si>
  <si>
    <t>Total Nitrogen (-1/2m and +1m)</t>
  </si>
  <si>
    <t>Total Phosphorus (-1/2m and +1m)</t>
  </si>
  <si>
    <t>Chlorophyll a (-1/2m only)</t>
  </si>
  <si>
    <t>Zooplankton - annual one vertical tow, species present</t>
  </si>
  <si>
    <t>Total Depth</t>
  </si>
  <si>
    <t xml:space="preserve">Nutrients </t>
  </si>
  <si>
    <t>Phytoplankton (July, August, September; 6 sample sets)</t>
  </si>
  <si>
    <t>BCWA P-1 Monitoring Stations</t>
  </si>
  <si>
    <t>Manual and Gaged</t>
  </si>
  <si>
    <t>Flow/ Discharge (CFS)</t>
  </si>
  <si>
    <t>6 sites</t>
  </si>
  <si>
    <t>BCR Sites</t>
  </si>
  <si>
    <t>E. coli (cts/100ml)</t>
  </si>
  <si>
    <t>X (-1m at Site 40)</t>
  </si>
  <si>
    <t>Biological</t>
  </si>
  <si>
    <t>X (Data Loggers &amp; Field Probe)</t>
  </si>
  <si>
    <t>Sites 15a, 16a, 45 &amp; 90</t>
  </si>
  <si>
    <t>Sites 45 &amp; 90</t>
  </si>
  <si>
    <t>Zooplankton (Presence)</t>
  </si>
  <si>
    <t>X (August)</t>
  </si>
  <si>
    <t>Profiles at sites 40, 41, 42</t>
  </si>
  <si>
    <t>Sites 40, 41, 42</t>
  </si>
  <si>
    <t xml:space="preserve">Top 1-m water </t>
  </si>
  <si>
    <t>Site 91</t>
  </si>
  <si>
    <t>Bear Creek Above Yankee Creek</t>
  </si>
  <si>
    <t>Site 87</t>
  </si>
  <si>
    <t>Wadsworth; 90</t>
  </si>
  <si>
    <t>Turkey</t>
  </si>
  <si>
    <t>c</t>
  </si>
  <si>
    <t>sm</t>
  </si>
  <si>
    <t>SC (us/cm)</t>
  </si>
  <si>
    <t>Bear Creek Keys (cfs) Monthly Avg</t>
  </si>
  <si>
    <t xml:space="preserve">Bear Creek EGL (cfs) daily </t>
  </si>
  <si>
    <t>Flows</t>
  </si>
  <si>
    <t>Specific Conductance (us/cm)</t>
  </si>
  <si>
    <t>m</t>
  </si>
  <si>
    <t>Segmentn 6b</t>
  </si>
  <si>
    <t>Bear Creek Site 90</t>
  </si>
  <si>
    <t>BCLP</t>
  </si>
  <si>
    <t>BCR</t>
  </si>
  <si>
    <t>90- Wadsworth</t>
  </si>
  <si>
    <t>90-Wadsworth</t>
  </si>
  <si>
    <t>16a - TC</t>
  </si>
  <si>
    <t>% Coverage</t>
  </si>
  <si>
    <t>Est Thickness</t>
  </si>
  <si>
    <t>Width (ft)</t>
  </si>
  <si>
    <t>15a - BC</t>
  </si>
  <si>
    <t>45 - LBC</t>
  </si>
  <si>
    <t>90 - Wads</t>
  </si>
  <si>
    <t>thin layer of microalgae is visually evident</t>
  </si>
  <si>
    <t>Velocity</t>
  </si>
  <si>
    <t>C</t>
  </si>
  <si>
    <t>3a Keys</t>
  </si>
  <si>
    <t>8a BCC</t>
  </si>
  <si>
    <t>2a Golden</t>
  </si>
  <si>
    <t>Periphyton, %</t>
  </si>
  <si>
    <t>Periphyton, thickness</t>
  </si>
  <si>
    <t>25 Vance</t>
  </si>
  <si>
    <t>13a Idledale</t>
  </si>
  <si>
    <t>14a Morrison</t>
  </si>
  <si>
    <t>18 STC</t>
  </si>
  <si>
    <t>19 NTC</t>
  </si>
  <si>
    <t>64 Trouble Hiwan</t>
  </si>
  <si>
    <t>Harriman</t>
  </si>
  <si>
    <t>Evergreen Keys Green</t>
  </si>
  <si>
    <t xml:space="preserve">TN, TP, Chl, TSS </t>
  </si>
  <si>
    <t>RNC</t>
  </si>
  <si>
    <t>14c BCM</t>
  </si>
  <si>
    <t>Air Temp</t>
  </si>
  <si>
    <t>Elevation</t>
  </si>
  <si>
    <t>Embeddedness %</t>
  </si>
  <si>
    <t>Buffalo</t>
  </si>
  <si>
    <t>Witter</t>
  </si>
  <si>
    <t>Yankee</t>
  </si>
  <si>
    <t>Vance</t>
  </si>
  <si>
    <t>58 Evans 9101/4720</t>
  </si>
  <si>
    <t>Baro Pressure</t>
  </si>
  <si>
    <t>Wind Avg</t>
  </si>
  <si>
    <t>Altitude</t>
  </si>
  <si>
    <t>Wind</t>
  </si>
  <si>
    <t>Wind Speed</t>
  </si>
  <si>
    <t>95 South Fen</t>
  </si>
  <si>
    <t>Site 37 BC Seg 7</t>
  </si>
  <si>
    <t>Site 36 Summit Lake</t>
  </si>
  <si>
    <t>Air</t>
  </si>
  <si>
    <t>Baro</t>
  </si>
  <si>
    <t>Alt</t>
  </si>
  <si>
    <t>Bloom</t>
  </si>
  <si>
    <t>notes</t>
  </si>
  <si>
    <t>91-2016 Mean</t>
  </si>
  <si>
    <t>91-2016 Median</t>
  </si>
  <si>
    <t>METHOD</t>
  </si>
  <si>
    <t>QUAL</t>
  </si>
  <si>
    <t>UNITS</t>
  </si>
  <si>
    <t>MDL</t>
  </si>
  <si>
    <t>ANALYZEDATE</t>
  </si>
  <si>
    <t>4a</t>
  </si>
  <si>
    <t>QC 10-107-04-4-B</t>
  </si>
  <si>
    <t>µg/L</t>
  </si>
  <si>
    <t>QC 10-115-01-4-B</t>
  </si>
  <si>
    <t>U</t>
  </si>
  <si>
    <t>mg/L</t>
  </si>
  <si>
    <t>SM 10200 H (mod)</t>
  </si>
  <si>
    <t>Colonies</t>
  </si>
  <si>
    <t>SITE 90</t>
  </si>
  <si>
    <t>SITE 45</t>
  </si>
  <si>
    <t>Geomean</t>
  </si>
  <si>
    <t>14a</t>
  </si>
  <si>
    <t>Dissolved Copper</t>
  </si>
  <si>
    <t>EPA 200.8</t>
  </si>
  <si>
    <t>J</t>
  </si>
  <si>
    <t>Hardness as CaCO3</t>
  </si>
  <si>
    <t>SM 2340 C</t>
  </si>
  <si>
    <t>14c</t>
  </si>
  <si>
    <t>Site 89</t>
  </si>
  <si>
    <t>Water Temperature C</t>
  </si>
  <si>
    <t>Air Temperature C</t>
  </si>
  <si>
    <t>Discharge</t>
  </si>
  <si>
    <t>47a</t>
  </si>
  <si>
    <t>47b</t>
  </si>
  <si>
    <t>Water Temp °C</t>
  </si>
  <si>
    <t>Air Temp °C</t>
  </si>
  <si>
    <t xml:space="preserve">Site 63 - Bottom Fen </t>
  </si>
  <si>
    <t>Site 95 - Control Fen</t>
  </si>
  <si>
    <t>16a</t>
  </si>
  <si>
    <t>15a</t>
  </si>
  <si>
    <t>40a</t>
  </si>
  <si>
    <t>40c</t>
  </si>
  <si>
    <t>Lower Bear Creek, Wadsworth Site 90</t>
  </si>
  <si>
    <t>Site 90 - Lower Bear Creek</t>
  </si>
  <si>
    <t>2015 TN</t>
  </si>
  <si>
    <t>2014 TN</t>
  </si>
  <si>
    <t>2013 TN</t>
  </si>
  <si>
    <t>2012 TN</t>
  </si>
  <si>
    <t>2011 TN</t>
  </si>
  <si>
    <t>00060, Discharge, cubic feet per second,</t>
  </si>
  <si>
    <t>YEAR</t>
  </si>
  <si>
    <t>Period-of-record for statistical calculation restricted by user</t>
  </si>
  <si>
    <t>TSS, pounds/month</t>
  </si>
  <si>
    <t>Site 14c</t>
  </si>
  <si>
    <t>Mainstem Bear Creek, Morrison Park west</t>
  </si>
  <si>
    <t>Mainstem Bear Creek, Morrison at Harriman</t>
  </si>
  <si>
    <t>Dissolved Copper, ug/l</t>
  </si>
  <si>
    <t>Hardness as CaCO3, mg/l</t>
  </si>
  <si>
    <t>Metal</t>
  </si>
  <si>
    <t>Aquatic Life</t>
  </si>
  <si>
    <t>Water Supply</t>
  </si>
  <si>
    <t>Agriculture</t>
  </si>
  <si>
    <t>"J" Flag</t>
  </si>
  <si>
    <t>Chronic</t>
  </si>
  <si>
    <t>Acute*</t>
  </si>
  <si>
    <t>(TREC)</t>
  </si>
  <si>
    <t>Cu-D</t>
  </si>
  <si>
    <t>e (0.819(ln(hardness))-1.7428</t>
  </si>
  <si>
    <t>Hardness</t>
  </si>
  <si>
    <t>ln</t>
  </si>
  <si>
    <t>Chronic Cu-D Standard</t>
  </si>
  <si>
    <t>Standard Deviation</t>
  </si>
  <si>
    <t>Phosphorus Standard</t>
  </si>
  <si>
    <t>Chlorophyll Standard</t>
  </si>
  <si>
    <t>DO Compliance (mg/l)</t>
  </si>
  <si>
    <t>Est Periphyton Thickness</t>
  </si>
  <si>
    <t>Cryptomonas erosa</t>
  </si>
  <si>
    <t>Diatoma vulgare</t>
  </si>
  <si>
    <t>Microcystis aeruginosa</t>
  </si>
  <si>
    <t>Melosira granulata</t>
  </si>
  <si>
    <t>Site 16a-Turkey Creek</t>
  </si>
  <si>
    <t>Site 15a-Bear Creek</t>
  </si>
  <si>
    <t>Total</t>
  </si>
  <si>
    <t>All Fens</t>
  </si>
  <si>
    <t>Control Fen</t>
  </si>
  <si>
    <t>Northern Fens</t>
  </si>
  <si>
    <t>Site 63 -Plume Fen</t>
  </si>
  <si>
    <t>Site 95 Southern Control</t>
  </si>
  <si>
    <t>Seg 1a</t>
  </si>
  <si>
    <t>Seg 3</t>
  </si>
  <si>
    <t>Seg 1e</t>
  </si>
  <si>
    <t>Seg 4a</t>
  </si>
  <si>
    <t>Seg 5</t>
  </si>
  <si>
    <t>Seg 6a</t>
  </si>
  <si>
    <t>Seg 6b</t>
  </si>
  <si>
    <t xml:space="preserve">Morrison Harriman </t>
  </si>
  <si>
    <t>Season</t>
  </si>
  <si>
    <t>1e</t>
  </si>
  <si>
    <t>Average Hardness</t>
  </si>
  <si>
    <t>Acute</t>
  </si>
  <si>
    <t>Acute Cu-D Standard</t>
  </si>
  <si>
    <t xml:space="preserve">Table 1: Multimetric Index (MMI) scores for Bear Creek sites (Biotype 1- Transitional) sampled in August 2016.  Attainment and impairment thresholds for sites in Biotype 1 are 52 and 42, respectively. </t>
  </si>
  <si>
    <t>Site 15a- BCP</t>
  </si>
  <si>
    <t>Site 14a-Morrison</t>
  </si>
  <si>
    <t>Site 13a- Idledale</t>
  </si>
  <si>
    <t>Site 12- Lair O'Bear</t>
  </si>
  <si>
    <t>Site 9- O'Fallon</t>
  </si>
  <si>
    <t>Site 8b- BCC</t>
  </si>
  <si>
    <t>Site 5- Little Bear</t>
  </si>
  <si>
    <t>Site 3a- Keys</t>
  </si>
  <si>
    <t>Site 2a- Golden Willow</t>
  </si>
  <si>
    <t>Site 58- Above SRR</t>
  </si>
  <si>
    <t>Site 90- Wadsworth</t>
  </si>
  <si>
    <t>Site Variables</t>
  </si>
  <si>
    <t>Ecoregion</t>
  </si>
  <si>
    <t>21d</t>
  </si>
  <si>
    <t>21c</t>
  </si>
  <si>
    <t>25l</t>
  </si>
  <si>
    <t>Elevation (meters)</t>
  </si>
  <si>
    <t>Slope</t>
  </si>
  <si>
    <t>MMI Metric Values</t>
  </si>
  <si>
    <t>Percent non-insect taxa</t>
  </si>
  <si>
    <t>Percent Chironomidae</t>
  </si>
  <si>
    <t>Percent Sensitive Family Plains</t>
  </si>
  <si>
    <t>Predator, Shredder Taxa</t>
  </si>
  <si>
    <t>MMI Metric Scores</t>
  </si>
  <si>
    <t>Total MMI Score</t>
  </si>
  <si>
    <t>Additional Metrics</t>
  </si>
  <si>
    <t>Hilsenhoff Biotic Index</t>
  </si>
  <si>
    <t>Shannon-Diversity Index</t>
  </si>
  <si>
    <r>
      <t>EP taxa</t>
    </r>
    <r>
      <rPr>
        <vertAlign val="superscript"/>
        <sz val="9"/>
        <color theme="1"/>
        <rFont val="Times New Roman"/>
        <family val="1"/>
      </rPr>
      <t>1</t>
    </r>
  </si>
  <si>
    <r>
      <t>Clinger Taxa</t>
    </r>
    <r>
      <rPr>
        <vertAlign val="superscript"/>
        <sz val="9"/>
        <color theme="1"/>
        <rFont val="Times New Roman"/>
        <family val="1"/>
      </rPr>
      <t>1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</si>
  <si>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 xml:space="preserve"> =  Elevation adjusted metric</t>
    </r>
  </si>
  <si>
    <t>95th Percentile</t>
  </si>
  <si>
    <t>Cub Creek, Upstream @ Brookforest Inn</t>
  </si>
  <si>
    <t>NO3-NO2 Ug/l</t>
  </si>
  <si>
    <t>Ammonia Ug/l</t>
  </si>
  <si>
    <t>Site 79</t>
  </si>
  <si>
    <t>Upper West Troublsome Below West Jeff</t>
  </si>
  <si>
    <t>Site 80</t>
  </si>
  <si>
    <t>Troublesome below confluence</t>
  </si>
  <si>
    <t>2013-2016 Average</t>
  </si>
  <si>
    <t>Flow cfs</t>
  </si>
  <si>
    <t>Total Phosphorus pounds/month</t>
  </si>
  <si>
    <t>Total Phosphorus ug/l</t>
  </si>
  <si>
    <t>Total Nitrogen pounds/month</t>
  </si>
  <si>
    <t>Seasonal</t>
  </si>
  <si>
    <t>% Increase</t>
  </si>
  <si>
    <t>Season Average</t>
  </si>
  <si>
    <t>ug/l</t>
  </si>
  <si>
    <t>jun</t>
  </si>
  <si>
    <t>jul</t>
  </si>
  <si>
    <t>aug</t>
  </si>
  <si>
    <t>Flow ac-ft/month</t>
  </si>
  <si>
    <t>Pounds</t>
  </si>
  <si>
    <t>34b Vernon</t>
  </si>
  <si>
    <r>
      <t xml:space="preserve">20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</si>
  <si>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5.5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</si>
  <si>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5.8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</si>
  <si>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Ice </t>
    </r>
    <r>
      <rPr>
        <vertAlign val="superscript"/>
        <sz val="11"/>
        <rFont val="Times New Roman"/>
        <family val="2"/>
      </rPr>
      <t>P</t>
    </r>
  </si>
  <si>
    <r>
      <t xml:space="preserve">30 </t>
    </r>
    <r>
      <rPr>
        <vertAlign val="superscript"/>
        <sz val="11"/>
        <rFont val="Times New Roman"/>
        <family val="2"/>
      </rPr>
      <t>P</t>
    </r>
  </si>
  <si>
    <r>
      <t xml:space="preserve">40 </t>
    </r>
    <r>
      <rPr>
        <vertAlign val="superscript"/>
        <sz val="11"/>
        <rFont val="Times New Roman"/>
        <family val="2"/>
      </rPr>
      <t>P</t>
    </r>
  </si>
  <si>
    <r>
      <t xml:space="preserve">23 </t>
    </r>
    <r>
      <rPr>
        <vertAlign val="superscript"/>
        <sz val="11"/>
        <rFont val="Times New Roman"/>
        <family val="2"/>
      </rPr>
      <t>P</t>
    </r>
  </si>
  <si>
    <r>
      <t xml:space="preserve">24 </t>
    </r>
    <r>
      <rPr>
        <vertAlign val="superscript"/>
        <sz val="11"/>
        <rFont val="Times New Roman"/>
        <family val="2"/>
      </rPr>
      <t>P</t>
    </r>
  </si>
  <si>
    <r>
      <t xml:space="preserve">48 </t>
    </r>
    <r>
      <rPr>
        <vertAlign val="superscript"/>
        <sz val="11"/>
        <rFont val="Times New Roman"/>
        <family val="2"/>
      </rPr>
      <t>P</t>
    </r>
  </si>
  <si>
    <r>
      <t xml:space="preserve">142 </t>
    </r>
    <r>
      <rPr>
        <vertAlign val="superscript"/>
        <sz val="11"/>
        <rFont val="Times New Roman"/>
        <family val="2"/>
      </rPr>
      <t>P</t>
    </r>
  </si>
  <si>
    <r>
      <t xml:space="preserve">46 </t>
    </r>
    <r>
      <rPr>
        <vertAlign val="superscript"/>
        <sz val="11"/>
        <rFont val="Times New Roman"/>
        <family val="2"/>
      </rPr>
      <t>P</t>
    </r>
  </si>
  <si>
    <r>
      <t xml:space="preserve">16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</si>
  <si>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5.1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</si>
  <si>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5.9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</si>
  <si>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15 </t>
    </r>
    <r>
      <rPr>
        <vertAlign val="superscript"/>
        <sz val="11"/>
        <rFont val="Times New Roman"/>
        <family val="2"/>
      </rPr>
      <t>P</t>
    </r>
  </si>
  <si>
    <r>
      <t xml:space="preserve">42 </t>
    </r>
    <r>
      <rPr>
        <vertAlign val="superscript"/>
        <sz val="11"/>
        <rFont val="Times New Roman"/>
        <family val="2"/>
      </rPr>
      <t>P</t>
    </r>
  </si>
  <si>
    <r>
      <t xml:space="preserve">28 </t>
    </r>
    <r>
      <rPr>
        <vertAlign val="superscript"/>
        <sz val="11"/>
        <rFont val="Times New Roman"/>
        <family val="2"/>
      </rPr>
      <t>P</t>
    </r>
  </si>
  <si>
    <r>
      <t xml:space="preserve">133 </t>
    </r>
    <r>
      <rPr>
        <vertAlign val="superscript"/>
        <sz val="11"/>
        <rFont val="Times New Roman"/>
        <family val="2"/>
      </rPr>
      <t>P</t>
    </r>
  </si>
  <si>
    <r>
      <t xml:space="preserve">45 </t>
    </r>
    <r>
      <rPr>
        <vertAlign val="superscript"/>
        <sz val="11"/>
        <rFont val="Times New Roman"/>
        <family val="2"/>
      </rPr>
      <t>P</t>
    </r>
  </si>
  <si>
    <r>
      <t xml:space="preserve">18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</si>
  <si>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22 </t>
    </r>
    <r>
      <rPr>
        <vertAlign val="superscript"/>
        <sz val="11"/>
        <rFont val="Times New Roman"/>
        <family val="2"/>
      </rPr>
      <t>P</t>
    </r>
  </si>
  <si>
    <r>
      <t xml:space="preserve">124 </t>
    </r>
    <r>
      <rPr>
        <vertAlign val="superscript"/>
        <sz val="11"/>
        <rFont val="Times New Roman"/>
        <family val="2"/>
      </rPr>
      <t>P</t>
    </r>
  </si>
  <si>
    <r>
      <t xml:space="preserve">14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</si>
  <si>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4.9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</si>
  <si>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6.0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</si>
  <si>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13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P</t>
    </r>
  </si>
  <si>
    <r>
      <t xml:space="preserve">26 </t>
    </r>
    <r>
      <rPr>
        <vertAlign val="superscript"/>
        <sz val="11"/>
        <rFont val="Times New Roman"/>
        <family val="2"/>
      </rPr>
      <t>P</t>
    </r>
  </si>
  <si>
    <r>
      <t xml:space="preserve">53 </t>
    </r>
    <r>
      <rPr>
        <vertAlign val="superscript"/>
        <sz val="11"/>
        <rFont val="Times New Roman"/>
        <family val="2"/>
      </rPr>
      <t>P</t>
    </r>
  </si>
  <si>
    <r>
      <t xml:space="preserve">25 </t>
    </r>
    <r>
      <rPr>
        <vertAlign val="superscript"/>
        <sz val="11"/>
        <rFont val="Times New Roman"/>
        <family val="2"/>
      </rPr>
      <t>P</t>
    </r>
  </si>
  <si>
    <r>
      <t xml:space="preserve">43 </t>
    </r>
    <r>
      <rPr>
        <vertAlign val="superscript"/>
        <sz val="11"/>
        <rFont val="Times New Roman"/>
        <family val="2"/>
      </rPr>
      <t>P</t>
    </r>
  </si>
  <si>
    <r>
      <t xml:space="preserve">13 </t>
    </r>
    <r>
      <rPr>
        <vertAlign val="superscript"/>
        <sz val="11"/>
        <rFont val="Times New Roman"/>
        <family val="2"/>
      </rPr>
      <t>P</t>
    </r>
  </si>
  <si>
    <r>
      <t xml:space="preserve">56 </t>
    </r>
    <r>
      <rPr>
        <vertAlign val="superscript"/>
        <sz val="11"/>
        <rFont val="Times New Roman"/>
        <family val="2"/>
      </rPr>
      <t>P</t>
    </r>
  </si>
  <si>
    <r>
      <t xml:space="preserve">29 </t>
    </r>
    <r>
      <rPr>
        <vertAlign val="superscript"/>
        <sz val="11"/>
        <rFont val="Times New Roman"/>
        <family val="2"/>
      </rPr>
      <t>P</t>
    </r>
  </si>
  <si>
    <r>
      <t xml:space="preserve">118 </t>
    </r>
    <r>
      <rPr>
        <vertAlign val="superscript"/>
        <sz val="11"/>
        <rFont val="Times New Roman"/>
        <family val="2"/>
      </rPr>
      <t>P</t>
    </r>
  </si>
  <si>
    <r>
      <t xml:space="preserve">11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</si>
  <si>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6.5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</si>
  <si>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5.7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</si>
  <si>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27 </t>
    </r>
    <r>
      <rPr>
        <vertAlign val="superscript"/>
        <sz val="11"/>
        <rFont val="Times New Roman"/>
        <family val="2"/>
      </rPr>
      <t>P</t>
    </r>
  </si>
  <si>
    <r>
      <t xml:space="preserve">112 </t>
    </r>
    <r>
      <rPr>
        <vertAlign val="superscript"/>
        <sz val="11"/>
        <rFont val="Times New Roman"/>
        <family val="2"/>
      </rPr>
      <t>P</t>
    </r>
  </si>
  <si>
    <r>
      <t xml:space="preserve">10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</si>
  <si>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6.4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</si>
  <si>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106 </t>
    </r>
    <r>
      <rPr>
        <vertAlign val="superscript"/>
        <sz val="11"/>
        <rFont val="Times New Roman"/>
        <family val="2"/>
      </rPr>
      <t>P</t>
    </r>
  </si>
  <si>
    <r>
      <t xml:space="preserve">7.8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</si>
  <si>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6.7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</si>
  <si>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31 </t>
    </r>
    <r>
      <rPr>
        <vertAlign val="superscript"/>
        <sz val="11"/>
        <rFont val="Times New Roman"/>
        <family val="2"/>
      </rPr>
      <t>P</t>
    </r>
  </si>
  <si>
    <r>
      <t xml:space="preserve">44 </t>
    </r>
    <r>
      <rPr>
        <vertAlign val="superscript"/>
        <sz val="11"/>
        <rFont val="Times New Roman"/>
        <family val="2"/>
      </rPr>
      <t>P</t>
    </r>
  </si>
  <si>
    <r>
      <t xml:space="preserve">39 </t>
    </r>
    <r>
      <rPr>
        <vertAlign val="superscript"/>
        <sz val="11"/>
        <rFont val="Times New Roman"/>
        <family val="2"/>
      </rPr>
      <t>P</t>
    </r>
  </si>
  <si>
    <r>
      <t xml:space="preserve">100 </t>
    </r>
    <r>
      <rPr>
        <vertAlign val="superscript"/>
        <sz val="11"/>
        <rFont val="Times New Roman"/>
        <family val="2"/>
      </rPr>
      <t>P</t>
    </r>
  </si>
  <si>
    <r>
      <t xml:space="preserve">7.5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</si>
  <si>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11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P</t>
    </r>
  </si>
  <si>
    <r>
      <t xml:space="preserve">52 </t>
    </r>
    <r>
      <rPr>
        <vertAlign val="superscript"/>
        <sz val="11"/>
        <rFont val="Times New Roman"/>
        <family val="2"/>
      </rPr>
      <t>P</t>
    </r>
  </si>
  <si>
    <r>
      <t xml:space="preserve">93 </t>
    </r>
    <r>
      <rPr>
        <vertAlign val="superscript"/>
        <sz val="11"/>
        <rFont val="Times New Roman"/>
        <family val="2"/>
      </rPr>
      <t>P</t>
    </r>
  </si>
  <si>
    <r>
      <t xml:space="preserve">41 </t>
    </r>
    <r>
      <rPr>
        <vertAlign val="superscript"/>
        <sz val="11"/>
        <rFont val="Times New Roman"/>
        <family val="2"/>
      </rPr>
      <t>P</t>
    </r>
  </si>
  <si>
    <r>
      <t xml:space="preserve">7.1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</si>
  <si>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54 </t>
    </r>
    <r>
      <rPr>
        <vertAlign val="superscript"/>
        <sz val="11"/>
        <rFont val="Times New Roman"/>
        <family val="2"/>
      </rPr>
      <t>P</t>
    </r>
  </si>
  <si>
    <r>
      <t xml:space="preserve">155 </t>
    </r>
    <r>
      <rPr>
        <vertAlign val="superscript"/>
        <sz val="11"/>
        <rFont val="Times New Roman"/>
        <family val="2"/>
      </rPr>
      <t>P</t>
    </r>
  </si>
  <si>
    <r>
      <t xml:space="preserve">91 </t>
    </r>
    <r>
      <rPr>
        <vertAlign val="superscript"/>
        <sz val="11"/>
        <rFont val="Times New Roman"/>
        <family val="2"/>
      </rPr>
      <t>P</t>
    </r>
  </si>
  <si>
    <r>
      <t xml:space="preserve">7.2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</si>
  <si>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6.6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</si>
  <si>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12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P</t>
    </r>
  </si>
  <si>
    <r>
      <t xml:space="preserve">58 </t>
    </r>
    <r>
      <rPr>
        <vertAlign val="superscript"/>
        <sz val="11"/>
        <rFont val="Times New Roman"/>
        <family val="2"/>
      </rPr>
      <t>P</t>
    </r>
  </si>
  <si>
    <r>
      <t xml:space="preserve">305 </t>
    </r>
    <r>
      <rPr>
        <vertAlign val="superscript"/>
        <sz val="11"/>
        <rFont val="Times New Roman"/>
        <family val="2"/>
      </rPr>
      <t>P</t>
    </r>
  </si>
  <si>
    <r>
      <t xml:space="preserve">86 </t>
    </r>
    <r>
      <rPr>
        <vertAlign val="superscript"/>
        <sz val="11"/>
        <rFont val="Times New Roman"/>
        <family val="2"/>
      </rPr>
      <t>P</t>
    </r>
  </si>
  <si>
    <r>
      <t xml:space="preserve">37 </t>
    </r>
    <r>
      <rPr>
        <vertAlign val="superscript"/>
        <sz val="11"/>
        <rFont val="Times New Roman"/>
        <family val="2"/>
      </rPr>
      <t>P</t>
    </r>
  </si>
  <si>
    <r>
      <t xml:space="preserve">8.1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</si>
  <si>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64 </t>
    </r>
    <r>
      <rPr>
        <vertAlign val="superscript"/>
        <sz val="11"/>
        <rFont val="Times New Roman"/>
        <family val="2"/>
      </rPr>
      <t>P</t>
    </r>
  </si>
  <si>
    <r>
      <t xml:space="preserve">38 </t>
    </r>
    <r>
      <rPr>
        <vertAlign val="superscript"/>
        <sz val="11"/>
        <rFont val="Times New Roman"/>
        <family val="2"/>
      </rPr>
      <t>P</t>
    </r>
  </si>
  <si>
    <r>
      <t xml:space="preserve">66 </t>
    </r>
    <r>
      <rPr>
        <vertAlign val="superscript"/>
        <sz val="11"/>
        <rFont val="Times New Roman"/>
        <family val="2"/>
      </rPr>
      <t>P</t>
    </r>
  </si>
  <si>
    <r>
      <t xml:space="preserve">32 </t>
    </r>
    <r>
      <rPr>
        <vertAlign val="superscript"/>
        <sz val="11"/>
        <rFont val="Times New Roman"/>
        <family val="2"/>
      </rPr>
      <t>P</t>
    </r>
  </si>
  <si>
    <r>
      <t xml:space="preserve">423 </t>
    </r>
    <r>
      <rPr>
        <vertAlign val="superscript"/>
        <sz val="11"/>
        <rFont val="Times New Roman"/>
        <family val="2"/>
      </rPr>
      <t>P</t>
    </r>
  </si>
  <si>
    <r>
      <t xml:space="preserve">82 </t>
    </r>
    <r>
      <rPr>
        <vertAlign val="superscript"/>
        <sz val="11"/>
        <rFont val="Times New Roman"/>
        <family val="2"/>
      </rPr>
      <t>P</t>
    </r>
  </si>
  <si>
    <r>
      <t xml:space="preserve">9.3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</si>
  <si>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6.1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</si>
  <si>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78 </t>
    </r>
    <r>
      <rPr>
        <vertAlign val="superscript"/>
        <sz val="11"/>
        <rFont val="Times New Roman"/>
        <family val="2"/>
      </rPr>
      <t>P</t>
    </r>
  </si>
  <si>
    <r>
      <t xml:space="preserve">36 </t>
    </r>
    <r>
      <rPr>
        <vertAlign val="superscript"/>
        <sz val="11"/>
        <rFont val="Times New Roman"/>
        <family val="2"/>
      </rPr>
      <t>P</t>
    </r>
  </si>
  <si>
    <r>
      <t xml:space="preserve">1,140 </t>
    </r>
    <r>
      <rPr>
        <vertAlign val="superscript"/>
        <sz val="11"/>
        <rFont val="Times New Roman"/>
        <family val="2"/>
      </rPr>
      <t>P</t>
    </r>
  </si>
  <si>
    <r>
      <t xml:space="preserve">80 </t>
    </r>
    <r>
      <rPr>
        <vertAlign val="superscript"/>
        <sz val="11"/>
        <rFont val="Times New Roman"/>
        <family val="2"/>
      </rPr>
      <t>P</t>
    </r>
  </si>
  <si>
    <r>
      <t xml:space="preserve">9.5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</si>
  <si>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6.2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</si>
  <si>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10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P</t>
    </r>
  </si>
  <si>
    <r>
      <t xml:space="preserve">94 </t>
    </r>
    <r>
      <rPr>
        <vertAlign val="superscript"/>
        <sz val="11"/>
        <rFont val="Times New Roman"/>
        <family val="2"/>
      </rPr>
      <t>P</t>
    </r>
  </si>
  <si>
    <r>
      <t xml:space="preserve">34 </t>
    </r>
    <r>
      <rPr>
        <vertAlign val="superscript"/>
        <sz val="11"/>
        <rFont val="Times New Roman"/>
        <family val="2"/>
      </rPr>
      <t>P</t>
    </r>
  </si>
  <si>
    <r>
      <t xml:space="preserve">49 </t>
    </r>
    <r>
      <rPr>
        <vertAlign val="superscript"/>
        <sz val="11"/>
        <rFont val="Times New Roman"/>
        <family val="2"/>
      </rPr>
      <t>P</t>
    </r>
  </si>
  <si>
    <r>
      <t xml:space="preserve">844 </t>
    </r>
    <r>
      <rPr>
        <vertAlign val="superscript"/>
        <sz val="11"/>
        <rFont val="Times New Roman"/>
        <family val="2"/>
      </rPr>
      <t>P</t>
    </r>
  </si>
  <si>
    <r>
      <t xml:space="preserve">77 </t>
    </r>
    <r>
      <rPr>
        <vertAlign val="superscript"/>
        <sz val="11"/>
        <rFont val="Times New Roman"/>
        <family val="2"/>
      </rPr>
      <t>P</t>
    </r>
  </si>
  <si>
    <r>
      <t xml:space="preserve">23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</si>
  <si>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9.8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</si>
  <si>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9.4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P</t>
    </r>
  </si>
  <si>
    <r>
      <t xml:space="preserve">99 </t>
    </r>
    <r>
      <rPr>
        <vertAlign val="superscript"/>
        <sz val="11"/>
        <rFont val="Times New Roman"/>
        <family val="2"/>
      </rPr>
      <t>P</t>
    </r>
  </si>
  <si>
    <r>
      <t xml:space="preserve">968 </t>
    </r>
    <r>
      <rPr>
        <vertAlign val="superscript"/>
        <sz val="11"/>
        <rFont val="Times New Roman"/>
        <family val="2"/>
      </rPr>
      <t>P</t>
    </r>
  </si>
  <si>
    <r>
      <t xml:space="preserve">74 </t>
    </r>
    <r>
      <rPr>
        <vertAlign val="superscript"/>
        <sz val="11"/>
        <rFont val="Times New Roman"/>
        <family val="2"/>
      </rPr>
      <t>P</t>
    </r>
  </si>
  <si>
    <r>
      <t xml:space="preserve">22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</si>
  <si>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9.6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</si>
  <si>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9.3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P</t>
    </r>
  </si>
  <si>
    <r>
      <t xml:space="preserve">33 </t>
    </r>
    <r>
      <rPr>
        <vertAlign val="superscript"/>
        <sz val="11"/>
        <rFont val="Times New Roman"/>
        <family val="2"/>
      </rPr>
      <t>P</t>
    </r>
  </si>
  <si>
    <r>
      <t xml:space="preserve">1,020 </t>
    </r>
    <r>
      <rPr>
        <vertAlign val="superscript"/>
        <sz val="11"/>
        <rFont val="Times New Roman"/>
        <family val="2"/>
      </rPr>
      <t>P</t>
    </r>
  </si>
  <si>
    <r>
      <t xml:space="preserve">72 </t>
    </r>
    <r>
      <rPr>
        <vertAlign val="superscript"/>
        <sz val="11"/>
        <rFont val="Times New Roman"/>
        <family val="2"/>
      </rPr>
      <t>P</t>
    </r>
  </si>
  <si>
    <r>
      <t xml:space="preserve">9.9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</si>
  <si>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108 </t>
    </r>
    <r>
      <rPr>
        <vertAlign val="superscript"/>
        <sz val="11"/>
        <rFont val="Times New Roman"/>
        <family val="2"/>
      </rPr>
      <t>P</t>
    </r>
  </si>
  <si>
    <r>
      <t xml:space="preserve">781 </t>
    </r>
    <r>
      <rPr>
        <vertAlign val="superscript"/>
        <sz val="11"/>
        <rFont val="Times New Roman"/>
        <family val="2"/>
      </rPr>
      <t>P</t>
    </r>
  </si>
  <si>
    <r>
      <t xml:space="preserve">68 </t>
    </r>
    <r>
      <rPr>
        <vertAlign val="superscript"/>
        <sz val="11"/>
        <rFont val="Times New Roman"/>
        <family val="2"/>
      </rPr>
      <t>P</t>
    </r>
  </si>
  <si>
    <r>
      <t xml:space="preserve">9.7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</si>
  <si>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105 </t>
    </r>
    <r>
      <rPr>
        <vertAlign val="superscript"/>
        <sz val="11"/>
        <rFont val="Times New Roman"/>
        <family val="2"/>
      </rPr>
      <t>P</t>
    </r>
  </si>
  <si>
    <r>
      <t xml:space="preserve">618 </t>
    </r>
    <r>
      <rPr>
        <vertAlign val="superscript"/>
        <sz val="11"/>
        <rFont val="Times New Roman"/>
        <family val="2"/>
      </rPr>
      <t>P</t>
    </r>
  </si>
  <si>
    <r>
      <t xml:space="preserve">13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</si>
  <si>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8.0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</si>
  <si>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76 </t>
    </r>
    <r>
      <rPr>
        <vertAlign val="superscript"/>
        <sz val="11"/>
        <rFont val="Times New Roman"/>
        <family val="2"/>
      </rPr>
      <t>P</t>
    </r>
  </si>
  <si>
    <r>
      <t xml:space="preserve">506 </t>
    </r>
    <r>
      <rPr>
        <vertAlign val="superscript"/>
        <sz val="11"/>
        <rFont val="Times New Roman"/>
        <family val="2"/>
      </rPr>
      <t>P</t>
    </r>
  </si>
  <si>
    <r>
      <t xml:space="preserve">7.3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</si>
  <si>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70 </t>
    </r>
    <r>
      <rPr>
        <vertAlign val="superscript"/>
        <sz val="11"/>
        <rFont val="Times New Roman"/>
        <family val="2"/>
      </rPr>
      <t>P</t>
    </r>
  </si>
  <si>
    <r>
      <t xml:space="preserve">438 </t>
    </r>
    <r>
      <rPr>
        <vertAlign val="superscript"/>
        <sz val="11"/>
        <rFont val="Times New Roman"/>
        <family val="2"/>
      </rPr>
      <t>P</t>
    </r>
  </si>
  <si>
    <r>
      <t xml:space="preserve">7.0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</si>
  <si>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61 </t>
    </r>
    <r>
      <rPr>
        <vertAlign val="superscript"/>
        <sz val="11"/>
        <rFont val="Times New Roman"/>
        <family val="2"/>
      </rPr>
      <t>P</t>
    </r>
  </si>
  <si>
    <r>
      <t xml:space="preserve">385 </t>
    </r>
    <r>
      <rPr>
        <vertAlign val="superscript"/>
        <sz val="11"/>
        <rFont val="Times New Roman"/>
        <family val="2"/>
      </rPr>
      <t>P</t>
    </r>
  </si>
  <si>
    <r>
      <t xml:space="preserve">62 </t>
    </r>
    <r>
      <rPr>
        <vertAlign val="superscript"/>
        <sz val="11"/>
        <rFont val="Times New Roman"/>
        <family val="2"/>
      </rPr>
      <t>P</t>
    </r>
  </si>
  <si>
    <r>
      <t xml:space="preserve">5.3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</si>
  <si>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5.6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</si>
  <si>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15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P</t>
    </r>
  </si>
  <si>
    <r>
      <t xml:space="preserve">63 </t>
    </r>
    <r>
      <rPr>
        <vertAlign val="superscript"/>
        <sz val="11"/>
        <rFont val="Times New Roman"/>
        <family val="2"/>
      </rPr>
      <t>P</t>
    </r>
  </si>
  <si>
    <r>
      <t xml:space="preserve">342 </t>
    </r>
    <r>
      <rPr>
        <vertAlign val="superscript"/>
        <sz val="11"/>
        <rFont val="Times New Roman"/>
        <family val="2"/>
      </rPr>
      <t>P</t>
    </r>
  </si>
  <si>
    <r>
      <t xml:space="preserve">59 </t>
    </r>
    <r>
      <rPr>
        <vertAlign val="superscript"/>
        <sz val="11"/>
        <rFont val="Times New Roman"/>
        <family val="2"/>
      </rPr>
      <t>P</t>
    </r>
  </si>
  <si>
    <r>
      <t xml:space="preserve">17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</si>
  <si>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5.0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</si>
  <si>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14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P</t>
    </r>
  </si>
  <si>
    <r>
      <t xml:space="preserve">21 </t>
    </r>
    <r>
      <rPr>
        <vertAlign val="superscript"/>
        <sz val="11"/>
        <rFont val="Times New Roman"/>
        <family val="2"/>
      </rPr>
      <t>P</t>
    </r>
  </si>
  <si>
    <r>
      <t xml:space="preserve">313 </t>
    </r>
    <r>
      <rPr>
        <vertAlign val="superscript"/>
        <sz val="11"/>
        <rFont val="Times New Roman"/>
        <family val="2"/>
      </rPr>
      <t>P</t>
    </r>
  </si>
  <si>
    <r>
      <t xml:space="preserve">17 </t>
    </r>
    <r>
      <rPr>
        <vertAlign val="superscript"/>
        <sz val="11"/>
        <rFont val="Times New Roman"/>
        <family val="2"/>
      </rPr>
      <t>P</t>
    </r>
  </si>
  <si>
    <r>
      <t xml:space="preserve">79 </t>
    </r>
    <r>
      <rPr>
        <vertAlign val="superscript"/>
        <sz val="11"/>
        <rFont val="Times New Roman"/>
        <family val="2"/>
      </rPr>
      <t>P</t>
    </r>
  </si>
  <si>
    <r>
      <t xml:space="preserve">264 </t>
    </r>
    <r>
      <rPr>
        <vertAlign val="superscript"/>
        <sz val="11"/>
        <rFont val="Times New Roman"/>
        <family val="2"/>
      </rPr>
      <t>P</t>
    </r>
  </si>
  <si>
    <r>
      <t xml:space="preserve">5.4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</si>
  <si>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238 </t>
    </r>
    <r>
      <rPr>
        <vertAlign val="superscript"/>
        <sz val="11"/>
        <rFont val="Times New Roman"/>
        <family val="2"/>
      </rPr>
      <t>P</t>
    </r>
  </si>
  <si>
    <r>
      <t xml:space="preserve">16 </t>
    </r>
    <r>
      <rPr>
        <vertAlign val="superscript"/>
        <sz val="11"/>
        <rFont val="Times New Roman"/>
        <family val="2"/>
      </rPr>
      <t>P</t>
    </r>
  </si>
  <si>
    <r>
      <t xml:space="preserve">214 </t>
    </r>
    <r>
      <rPr>
        <vertAlign val="superscript"/>
        <sz val="11"/>
        <rFont val="Times New Roman"/>
        <family val="2"/>
      </rPr>
      <t>P</t>
    </r>
  </si>
  <si>
    <r>
      <t xml:space="preserve">19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</si>
  <si>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69 </t>
    </r>
    <r>
      <rPr>
        <vertAlign val="superscript"/>
        <sz val="11"/>
        <rFont val="Times New Roman"/>
        <family val="2"/>
      </rPr>
      <t>P</t>
    </r>
  </si>
  <si>
    <r>
      <t xml:space="preserve">51 </t>
    </r>
    <r>
      <rPr>
        <vertAlign val="superscript"/>
        <sz val="11"/>
        <rFont val="Times New Roman"/>
        <family val="2"/>
      </rPr>
      <t>P</t>
    </r>
  </si>
  <si>
    <r>
      <t xml:space="preserve">203 </t>
    </r>
    <r>
      <rPr>
        <vertAlign val="superscript"/>
        <sz val="11"/>
        <rFont val="Times New Roman"/>
        <family val="2"/>
      </rPr>
      <t>P</t>
    </r>
  </si>
  <si>
    <r>
      <t xml:space="preserve">6.3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</si>
  <si>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186 </t>
    </r>
    <r>
      <rPr>
        <vertAlign val="superscript"/>
        <sz val="11"/>
        <rFont val="Times New Roman"/>
        <family val="2"/>
      </rPr>
      <t>P</t>
    </r>
  </si>
  <si>
    <r>
      <t xml:space="preserve">50 </t>
    </r>
    <r>
      <rPr>
        <vertAlign val="superscript"/>
        <sz val="11"/>
        <rFont val="Times New Roman"/>
        <family val="2"/>
      </rPr>
      <t>P</t>
    </r>
  </si>
  <si>
    <r>
      <t xml:space="preserve">169 </t>
    </r>
    <r>
      <rPr>
        <vertAlign val="superscript"/>
        <sz val="11"/>
        <rFont val="Times New Roman"/>
        <family val="2"/>
      </rPr>
      <t>P</t>
    </r>
  </si>
  <si>
    <r>
      <t xml:space="preserve">47 </t>
    </r>
    <r>
      <rPr>
        <vertAlign val="superscript"/>
        <sz val="11"/>
        <rFont val="Times New Roman"/>
        <family val="2"/>
      </rPr>
      <t>P</t>
    </r>
  </si>
  <si>
    <t>BC at Lowell</t>
  </si>
  <si>
    <t>5a Little Bear</t>
  </si>
  <si>
    <t>12 Lair</t>
  </si>
  <si>
    <t>26 Cub mouth</t>
  </si>
  <si>
    <t>Copper Study</t>
  </si>
  <si>
    <t>Nutrients</t>
  </si>
  <si>
    <t>Lower Cub Creek, Cub Creek Park</t>
  </si>
  <si>
    <t>Upper Cub Creek,  @ Brookforest Inn</t>
  </si>
  <si>
    <t>Upper Cub Creek, @ Brookforest Inn</t>
  </si>
  <si>
    <t>Seg 7</t>
  </si>
  <si>
    <t>Bear Creek Below Summit Lake</t>
  </si>
  <si>
    <t>Seg 1d</t>
  </si>
  <si>
    <t>Evergreen Lake</t>
  </si>
  <si>
    <t>Site 4a</t>
  </si>
  <si>
    <t>Site 40a</t>
  </si>
  <si>
    <t>Bear Creek Reservoir</t>
  </si>
  <si>
    <t>Bear Creek Park</t>
  </si>
  <si>
    <t>Bear Creek Wadsworth</t>
  </si>
  <si>
    <t>Bear Creek below BCR</t>
  </si>
  <si>
    <t>Evans</t>
  </si>
  <si>
    <t>Upper Bear</t>
  </si>
  <si>
    <t>Tribs</t>
  </si>
  <si>
    <t>Seg 1b</t>
  </si>
  <si>
    <t>Seg 1c</t>
  </si>
  <si>
    <t>Lower Bear</t>
  </si>
  <si>
    <t>Seg 2</t>
  </si>
  <si>
    <t xml:space="preserve">Middle Bear Creek </t>
  </si>
  <si>
    <t>BCP</t>
  </si>
  <si>
    <t>South Turkey Creek, Park</t>
  </si>
  <si>
    <t>Site 40</t>
  </si>
  <si>
    <t>Volume</t>
  </si>
  <si>
    <t>T Depth</t>
  </si>
  <si>
    <t>t depth</t>
  </si>
  <si>
    <t>P (mg/kg)</t>
  </si>
  <si>
    <t>BC117-1</t>
  </si>
  <si>
    <t>BC117-2</t>
  </si>
  <si>
    <t>BC117-3</t>
  </si>
  <si>
    <t>BC117-4</t>
  </si>
  <si>
    <t>BC117-5</t>
  </si>
  <si>
    <t>BC117-6</t>
  </si>
  <si>
    <t>BC217-1</t>
  </si>
  <si>
    <t>BC217-2</t>
  </si>
  <si>
    <t>BC217-3</t>
  </si>
  <si>
    <t>BC217-4</t>
  </si>
  <si>
    <t>BC217-5</t>
  </si>
  <si>
    <t>BC217-6</t>
  </si>
  <si>
    <t>BC317B-1</t>
  </si>
  <si>
    <t>BC317B-2</t>
  </si>
  <si>
    <t>BC317B-3</t>
  </si>
  <si>
    <t>BC317B-4</t>
  </si>
  <si>
    <t>BC317B-5</t>
  </si>
  <si>
    <t>BC317B-6</t>
  </si>
  <si>
    <t>34b</t>
  </si>
  <si>
    <t>BC417-1</t>
  </si>
  <si>
    <t>BC417-2</t>
  </si>
  <si>
    <t>BC417-3</t>
  </si>
  <si>
    <t>BC417-4</t>
  </si>
  <si>
    <t>BC417-5</t>
  </si>
  <si>
    <t>BC417-6</t>
  </si>
  <si>
    <t>BC517C-1</t>
  </si>
  <si>
    <t>BC517C-2</t>
  </si>
  <si>
    <t>BC517C-3</t>
  </si>
  <si>
    <t>BC517C-4</t>
  </si>
  <si>
    <t>BC517C-5</t>
  </si>
  <si>
    <t>BC517C-6</t>
  </si>
  <si>
    <t>BC617D-1</t>
  </si>
  <si>
    <t>BC617D-2</t>
  </si>
  <si>
    <t>BC617D-3</t>
  </si>
  <si>
    <t>BC617D-4</t>
  </si>
  <si>
    <t>BC617D-5</t>
  </si>
  <si>
    <t>BC617D-6</t>
  </si>
  <si>
    <t>BC717B-1</t>
  </si>
  <si>
    <t>BC717B-2</t>
  </si>
  <si>
    <t>BC717B-3</t>
  </si>
  <si>
    <t>BC717B-4</t>
  </si>
  <si>
    <t>BC717B-5</t>
  </si>
  <si>
    <t>BC717B-6</t>
  </si>
  <si>
    <t>BC817D-1</t>
  </si>
  <si>
    <t>BC817D-2</t>
  </si>
  <si>
    <t>BC817D-3</t>
  </si>
  <si>
    <t>BC817D-4</t>
  </si>
  <si>
    <t>BC817D-5</t>
  </si>
  <si>
    <t>BC817D-6</t>
  </si>
  <si>
    <t>BC917B-1</t>
  </si>
  <si>
    <t>BC917B-2</t>
  </si>
  <si>
    <t>BC917B-3</t>
  </si>
  <si>
    <t>BC917B-4</t>
  </si>
  <si>
    <t>BC917B-5</t>
  </si>
  <si>
    <t>BC917B-6</t>
  </si>
  <si>
    <t>BC917E-1</t>
  </si>
  <si>
    <t>BC917E-2</t>
  </si>
  <si>
    <t>BC917E-3</t>
  </si>
  <si>
    <t>BC917E-4</t>
  </si>
  <si>
    <t>BC917E-5</t>
  </si>
  <si>
    <t>BC917E-6</t>
  </si>
  <si>
    <t>BC1117B-1</t>
  </si>
  <si>
    <t>BC1117B-2</t>
  </si>
  <si>
    <t>BC1117B-3</t>
  </si>
  <si>
    <t>BC1117B-4</t>
  </si>
  <si>
    <t>BC1117B-5</t>
  </si>
  <si>
    <t>BC1117B-6</t>
  </si>
  <si>
    <t>BC1217-1</t>
  </si>
  <si>
    <t>BC1217-2</t>
  </si>
  <si>
    <t>BC1217-3</t>
  </si>
  <si>
    <t>BC1217-4</t>
  </si>
  <si>
    <t>BC1217-5</t>
  </si>
  <si>
    <t>BC717F-1</t>
  </si>
  <si>
    <t>BC717F-2</t>
  </si>
  <si>
    <t>Sample Dates</t>
  </si>
  <si>
    <t>Total Depth 40</t>
  </si>
  <si>
    <t>0=1</t>
  </si>
  <si>
    <t>Secchi Target</t>
  </si>
  <si>
    <t>Water Column TP</t>
  </si>
  <si>
    <t>Annual ac-ft</t>
  </si>
  <si>
    <t>Site 36 Bear Creek</t>
  </si>
  <si>
    <t>Site 63 Bottom Fen</t>
  </si>
  <si>
    <t>tn</t>
  </si>
  <si>
    <t>tp</t>
  </si>
  <si>
    <t>Site 87/34b</t>
  </si>
  <si>
    <t>Annual</t>
  </si>
  <si>
    <t>91-2017 Mean</t>
  </si>
  <si>
    <t>91-2017 Median</t>
  </si>
  <si>
    <t>Date/Time</t>
  </si>
  <si>
    <t>DISCHRG (cfs)</t>
  </si>
  <si>
    <t>jan</t>
  </si>
  <si>
    <t>feb</t>
  </si>
  <si>
    <t>mar</t>
  </si>
  <si>
    <t>apr</t>
  </si>
  <si>
    <t>may</t>
  </si>
  <si>
    <t>sep</t>
  </si>
  <si>
    <t>oct</t>
  </si>
  <si>
    <t>nov</t>
  </si>
  <si>
    <t>dec</t>
  </si>
  <si>
    <t>STORAGE (AF)</t>
  </si>
  <si>
    <t>40 - Reservoir (Average 1/2-2m)</t>
  </si>
  <si>
    <t>40 - Reservoir surface</t>
  </si>
  <si>
    <r>
      <t xml:space="preserve">Air Temperature, 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</t>
    </r>
  </si>
  <si>
    <r>
      <t>Water Temperature,</t>
    </r>
    <r>
      <rPr>
        <vertAlign val="superscript"/>
        <sz val="11"/>
        <rFont val="Times New Roman"/>
        <family val="1"/>
      </rPr>
      <t xml:space="preserve"> o</t>
    </r>
    <r>
      <rPr>
        <sz val="11"/>
        <rFont val="Times New Roman"/>
        <family val="1"/>
      </rPr>
      <t>C</t>
    </r>
  </si>
  <si>
    <t>40- Reservoir 1/2 m</t>
  </si>
  <si>
    <t>Copper- Dissolved, Pounds/Month</t>
  </si>
  <si>
    <t>2a</t>
  </si>
  <si>
    <t>3a</t>
  </si>
  <si>
    <t>8a</t>
  </si>
  <si>
    <t>32a</t>
  </si>
  <si>
    <t>13a</t>
  </si>
  <si>
    <t>Site 26</t>
  </si>
  <si>
    <t>Cub Creek mouth at Bear Creek</t>
  </si>
  <si>
    <t>Site 94</t>
  </si>
  <si>
    <t>Cub Creek, Mouth</t>
  </si>
  <si>
    <t>Bear Creek below Wilderness</t>
  </si>
  <si>
    <t>Upper Tribs</t>
  </si>
  <si>
    <t>Mt. V</t>
  </si>
  <si>
    <t>DO (mg/l)</t>
  </si>
  <si>
    <t>Keys</t>
  </si>
  <si>
    <t>Bergan</t>
  </si>
  <si>
    <t>Mt Vernon</t>
  </si>
  <si>
    <t>Anabaena flos-aquae</t>
  </si>
  <si>
    <t>Stephanodiscus niagarae</t>
  </si>
  <si>
    <t>Chlamydomonas sp.</t>
  </si>
  <si>
    <t>Total Phosphorus lbs/yr</t>
  </si>
  <si>
    <t>Reservoir NPS</t>
  </si>
  <si>
    <t>%NPS</t>
  </si>
  <si>
    <t>Total TP Load</t>
  </si>
  <si>
    <t>PS</t>
  </si>
  <si>
    <t>%PS</t>
  </si>
  <si>
    <t>NPS</t>
  </si>
  <si>
    <t>Turkey Creek Drainage</t>
  </si>
  <si>
    <t>Bear Creek Drainage</t>
  </si>
  <si>
    <t>Discharged into Reservoir</t>
  </si>
  <si>
    <t>NPS load increase between 45 and 90</t>
  </si>
  <si>
    <t>% Nonpoint Source Load</t>
  </si>
  <si>
    <t>Total Discharge WWTFs</t>
  </si>
  <si>
    <t>Assume 25% PS Reaches BCR</t>
  </si>
  <si>
    <t>Estimated Reservoir Total</t>
  </si>
  <si>
    <t>34b Mt Vernon</t>
  </si>
  <si>
    <t>32 Troublesome</t>
  </si>
  <si>
    <t>Reservoir</t>
  </si>
  <si>
    <t>Lowell</t>
  </si>
  <si>
    <t>Bear Creek Watershed Association Macroinvertebrate Sample Program</t>
  </si>
  <si>
    <t>BCWA Site</t>
  </si>
  <si>
    <t>Description</t>
  </si>
  <si>
    <t>Bear Creek Stream Segment</t>
  </si>
  <si>
    <t>WQCD Timed Kicknet</t>
  </si>
  <si>
    <t>Habitat</t>
  </si>
  <si>
    <t>Collected by</t>
  </si>
  <si>
    <t>Date Collected</t>
  </si>
  <si>
    <t>Channel width (ft)</t>
  </si>
  <si>
    <t>embeddedness (%)</t>
  </si>
  <si>
    <t>water clarity</t>
  </si>
  <si>
    <t>BCP @ bridge</t>
  </si>
  <si>
    <t>1b</t>
  </si>
  <si>
    <t>Fast Riffle</t>
  </si>
  <si>
    <t>Morrison @ gage</t>
  </si>
  <si>
    <t>Idledale</t>
  </si>
  <si>
    <t>Lair O’ Bear</t>
  </si>
  <si>
    <t>O’ Fallon</t>
  </si>
  <si>
    <t>8b</t>
  </si>
  <si>
    <t>BCC at Bridge</t>
  </si>
  <si>
    <t>Little Bear</t>
  </si>
  <si>
    <t>Keys @ bridge</t>
  </si>
  <si>
    <t>1a</t>
  </si>
  <si>
    <t>Golden Willow</t>
  </si>
  <si>
    <t>Above SRR</t>
  </si>
  <si>
    <t>Wadsworth</t>
  </si>
  <si>
    <t>1c</t>
  </si>
  <si>
    <t>Sunny 80's</t>
  </si>
  <si>
    <t>B pressure</t>
  </si>
  <si>
    <t>RC/TL/CM</t>
  </si>
  <si>
    <t>Site 15a-BCP @ Bridge</t>
  </si>
  <si>
    <t>Site 14a-Morrison Park West</t>
  </si>
  <si>
    <t>Site 13a-Idledale</t>
  </si>
  <si>
    <t>Site 12-Lair O' Bear</t>
  </si>
  <si>
    <t>Site 9-O'Fallon</t>
  </si>
  <si>
    <t>Site 8b BCC @ Bridge</t>
  </si>
  <si>
    <t>Site 5 Little Bear</t>
  </si>
  <si>
    <t>Site 3a Keys</t>
  </si>
  <si>
    <t>Site (90 ) Wadsworth</t>
  </si>
  <si>
    <t>Bergen</t>
  </si>
  <si>
    <t>Flows, cfs</t>
  </si>
  <si>
    <t>Periphyton%</t>
  </si>
  <si>
    <t>Thickness</t>
  </si>
  <si>
    <t>75-80</t>
  </si>
  <si>
    <t>1 to 5</t>
  </si>
  <si>
    <t>Rock Dams</t>
  </si>
  <si>
    <t>Sunny 60s, cold front</t>
  </si>
  <si>
    <t>Kerr</t>
  </si>
  <si>
    <t>cub</t>
  </si>
  <si>
    <t xml:space="preserve">Partly Cloudy, 30s, </t>
  </si>
  <si>
    <t xml:space="preserve"> RNC/ TL</t>
  </si>
  <si>
    <t>Sediment Sample</t>
  </si>
  <si>
    <t>Vol</t>
  </si>
  <si>
    <t>EGL1</t>
  </si>
  <si>
    <t>EGL4a</t>
  </si>
  <si>
    <t>volume = 25ml</t>
  </si>
  <si>
    <t>Evergreen Lake @Dam</t>
  </si>
  <si>
    <t>grey mud</t>
  </si>
  <si>
    <t>black/silty clay</t>
  </si>
  <si>
    <t>black mud</t>
  </si>
  <si>
    <t>BCWA Dredge Sample Program 10/15/2018 and EGL 10/24/2018</t>
  </si>
  <si>
    <t>10?15/2018</t>
  </si>
  <si>
    <t>Diatom</t>
  </si>
  <si>
    <t>2019 Sampling Bear Creek Watershed Association</t>
  </si>
  <si>
    <t>BC118B-1</t>
  </si>
  <si>
    <t>BC118B-2</t>
  </si>
  <si>
    <t>BC118B-3</t>
  </si>
  <si>
    <t>BC118B-4</t>
  </si>
  <si>
    <t>BC118B-5</t>
  </si>
  <si>
    <t>BC118B-6</t>
  </si>
  <si>
    <t>BC118B-7</t>
  </si>
  <si>
    <t>BC118B-8</t>
  </si>
  <si>
    <t>BC118B-9</t>
  </si>
  <si>
    <t>BC218-1</t>
  </si>
  <si>
    <t>2/12/12018</t>
  </si>
  <si>
    <t>BC218-2</t>
  </si>
  <si>
    <t>BC218-3</t>
  </si>
  <si>
    <t>BC218-4</t>
  </si>
  <si>
    <t>BC218-5</t>
  </si>
  <si>
    <t>BC218-6</t>
  </si>
  <si>
    <t>BC218-7</t>
  </si>
  <si>
    <t>BC218-8</t>
  </si>
  <si>
    <t>BC218-9</t>
  </si>
  <si>
    <t>BC218-10</t>
  </si>
  <si>
    <t>BC218-11</t>
  </si>
  <si>
    <t>BC318B-1</t>
  </si>
  <si>
    <t>BC318B-2</t>
  </si>
  <si>
    <t>BC318B-3</t>
  </si>
  <si>
    <t>BC318B-4</t>
  </si>
  <si>
    <t>BC318B-5</t>
  </si>
  <si>
    <t>BC318B-6</t>
  </si>
  <si>
    <t>BC318B-7</t>
  </si>
  <si>
    <t>BC318B-8</t>
  </si>
  <si>
    <t>BC318B-9</t>
  </si>
  <si>
    <t>BC418-1</t>
  </si>
  <si>
    <t>BC418-2</t>
  </si>
  <si>
    <t>BC418-3</t>
  </si>
  <si>
    <t>BC418-4</t>
  </si>
  <si>
    <t>BC418-5</t>
  </si>
  <si>
    <t>BC418-6</t>
  </si>
  <si>
    <t>BC418-7</t>
  </si>
  <si>
    <t>BC418-8</t>
  </si>
  <si>
    <t>BC418-9</t>
  </si>
  <si>
    <t>BC418-10</t>
  </si>
  <si>
    <t>BC418-11</t>
  </si>
  <si>
    <t>BC518C-1</t>
  </si>
  <si>
    <t>BC518C-2</t>
  </si>
  <si>
    <t>BC518C-3</t>
  </si>
  <si>
    <t>E. coli</t>
  </si>
  <si>
    <t>SM 9223B</t>
  </si>
  <si>
    <t>MPN/100 mL</t>
  </si>
  <si>
    <t>BC518C-4</t>
  </si>
  <si>
    <t>BC518C-5</t>
  </si>
  <si>
    <t>BC518C-6</t>
  </si>
  <si>
    <t>BC518C-7</t>
  </si>
  <si>
    <t>BC518C-8</t>
  </si>
  <si>
    <t>BC518C-9</t>
  </si>
  <si>
    <t>BC518C-10</t>
  </si>
  <si>
    <t>BC618B-1</t>
  </si>
  <si>
    <t>BC618B-2</t>
  </si>
  <si>
    <t>BC618B-3</t>
  </si>
  <si>
    <t>BC618B-4</t>
  </si>
  <si>
    <t>BC618B-5</t>
  </si>
  <si>
    <t>BC618B-6</t>
  </si>
  <si>
    <t>BC618B-7</t>
  </si>
  <si>
    <t>BC618B-8</t>
  </si>
  <si>
    <t>BC618B-9</t>
  </si>
  <si>
    <t>BC618B-10</t>
  </si>
  <si>
    <t>BC618B-11</t>
  </si>
  <si>
    <t>BC718E-1</t>
  </si>
  <si>
    <t>BC718E-2</t>
  </si>
  <si>
    <t>BC718E-3</t>
  </si>
  <si>
    <t>BC718E-4</t>
  </si>
  <si>
    <t>BC718E-5</t>
  </si>
  <si>
    <t>BC718E-6</t>
  </si>
  <si>
    <t>BC818D-1</t>
  </si>
  <si>
    <t>BC818D-2</t>
  </si>
  <si>
    <t>BC818D-3</t>
  </si>
  <si>
    <t>BC818D-4</t>
  </si>
  <si>
    <t>BC818D-5</t>
  </si>
  <si>
    <t>BC818D-6</t>
  </si>
  <si>
    <t>BC818-1</t>
  </si>
  <si>
    <t>BC818-2</t>
  </si>
  <si>
    <t>BC818-3</t>
  </si>
  <si>
    <t>BC818-4</t>
  </si>
  <si>
    <t>BC818-5</t>
  </si>
  <si>
    <t>BC818-6</t>
  </si>
  <si>
    <t>BC818-9</t>
  </si>
  <si>
    <t>BC818-10</t>
  </si>
  <si>
    <t>BC818-7</t>
  </si>
  <si>
    <t>BC818-8</t>
  </si>
  <si>
    <t>BC818-11</t>
  </si>
  <si>
    <t>BC918B-1</t>
  </si>
  <si>
    <t>BC918B-2</t>
  </si>
  <si>
    <t>BC918B-3</t>
  </si>
  <si>
    <t>BC918B-4</t>
  </si>
  <si>
    <t>BC918B-5</t>
  </si>
  <si>
    <t>BC918B-6</t>
  </si>
  <si>
    <t>BC918B-7</t>
  </si>
  <si>
    <t>BC918B-8</t>
  </si>
  <si>
    <t>BC918B-9</t>
  </si>
  <si>
    <t>BC918E-1</t>
  </si>
  <si>
    <t>BC918E-2</t>
  </si>
  <si>
    <t>BC918E-3</t>
  </si>
  <si>
    <t>BC918E-4</t>
  </si>
  <si>
    <t>BC918E-5</t>
  </si>
  <si>
    <t>BC918E-6</t>
  </si>
  <si>
    <t>BC1018-1</t>
  </si>
  <si>
    <t>BC1018-2</t>
  </si>
  <si>
    <t>BC1018-3</t>
  </si>
  <si>
    <t>BC1018-4</t>
  </si>
  <si>
    <t>BC1018-5</t>
  </si>
  <si>
    <t>BC1018-6</t>
  </si>
  <si>
    <t>BC1018-9</t>
  </si>
  <si>
    <t>BC1018-10</t>
  </si>
  <si>
    <t>BC1018-7</t>
  </si>
  <si>
    <t>BC1018-8</t>
  </si>
  <si>
    <t>BC1018-11</t>
  </si>
  <si>
    <t>BC1218-1</t>
  </si>
  <si>
    <t>BC1218-2</t>
  </si>
  <si>
    <t>BC1218-3</t>
  </si>
  <si>
    <t>BC1218-4</t>
  </si>
  <si>
    <t>BC1218-5</t>
  </si>
  <si>
    <t>BC1218-6</t>
  </si>
  <si>
    <t>BC1118-1</t>
  </si>
  <si>
    <t>BC1118-2</t>
  </si>
  <si>
    <t>BC1118-3</t>
  </si>
  <si>
    <t>BC1118-4</t>
  </si>
  <si>
    <t>BC1118-5</t>
  </si>
  <si>
    <t>BC1118-6</t>
  </si>
  <si>
    <t>BC1118-9</t>
  </si>
  <si>
    <t>BC1118-10</t>
  </si>
  <si>
    <t>BC1218-9</t>
  </si>
  <si>
    <t>BC1218-10</t>
  </si>
  <si>
    <t>BC1118-7</t>
  </si>
  <si>
    <t>BC1118-8</t>
  </si>
  <si>
    <t>BC1118-11</t>
  </si>
  <si>
    <t>BC1218-7</t>
  </si>
  <si>
    <t>BC1218-8</t>
  </si>
  <si>
    <t>BC1218-11</t>
  </si>
  <si>
    <t>BC718B-9</t>
  </si>
  <si>
    <t>BC718B-10</t>
  </si>
  <si>
    <t>BC718B-11</t>
  </si>
  <si>
    <t>BC718B-3</t>
  </si>
  <si>
    <t>BC718B-4</t>
  </si>
  <si>
    <t>BC518-1</t>
  </si>
  <si>
    <t>SM 2540 D</t>
  </si>
  <si>
    <t>BC518-2</t>
  </si>
  <si>
    <t>4e</t>
  </si>
  <si>
    <t>BC618C-1</t>
  </si>
  <si>
    <t>BC618C-2</t>
  </si>
  <si>
    <t>BC718B-1</t>
  </si>
  <si>
    <t>BC718B-2</t>
  </si>
  <si>
    <t>BC818B-1</t>
  </si>
  <si>
    <t>BC818B-2</t>
  </si>
  <si>
    <t>BC918C-1</t>
  </si>
  <si>
    <t>BC918C-2</t>
  </si>
  <si>
    <t>BC1018C-1</t>
  </si>
  <si>
    <t>BC1018C-2</t>
  </si>
  <si>
    <t>BC718D-1</t>
  </si>
  <si>
    <t>BC718D-2</t>
  </si>
  <si>
    <t>BC718D-3</t>
  </si>
  <si>
    <t>BC718D-4</t>
  </si>
  <si>
    <t>BC818C-1</t>
  </si>
  <si>
    <t>BC818C-2</t>
  </si>
  <si>
    <t>BC818C-3</t>
  </si>
  <si>
    <t>BC918D-1</t>
  </si>
  <si>
    <t>BC918D-2</t>
  </si>
  <si>
    <t>BC918D-3</t>
  </si>
  <si>
    <t>BC918D-4</t>
  </si>
  <si>
    <t>BC918D-5</t>
  </si>
  <si>
    <t>BC618D-1</t>
  </si>
  <si>
    <t>BC618D-2</t>
  </si>
  <si>
    <t>BC618D-3</t>
  </si>
  <si>
    <t>BC618D-4</t>
  </si>
  <si>
    <t>BC618D-5</t>
  </si>
  <si>
    <t>BC618D-6</t>
  </si>
  <si>
    <t>BC618D-7</t>
  </si>
  <si>
    <t>BC618D-8</t>
  </si>
  <si>
    <t>BC618D-9</t>
  </si>
  <si>
    <t>BC618D-10</t>
  </si>
  <si>
    <t>BC618D-11</t>
  </si>
  <si>
    <t>BC618D-12</t>
  </si>
  <si>
    <t>BC618D-13</t>
  </si>
  <si>
    <t>BC618D-14</t>
  </si>
  <si>
    <t>BC618D-15</t>
  </si>
  <si>
    <t>BC618D-16</t>
  </si>
  <si>
    <t>BC718F-1</t>
  </si>
  <si>
    <t>BC718F-2</t>
  </si>
  <si>
    <t>BC718F-3</t>
  </si>
  <si>
    <t>BC718F-4</t>
  </si>
  <si>
    <t>BC718F-5</t>
  </si>
  <si>
    <t>BC718F-6</t>
  </si>
  <si>
    <t>BC718F-7</t>
  </si>
  <si>
    <t>BC718F-8</t>
  </si>
  <si>
    <t>BC718F-9</t>
  </si>
  <si>
    <t>BC718F-10</t>
  </si>
  <si>
    <t>BC718F-11</t>
  </si>
  <si>
    <t>BC718F-12</t>
  </si>
  <si>
    <t>BC718F-13</t>
  </si>
  <si>
    <t>BC718F-14</t>
  </si>
  <si>
    <t>BC718F-15</t>
  </si>
  <si>
    <t>BC718F-16</t>
  </si>
  <si>
    <t>BC818E-1</t>
  </si>
  <si>
    <t>BC818E-2</t>
  </si>
  <si>
    <t>BC818E-3</t>
  </si>
  <si>
    <t>BC818E-4</t>
  </si>
  <si>
    <t>BC818E-5</t>
  </si>
  <si>
    <t>BC818E-6</t>
  </si>
  <si>
    <t>BC818E-7</t>
  </si>
  <si>
    <t>BC818E-8</t>
  </si>
  <si>
    <t>BC818E-9</t>
  </si>
  <si>
    <t>BC818E-10</t>
  </si>
  <si>
    <t>BC818E-11</t>
  </si>
  <si>
    <t>BC818E-12</t>
  </si>
  <si>
    <t>BC818E-13</t>
  </si>
  <si>
    <t>BC818E-14</t>
  </si>
  <si>
    <t>BC918F-1</t>
  </si>
  <si>
    <t>BC918F-2</t>
  </si>
  <si>
    <t>BC918F-3</t>
  </si>
  <si>
    <t>BC918F-4</t>
  </si>
  <si>
    <t>BC918F-5</t>
  </si>
  <si>
    <t>BC918F-6</t>
  </si>
  <si>
    <t>BC918F-7</t>
  </si>
  <si>
    <t>BC918F-8</t>
  </si>
  <si>
    <t>BC918F-9</t>
  </si>
  <si>
    <t>BC918F-10</t>
  </si>
  <si>
    <t>BC918F-11</t>
  </si>
  <si>
    <t>BC918F-12</t>
  </si>
  <si>
    <t>BC918F-13</t>
  </si>
  <si>
    <t>BC918F-14</t>
  </si>
  <si>
    <t>BC1018B-1</t>
  </si>
  <si>
    <t>BC1018B-2</t>
  </si>
  <si>
    <t>BC1018B-3</t>
  </si>
  <si>
    <t>BC1018B-4</t>
  </si>
  <si>
    <t>BC1018B-5</t>
  </si>
  <si>
    <t>BC1018B-6</t>
  </si>
  <si>
    <t>BC1018B-7</t>
  </si>
  <si>
    <t>BC1018B-8</t>
  </si>
  <si>
    <t>BC1018B-9</t>
  </si>
  <si>
    <t>BC1018B-10</t>
  </si>
  <si>
    <t>BC1018B-11</t>
  </si>
  <si>
    <t>BC1018B-12</t>
  </si>
  <si>
    <t>BC1018B-13</t>
  </si>
  <si>
    <t>BC1018B-14</t>
  </si>
  <si>
    <t>BC618-1</t>
  </si>
  <si>
    <t>BC618-2</t>
  </si>
  <si>
    <t>BC618-3</t>
  </si>
  <si>
    <t>BC618-4</t>
  </si>
  <si>
    <t>BC618-5</t>
  </si>
  <si>
    <t>BC518D-1</t>
  </si>
  <si>
    <t>BC518D-2</t>
  </si>
  <si>
    <t>BC518D-3</t>
  </si>
  <si>
    <t>BC518D-4</t>
  </si>
  <si>
    <t>BC518D-5</t>
  </si>
  <si>
    <t>BC518D-6</t>
  </si>
  <si>
    <t>BC518D-7</t>
  </si>
  <si>
    <t>BC518D-8</t>
  </si>
  <si>
    <t>BC518D-9</t>
  </si>
  <si>
    <t>BC518D-10</t>
  </si>
  <si>
    <t>BC518D-11</t>
  </si>
  <si>
    <t>BC518D-12</t>
  </si>
  <si>
    <t>BC518D-13</t>
  </si>
  <si>
    <t>BC518D-14</t>
  </si>
  <si>
    <t>E. coli MPN/100ml</t>
  </si>
  <si>
    <t>Bear Creek Reservoir 2018 - Summary Statisitics</t>
  </si>
  <si>
    <t>91-2018 Mean</t>
  </si>
  <si>
    <t>91-2018 Median</t>
  </si>
  <si>
    <t>ac</t>
  </si>
  <si>
    <t>---</t>
  </si>
  <si>
    <r>
      <t>Ssn</t>
    </r>
    <r>
      <rPr>
        <vertAlign val="superscript"/>
        <sz val="11"/>
        <rFont val="Verdana"/>
        <family val="2"/>
      </rPr>
      <t>P  </t>
    </r>
  </si>
  <si>
    <r>
      <t>5.62</t>
    </r>
    <r>
      <rPr>
        <vertAlign val="superscript"/>
        <sz val="11"/>
        <rFont val="Verdana"/>
        <family val="2"/>
      </rPr>
      <t> </t>
    </r>
  </si>
  <si>
    <r>
      <t>5.06</t>
    </r>
    <r>
      <rPr>
        <vertAlign val="superscript"/>
        <sz val="11"/>
        <rFont val="Verdana"/>
        <family val="2"/>
      </rPr>
      <t>  </t>
    </r>
  </si>
  <si>
    <r>
      <t>4.52</t>
    </r>
    <r>
      <rPr>
        <vertAlign val="superscript"/>
        <sz val="11"/>
        <rFont val="Verdana"/>
        <family val="2"/>
      </rPr>
      <t> </t>
    </r>
  </si>
  <si>
    <r>
      <t>2.01</t>
    </r>
    <r>
      <rPr>
        <vertAlign val="superscript"/>
        <sz val="11"/>
        <rFont val="Verdana"/>
        <family val="2"/>
      </rPr>
      <t> </t>
    </r>
  </si>
  <si>
    <t>Bear Creek Reservoir Mean Annual Concentrations 1991-2018</t>
  </si>
  <si>
    <t>Periphyton Coverage %</t>
  </si>
  <si>
    <t>Periphyton Thickness</t>
  </si>
  <si>
    <t>Site 76 North Fen</t>
  </si>
  <si>
    <t>Site 95 South Control Fen</t>
  </si>
  <si>
    <t>76 - North Fen</t>
  </si>
  <si>
    <t>95 South Control Fen</t>
  </si>
  <si>
    <t>Site 34b</t>
  </si>
  <si>
    <t>Copper</t>
  </si>
  <si>
    <t>2018 Total Phosphorus Loading (Pounds)</t>
  </si>
  <si>
    <t>Runoff</t>
  </si>
  <si>
    <t>536,3</t>
  </si>
  <si>
    <t>2018 Temperature C WAT (1/2-2m)</t>
  </si>
  <si>
    <t>2018 DO Compliance Bear Creek Reservoir</t>
  </si>
  <si>
    <t>s</t>
  </si>
  <si>
    <t>22,1</t>
  </si>
  <si>
    <t>site 34b</t>
  </si>
  <si>
    <t>Site 32a</t>
  </si>
  <si>
    <t>date</t>
  </si>
  <si>
    <t>Periphyton %</t>
  </si>
  <si>
    <t>Embedness</t>
  </si>
  <si>
    <t>Site 47A</t>
  </si>
  <si>
    <t>Site 47B</t>
  </si>
  <si>
    <t>D/Vel</t>
  </si>
  <si>
    <t>W Temp</t>
  </si>
  <si>
    <t>Temp Water</t>
  </si>
  <si>
    <t>Temp Air</t>
  </si>
  <si>
    <t>Total Nirogen, ug/l</t>
  </si>
  <si>
    <t>Turkey:16c</t>
  </si>
  <si>
    <t>Turkey Creek 16a</t>
  </si>
  <si>
    <t>Turkey Creek 16c</t>
  </si>
  <si>
    <t>Ecoli</t>
  </si>
  <si>
    <t>1987-2018</t>
  </si>
  <si>
    <t>2013-2018</t>
  </si>
  <si>
    <t xml:space="preserve">Sample Depth: </t>
  </si>
  <si>
    <t xml:space="preserve">Sample Date: </t>
  </si>
  <si>
    <t xml:space="preserve">Total Density (#/mL): </t>
  </si>
  <si>
    <r>
      <t>Total Biovolume (um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/mL):              </t>
    </r>
  </si>
  <si>
    <t xml:space="preserve">Trophic State Index: </t>
  </si>
  <si>
    <t>Density</t>
  </si>
  <si>
    <t>Biovolume</t>
  </si>
  <si>
    <t>Species</t>
  </si>
  <si>
    <t>#/mL</t>
  </si>
  <si>
    <t>Percent</t>
  </si>
  <si>
    <r>
      <t>um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/mL</t>
    </r>
  </si>
  <si>
    <t>Group</t>
  </si>
  <si>
    <t>cryptophyte</t>
  </si>
  <si>
    <t>Asterionella formosa</t>
  </si>
  <si>
    <t>diatom</t>
  </si>
  <si>
    <t>Achnanthes minutissima</t>
  </si>
  <si>
    <t>Melosira ambigua</t>
  </si>
  <si>
    <t>chrysophyte</t>
  </si>
  <si>
    <t>Cymbella minuta</t>
  </si>
  <si>
    <t>Rhodomonas minuta</t>
  </si>
  <si>
    <t>Ankistrodesmus falcatus</t>
  </si>
  <si>
    <t>green</t>
  </si>
  <si>
    <t>Synedra cyclopum</t>
  </si>
  <si>
    <t>Ave Density</t>
  </si>
  <si>
    <t>Green</t>
  </si>
  <si>
    <t># Species</t>
  </si>
  <si>
    <t>Bio</t>
  </si>
  <si>
    <t xml:space="preserve">                                        Phytoplankton Sample Analysis</t>
  </si>
  <si>
    <t xml:space="preserve">Sample: </t>
  </si>
  <si>
    <t>Bear Cr</t>
  </si>
  <si>
    <t xml:space="preserve">Sample Site: </t>
  </si>
  <si>
    <t>Chromulina sp.</t>
  </si>
  <si>
    <t>Pandorina morum</t>
  </si>
  <si>
    <t>Hannaea arcus</t>
  </si>
  <si>
    <t>Gomphonema angustatum</t>
  </si>
  <si>
    <t>Gomphonema subclavatum</t>
  </si>
  <si>
    <t>Synedra rumpens</t>
  </si>
  <si>
    <t>Mallomonas sp.</t>
  </si>
  <si>
    <t>Nephrocytium sp.</t>
  </si>
  <si>
    <t>Nitzschia palea</t>
  </si>
  <si>
    <t>Navicula viridula</t>
  </si>
  <si>
    <t>Site 4a Evergreen Lake Dam</t>
  </si>
  <si>
    <t>-1/2 meter</t>
  </si>
  <si>
    <t>Aphanizomenon flos-aquae</t>
  </si>
  <si>
    <t>Phytoplankton Co-dominant Species - Site 40  (July- October 2018)</t>
  </si>
  <si>
    <t>Density cells/ml = 1.339</t>
  </si>
  <si>
    <r>
      <t>Peak Biovolume (um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/mL) = 2,623,626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</si>
</sst>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dd\-mmm\-yy_)"/>
    <numFmt numFmtId="167" formatCode="0.0_)"/>
    <numFmt numFmtId="168" formatCode="_(* #,##0_);_(* \(#,##0\);_(* &quot;-&quot;??_);_(@_)"/>
    <numFmt numFmtId="169" formatCode="m/d/yy"/>
    <numFmt numFmtId="170" formatCode="#,##0.0"/>
    <numFmt numFmtId="171" formatCode="mm/dd/yy;@"/>
    <numFmt numFmtId="172" formatCode="m/dd/yy;@"/>
    <numFmt numFmtId="173" formatCode="###0;###0"/>
    <numFmt numFmtId="174" formatCode="h:mm;@"/>
    <numFmt numFmtId="175" formatCode="mm/dd/yy"/>
    <numFmt numFmtId="176" formatCode="0.000000"/>
    <numFmt numFmtId="177" formatCode="[$-409]d\-mmm;@"/>
    <numFmt numFmtId="178" formatCode="#,##0.0000"/>
    <numFmt numFmtId="179" formatCode="0.0000"/>
    <numFmt numFmtId="180" formatCode="#,##0.000"/>
    <numFmt numFmtId="181" formatCode="0.0000000"/>
    <numFmt numFmtId="182" formatCode="#,##0.000000"/>
    <numFmt numFmtId="183" formatCode="0.0%"/>
    <numFmt numFmtId="184" formatCode="[$-F400]h:mm:ss\ AM/PM"/>
    <numFmt numFmtId="185" formatCode="#,##0.0000000"/>
    <numFmt numFmtId="186" formatCode="[$-409]h:mm\ AM/PM;@"/>
    <numFmt numFmtId="187" formatCode="m/d/yy;@"/>
  </numFmts>
  <fonts count="153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 Black"/>
      <family val="2"/>
    </font>
    <font>
      <b/>
      <sz val="9"/>
      <name val="Arial"/>
      <family val="2"/>
    </font>
    <font>
      <sz val="10"/>
      <name val="Helv"/>
    </font>
    <font>
      <b/>
      <sz val="8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8"/>
      <name val="Helv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vertAlign val="superscript"/>
      <sz val="12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vertAlign val="superscript"/>
      <sz val="9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Cambria"/>
      <family val="1"/>
      <scheme val="maj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Segoe U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name val="Plantagenet Cherokee"/>
      <family val="1"/>
    </font>
    <font>
      <b/>
      <vertAlign val="superscript"/>
      <sz val="9"/>
      <color rgb="FF000000"/>
      <name val="Calibri"/>
      <family val="2"/>
    </font>
    <font>
      <b/>
      <sz val="9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8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FF0000"/>
      <name val="Times New Roman"/>
      <family val="1"/>
    </font>
    <font>
      <sz val="9"/>
      <name val="Cambria"/>
      <family val="1"/>
      <scheme val="maj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Calibri"/>
      <family val="2"/>
      <scheme val="minor"/>
    </font>
    <font>
      <b/>
      <sz val="7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9"/>
      <color indexed="18"/>
      <name val="Arial"/>
      <family val="2"/>
    </font>
    <font>
      <sz val="12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vertAlign val="superscript"/>
      <sz val="11"/>
      <name val="Times New Roman"/>
      <family val="2"/>
    </font>
    <font>
      <sz val="11"/>
      <name val="Times New Roman"/>
      <family val="2"/>
    </font>
    <font>
      <sz val="12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11"/>
      <name val="Times New Roman"/>
      <family val="1"/>
    </font>
    <font>
      <u/>
      <sz val="10"/>
      <name val="Arial"/>
      <family val="2"/>
    </font>
    <font>
      <u/>
      <sz val="9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rgb="FF006100"/>
      <name val="Calibri"/>
      <family val="2"/>
      <scheme val="minor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9"/>
      <name val="Trebuchet MS"/>
      <family val="2"/>
    </font>
    <font>
      <sz val="9"/>
      <name val="Trebuchet MS"/>
      <family val="2"/>
    </font>
    <font>
      <vertAlign val="superscript"/>
      <sz val="11"/>
      <name val="Times New Roman"/>
      <family val="1"/>
    </font>
    <font>
      <sz val="11"/>
      <name val="Arial"/>
      <family val="2"/>
    </font>
    <font>
      <b/>
      <sz val="10"/>
      <color rgb="FFFF0000"/>
      <name val="Times New Roman"/>
      <family val="1"/>
    </font>
    <font>
      <i/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vertAlign val="superscript"/>
      <sz val="11"/>
      <name val="Verdana"/>
      <family val="2"/>
    </font>
    <font>
      <sz val="10"/>
      <color rgb="FF000000"/>
      <name val="Times New Roman"/>
      <family val="1"/>
    </font>
    <font>
      <sz val="8"/>
      <name val="Cambria"/>
      <family val="1"/>
      <scheme val="major"/>
    </font>
    <font>
      <sz val="10"/>
      <color theme="1"/>
      <name val="Times New Roman"/>
      <family val="1"/>
    </font>
    <font>
      <b/>
      <vertAlign val="superscript"/>
      <sz val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C6EFCE"/>
      </patternFill>
    </fill>
    <fill>
      <patternFill patternType="solid">
        <fgColor rgb="FFB6DDE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CCBB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0C4DE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4682B4"/>
      </left>
      <right style="medium">
        <color rgb="FF808080"/>
      </right>
      <top style="medium">
        <color rgb="FF4682B4"/>
      </top>
      <bottom/>
      <diagonal/>
    </border>
    <border>
      <left style="medium">
        <color rgb="FF808080"/>
      </left>
      <right style="medium">
        <color rgb="FF808080"/>
      </right>
      <top style="medium">
        <color rgb="FF4682B4"/>
      </top>
      <bottom/>
      <diagonal/>
    </border>
    <border>
      <left/>
      <right/>
      <top style="medium">
        <color rgb="FF4682B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4682B4"/>
      </bottom>
      <diagonal/>
    </border>
    <border>
      <left style="medium">
        <color rgb="FF4682B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4682B4"/>
      </left>
      <right style="thin">
        <color rgb="FF000000"/>
      </right>
      <top style="thin">
        <color rgb="FF000000"/>
      </top>
      <bottom style="medium">
        <color rgb="FF4682B4"/>
      </bottom>
      <diagonal/>
    </border>
    <border>
      <left style="thin">
        <color rgb="FF000000"/>
      </left>
      <right style="medium">
        <color rgb="FF80808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808080"/>
      </right>
      <top style="thin">
        <color rgb="FF000000"/>
      </top>
      <bottom style="medium">
        <color rgb="FF4682B4"/>
      </bottom>
      <diagonal/>
    </border>
    <border>
      <left/>
      <right/>
      <top/>
      <bottom style="medium">
        <color indexed="64"/>
      </bottom>
      <diagonal/>
    </border>
    <border>
      <left style="medium">
        <color rgb="FF4682B4"/>
      </left>
      <right/>
      <top style="medium">
        <color rgb="FF4682B4"/>
      </top>
      <bottom/>
      <diagonal/>
    </border>
    <border>
      <left style="medium">
        <color rgb="FF4682B4"/>
      </left>
      <right/>
      <top/>
      <bottom/>
      <diagonal/>
    </border>
    <border>
      <left style="medium">
        <color rgb="FF4682B4"/>
      </left>
      <right/>
      <top/>
      <bottom style="medium">
        <color rgb="FF4682B4"/>
      </bottom>
      <diagonal/>
    </border>
    <border>
      <left/>
      <right style="medium">
        <color rgb="FF808080"/>
      </right>
      <top style="medium">
        <color rgb="FF4682B4"/>
      </top>
      <bottom/>
      <diagonal/>
    </border>
    <border>
      <left/>
      <right style="medium">
        <color rgb="FF808080"/>
      </right>
      <top/>
      <bottom/>
      <diagonal/>
    </border>
    <border>
      <left/>
      <right style="medium">
        <color rgb="FF808080"/>
      </right>
      <top/>
      <bottom style="medium">
        <color rgb="FF4682B4"/>
      </bottom>
      <diagonal/>
    </border>
    <border>
      <left style="medium">
        <color rgb="FF4682B4"/>
      </left>
      <right style="thin">
        <color rgb="FF000000"/>
      </right>
      <top style="medium">
        <color rgb="FF4682B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4682B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4682B4"/>
      </bottom>
      <diagonal/>
    </border>
    <border>
      <left style="thin">
        <color rgb="FF000000"/>
      </left>
      <right style="medium">
        <color rgb="FF808080"/>
      </right>
      <top style="medium">
        <color rgb="FF4682B4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4">
    <xf numFmtId="3" fontId="0" fillId="0" borderId="0">
      <alignment horizontal="left" vertical="center" wrapText="1"/>
    </xf>
    <xf numFmtId="43" fontId="4" fillId="0" borderId="0" applyFont="0" applyFill="0" applyBorder="0" applyAlignment="0" applyProtection="0"/>
    <xf numFmtId="177" fontId="8" fillId="0" borderId="0" applyNumberFormat="0" applyFill="0" applyBorder="0" applyAlignment="0" applyProtection="0">
      <alignment vertical="top"/>
      <protection locked="0"/>
    </xf>
    <xf numFmtId="177" fontId="19" fillId="0" borderId="0"/>
    <xf numFmtId="177" fontId="19" fillId="0" borderId="0"/>
    <xf numFmtId="9" fontId="21" fillId="0" borderId="0" applyFont="0" applyFill="0" applyBorder="0" applyAlignment="0" applyProtection="0"/>
    <xf numFmtId="0" fontId="23" fillId="0" borderId="1">
      <alignment horizontal="left" vertical="center" wrapText="1"/>
    </xf>
    <xf numFmtId="177" fontId="35" fillId="0" borderId="0" applyNumberFormat="0" applyFill="0" applyBorder="0" applyAlignment="0" applyProtection="0">
      <alignment vertical="top"/>
      <protection locked="0"/>
    </xf>
    <xf numFmtId="0" fontId="46" fillId="20" borderId="0" applyNumberFormat="0" applyBorder="0" applyAlignment="0" applyProtection="0"/>
    <xf numFmtId="0" fontId="4" fillId="0" borderId="0"/>
    <xf numFmtId="0" fontId="19" fillId="0" borderId="0"/>
    <xf numFmtId="0" fontId="60" fillId="0" borderId="54" applyNumberFormat="0" applyFill="0" applyAlignment="0" applyProtection="0"/>
    <xf numFmtId="0" fontId="61" fillId="0" borderId="55" applyNumberFormat="0" applyFill="0" applyAlignment="0" applyProtection="0"/>
    <xf numFmtId="0" fontId="62" fillId="0" borderId="56" applyNumberFormat="0" applyFill="0" applyAlignment="0" applyProtection="0"/>
    <xf numFmtId="0" fontId="6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4" fillId="26" borderId="57" applyNumberFormat="0" applyAlignment="0" applyProtection="0"/>
    <xf numFmtId="0" fontId="65" fillId="27" borderId="58" applyNumberFormat="0" applyAlignment="0" applyProtection="0"/>
    <xf numFmtId="0" fontId="66" fillId="27" borderId="57" applyNumberFormat="0" applyAlignment="0" applyProtection="0"/>
    <xf numFmtId="0" fontId="67" fillId="0" borderId="59" applyNumberFormat="0" applyFill="0" applyAlignment="0" applyProtection="0"/>
    <xf numFmtId="0" fontId="68" fillId="28" borderId="60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2" applyNumberFormat="0" applyFill="0" applyAlignment="0" applyProtection="0"/>
    <xf numFmtId="0" fontId="7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72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72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72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72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72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73" fillId="0" borderId="0"/>
    <xf numFmtId="0" fontId="3" fillId="0" borderId="0"/>
    <xf numFmtId="0" fontId="74" fillId="0" borderId="0" applyNumberFormat="0" applyFill="0" applyBorder="0" applyAlignment="0" applyProtection="0"/>
    <xf numFmtId="0" fontId="75" fillId="25" borderId="0" applyNumberFormat="0" applyBorder="0" applyAlignment="0" applyProtection="0"/>
    <xf numFmtId="0" fontId="3" fillId="29" borderId="61" applyNumberFormat="0" applyFont="0" applyAlignment="0" applyProtection="0"/>
    <xf numFmtId="0" fontId="72" fillId="33" borderId="0" applyNumberFormat="0" applyBorder="0" applyAlignment="0" applyProtection="0"/>
    <xf numFmtId="0" fontId="72" fillId="37" borderId="0" applyNumberFormat="0" applyBorder="0" applyAlignment="0" applyProtection="0"/>
    <xf numFmtId="0" fontId="72" fillId="41" borderId="0" applyNumberFormat="0" applyBorder="0" applyAlignment="0" applyProtection="0"/>
    <xf numFmtId="0" fontId="72" fillId="45" borderId="0" applyNumberFormat="0" applyBorder="0" applyAlignment="0" applyProtection="0"/>
    <xf numFmtId="0" fontId="72" fillId="49" borderId="0" applyNumberFormat="0" applyBorder="0" applyAlignment="0" applyProtection="0"/>
    <xf numFmtId="0" fontId="72" fillId="53" borderId="0" applyNumberFormat="0" applyBorder="0" applyAlignment="0" applyProtection="0"/>
    <xf numFmtId="0" fontId="11" fillId="0" borderId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139" fillId="0" borderId="0"/>
    <xf numFmtId="177" fontId="4" fillId="0" borderId="0">
      <alignment horizontal="left" vertical="center"/>
    </xf>
    <xf numFmtId="0" fontId="1" fillId="0" borderId="0"/>
  </cellStyleXfs>
  <cellXfs count="3319">
    <xf numFmtId="3" fontId="0" fillId="0" borderId="0" xfId="0">
      <alignment horizontal="left" vertical="center" wrapText="1"/>
    </xf>
    <xf numFmtId="3" fontId="5" fillId="0" borderId="0" xfId="0" applyFont="1">
      <alignment horizontal="left" vertical="center" wrapText="1"/>
    </xf>
    <xf numFmtId="164" fontId="0" fillId="0" borderId="0" xfId="0" applyNumberFormat="1">
      <alignment horizontal="left" vertical="center" wrapText="1"/>
    </xf>
    <xf numFmtId="165" fontId="0" fillId="0" borderId="0" xfId="0" applyNumberFormat="1">
      <alignment horizontal="left" vertical="center" wrapText="1"/>
    </xf>
    <xf numFmtId="1" fontId="0" fillId="0" borderId="0" xfId="0" applyNumberFormat="1">
      <alignment horizontal="left" vertical="center" wrapText="1"/>
    </xf>
    <xf numFmtId="2" fontId="0" fillId="0" borderId="0" xfId="0" applyNumberFormat="1">
      <alignment horizontal="left" vertical="center" wrapText="1"/>
    </xf>
    <xf numFmtId="15" fontId="5" fillId="0" borderId="0" xfId="0" applyNumberFormat="1" applyFont="1">
      <alignment horizontal="left" vertical="center" wrapText="1"/>
    </xf>
    <xf numFmtId="165" fontId="5" fillId="0" borderId="0" xfId="0" applyNumberFormat="1" applyFont="1">
      <alignment horizontal="left" vertical="center" wrapText="1"/>
    </xf>
    <xf numFmtId="2" fontId="0" fillId="0" borderId="0" xfId="0" applyNumberFormat="1" applyFill="1">
      <alignment horizontal="left" vertical="center" wrapText="1"/>
    </xf>
    <xf numFmtId="3" fontId="0" fillId="0" borderId="0" xfId="0" applyFill="1">
      <alignment horizontal="left" vertical="center" wrapText="1"/>
    </xf>
    <xf numFmtId="3" fontId="5" fillId="2" borderId="1" xfId="0" applyFont="1" applyFill="1" applyBorder="1" applyAlignment="1">
      <alignment horizontal="center" vertical="center" wrapText="1"/>
    </xf>
    <xf numFmtId="3" fontId="12" fillId="0" borderId="1" xfId="0" applyFont="1" applyBorder="1" applyAlignment="1">
      <alignment wrapText="1"/>
    </xf>
    <xf numFmtId="3" fontId="4" fillId="2" borderId="0" xfId="0" applyFont="1" applyFill="1">
      <alignment horizontal="left" vertical="center" wrapText="1"/>
    </xf>
    <xf numFmtId="1" fontId="14" fillId="0" borderId="0" xfId="0" applyNumberFormat="1" applyFont="1" applyAlignment="1" applyProtection="1">
      <alignment horizontal="center"/>
    </xf>
    <xf numFmtId="3" fontId="4" fillId="0" borderId="0" xfId="0" applyFont="1">
      <alignment horizontal="left" vertical="center" wrapText="1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 applyProtection="1">
      <alignment horizontal="center"/>
    </xf>
    <xf numFmtId="3" fontId="4" fillId="0" borderId="0" xfId="0" applyFont="1" applyAlignment="1">
      <alignment horizontal="center"/>
    </xf>
    <xf numFmtId="3" fontId="14" fillId="0" borderId="0" xfId="0" applyFont="1" applyProtection="1">
      <alignment horizontal="left" vertical="center" wrapText="1"/>
    </xf>
    <xf numFmtId="3" fontId="14" fillId="2" borderId="0" xfId="0" applyFont="1" applyFill="1" applyProtection="1">
      <alignment horizontal="left" vertical="center" wrapText="1"/>
    </xf>
    <xf numFmtId="3" fontId="0" fillId="0" borderId="0" xfId="0" applyFill="1" applyProtection="1">
      <alignment horizontal="left" vertical="center" wrapText="1"/>
    </xf>
    <xf numFmtId="3" fontId="0" fillId="0" borderId="0" xfId="0" applyProtection="1">
      <alignment horizontal="left" vertical="center" wrapText="1"/>
    </xf>
    <xf numFmtId="177" fontId="5" fillId="0" borderId="0" xfId="0" applyNumberFormat="1" applyFont="1">
      <alignment horizontal="left" vertical="center" wrapText="1"/>
    </xf>
    <xf numFmtId="177" fontId="5" fillId="0" borderId="0" xfId="0" applyNumberFormat="1" applyFont="1" applyProtection="1">
      <alignment horizontal="left" vertical="center" wrapText="1"/>
    </xf>
    <xf numFmtId="177" fontId="0" fillId="0" borderId="0" xfId="0" applyNumberFormat="1">
      <alignment horizontal="left" vertical="center" wrapText="1"/>
    </xf>
    <xf numFmtId="3" fontId="9" fillId="0" borderId="0" xfId="0" applyFont="1">
      <alignment horizontal="left" vertical="center" wrapText="1"/>
    </xf>
    <xf numFmtId="168" fontId="0" fillId="0" borderId="0" xfId="1" applyNumberFormat="1" applyFont="1"/>
    <xf numFmtId="3" fontId="9" fillId="0" borderId="0" xfId="0" applyNumberFormat="1" applyFont="1">
      <alignment horizontal="left" vertical="center" wrapText="1"/>
    </xf>
    <xf numFmtId="3" fontId="9" fillId="0" borderId="0" xfId="0" applyFont="1" applyBorder="1">
      <alignment horizontal="left" vertical="center" wrapText="1"/>
    </xf>
    <xf numFmtId="15" fontId="13" fillId="0" borderId="0" xfId="0" applyNumberFormat="1" applyFont="1" applyBorder="1" applyAlignment="1">
      <alignment horizontal="center"/>
    </xf>
    <xf numFmtId="2" fontId="9" fillId="0" borderId="0" xfId="0" applyNumberFormat="1" applyFont="1">
      <alignment horizontal="left" vertical="center" wrapText="1"/>
    </xf>
    <xf numFmtId="3" fontId="0" fillId="2" borderId="0" xfId="0" applyFill="1">
      <alignment horizontal="left" vertical="center" wrapText="1"/>
    </xf>
    <xf numFmtId="3" fontId="0" fillId="0" borderId="0" xfId="0" applyNumberFormat="1">
      <alignment horizontal="left" vertical="center" wrapText="1"/>
    </xf>
    <xf numFmtId="2" fontId="0" fillId="2" borderId="0" xfId="0" applyNumberFormat="1" applyFill="1">
      <alignment horizontal="left" vertical="center" wrapText="1"/>
    </xf>
    <xf numFmtId="3" fontId="7" fillId="2" borderId="0" xfId="0" applyFont="1" applyFill="1">
      <alignment horizontal="left" vertical="center" wrapText="1"/>
    </xf>
    <xf numFmtId="164" fontId="5" fillId="0" borderId="1" xfId="0" applyNumberFormat="1" applyFont="1" applyBorder="1" applyAlignment="1">
      <alignment horizontal="center"/>
    </xf>
    <xf numFmtId="1" fontId="0" fillId="2" borderId="0" xfId="0" applyNumberFormat="1" applyFill="1" applyAlignment="1">
      <alignment horizontal="center"/>
    </xf>
    <xf numFmtId="3" fontId="9" fillId="2" borderId="1" xfId="0" applyFont="1" applyFill="1" applyBorder="1" applyAlignment="1">
      <alignment wrapText="1"/>
    </xf>
    <xf numFmtId="164" fontId="0" fillId="0" borderId="1" xfId="0" applyNumberFormat="1" applyBorder="1">
      <alignment horizontal="left" vertical="center" wrapText="1"/>
    </xf>
    <xf numFmtId="3" fontId="5" fillId="2" borderId="0" xfId="0" applyFont="1" applyFill="1">
      <alignment horizontal="left" vertical="center" wrapText="1"/>
    </xf>
    <xf numFmtId="3" fontId="0" fillId="0" borderId="1" xfId="0" applyBorder="1">
      <alignment horizontal="left" vertical="center" wrapText="1"/>
    </xf>
    <xf numFmtId="3" fontId="0" fillId="0" borderId="0" xfId="0" applyFill="1" applyBorder="1">
      <alignment horizontal="left" vertical="center" wrapText="1"/>
    </xf>
    <xf numFmtId="166" fontId="5" fillId="0" borderId="0" xfId="0" applyNumberFormat="1" applyFont="1" applyBorder="1" applyProtection="1">
      <alignment horizontal="left" vertical="center" wrapText="1"/>
    </xf>
    <xf numFmtId="3" fontId="0" fillId="0" borderId="0" xfId="0" applyBorder="1">
      <alignment horizontal="left" vertical="center" wrapText="1"/>
    </xf>
    <xf numFmtId="164" fontId="16" fillId="0" borderId="1" xfId="0" applyNumberFormat="1" applyFont="1" applyBorder="1" applyAlignment="1">
      <alignment horizontal="center"/>
    </xf>
    <xf numFmtId="177" fontId="5" fillId="0" borderId="0" xfId="0" applyNumberFormat="1" applyFont="1">
      <alignment horizontal="left" vertical="center" wrapText="1"/>
    </xf>
    <xf numFmtId="3" fontId="18" fillId="0" borderId="0" xfId="0" applyFont="1" applyBorder="1" applyProtection="1">
      <alignment horizontal="left" vertical="center" wrapText="1"/>
    </xf>
    <xf numFmtId="164" fontId="5" fillId="0" borderId="1" xfId="0" applyNumberFormat="1" applyFont="1" applyFill="1" applyBorder="1">
      <alignment horizontal="left" vertical="center" wrapText="1"/>
    </xf>
    <xf numFmtId="1" fontId="5" fillId="0" borderId="1" xfId="0" applyNumberFormat="1" applyFont="1" applyFill="1" applyBorder="1">
      <alignment horizontal="left" vertical="center" wrapText="1"/>
    </xf>
    <xf numFmtId="3" fontId="0" fillId="7" borderId="0" xfId="0" applyFill="1">
      <alignment horizontal="left" vertical="center" wrapText="1"/>
    </xf>
    <xf numFmtId="3" fontId="11" fillId="0" borderId="1" xfId="0" applyFont="1" applyBorder="1">
      <alignment horizontal="left" vertical="center" wrapText="1"/>
    </xf>
    <xf numFmtId="15" fontId="5" fillId="8" borderId="1" xfId="0" applyNumberFormat="1" applyFont="1" applyFill="1" applyBorder="1">
      <alignment horizontal="left" vertical="center" wrapText="1"/>
    </xf>
    <xf numFmtId="14" fontId="5" fillId="8" borderId="5" xfId="0" applyNumberFormat="1" applyFont="1" applyFill="1" applyBorder="1" applyAlignment="1">
      <alignment wrapText="1"/>
    </xf>
    <xf numFmtId="14" fontId="5" fillId="8" borderId="1" xfId="0" applyNumberFormat="1" applyFont="1" applyFill="1" applyBorder="1" applyAlignment="1">
      <alignment wrapText="1"/>
    </xf>
    <xf numFmtId="1" fontId="5" fillId="8" borderId="2" xfId="0" applyNumberFormat="1" applyFont="1" applyFill="1" applyBorder="1">
      <alignment horizontal="left" vertical="center" wrapText="1"/>
    </xf>
    <xf numFmtId="1" fontId="5" fillId="8" borderId="1" xfId="0" applyNumberFormat="1" applyFont="1" applyFill="1" applyBorder="1">
      <alignment horizontal="left" vertical="center" wrapText="1"/>
    </xf>
    <xf numFmtId="164" fontId="16" fillId="0" borderId="0" xfId="0" applyNumberFormat="1" applyFont="1">
      <alignment horizontal="left" vertical="center" wrapText="1"/>
    </xf>
    <xf numFmtId="14" fontId="0" fillId="0" borderId="0" xfId="0" applyNumberFormat="1">
      <alignment horizontal="left" vertical="center" wrapText="1"/>
    </xf>
    <xf numFmtId="169" fontId="4" fillId="0" borderId="0" xfId="0" applyNumberFormat="1" applyFont="1" applyAlignment="1">
      <alignment horizontal="right"/>
    </xf>
    <xf numFmtId="177" fontId="4" fillId="0" borderId="0" xfId="0" applyNumberFormat="1" applyFont="1">
      <alignment horizontal="left" vertical="center" wrapText="1"/>
    </xf>
    <xf numFmtId="1" fontId="4" fillId="0" borderId="0" xfId="0" applyNumberFormat="1" applyFont="1">
      <alignment horizontal="left" vertical="center" wrapText="1"/>
    </xf>
    <xf numFmtId="3" fontId="0" fillId="0" borderId="0" xfId="0" applyFill="1" applyBorder="1" applyAlignment="1">
      <alignment horizontal="left"/>
    </xf>
    <xf numFmtId="177" fontId="19" fillId="0" borderId="0" xfId="3" applyNumberFormat="1" applyFont="1" applyFill="1" applyBorder="1" applyAlignment="1">
      <alignment horizontal="right"/>
    </xf>
    <xf numFmtId="177" fontId="19" fillId="0" borderId="0" xfId="3" applyFont="1" applyFill="1" applyBorder="1" applyAlignment="1">
      <alignment horizontal="left"/>
    </xf>
    <xf numFmtId="177" fontId="19" fillId="0" borderId="0" xfId="4" applyFont="1" applyFill="1" applyBorder="1" applyAlignment="1">
      <alignment horizontal="left"/>
    </xf>
    <xf numFmtId="3" fontId="4" fillId="0" borderId="1" xfId="0" applyFont="1" applyBorder="1">
      <alignment horizontal="left" vertical="center" wrapText="1"/>
    </xf>
    <xf numFmtId="164" fontId="4" fillId="0" borderId="0" xfId="0" applyNumberFormat="1" applyFont="1">
      <alignment horizontal="left" vertical="center" wrapText="1"/>
    </xf>
    <xf numFmtId="3" fontId="5" fillId="7" borderId="1" xfId="0" applyFont="1" applyFill="1" applyBorder="1">
      <alignment horizontal="left" vertical="center" wrapText="1"/>
    </xf>
    <xf numFmtId="177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 horizontal="right"/>
    </xf>
    <xf numFmtId="3" fontId="20" fillId="0" borderId="0" xfId="0" applyFont="1">
      <alignment horizontal="left" vertical="center" wrapText="1"/>
    </xf>
    <xf numFmtId="169" fontId="20" fillId="0" borderId="0" xfId="0" applyNumberFormat="1" applyFont="1" applyAlignment="1">
      <alignment horizontal="right"/>
    </xf>
    <xf numFmtId="3" fontId="4" fillId="0" borderId="0" xfId="0" applyFont="1" applyAlignment="1">
      <alignment horizontal="left"/>
    </xf>
    <xf numFmtId="1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3" fontId="5" fillId="10" borderId="1" xfId="0" applyFont="1" applyFill="1" applyBorder="1">
      <alignment horizontal="left" vertical="center" wrapText="1"/>
    </xf>
    <xf numFmtId="15" fontId="16" fillId="10" borderId="1" xfId="0" applyNumberFormat="1" applyFont="1" applyFill="1" applyBorder="1">
      <alignment horizontal="left" vertical="center" wrapText="1"/>
    </xf>
    <xf numFmtId="164" fontId="16" fillId="10" borderId="2" xfId="0" applyNumberFormat="1" applyFont="1" applyFill="1" applyBorder="1">
      <alignment horizontal="left" vertical="center" wrapText="1"/>
    </xf>
    <xf numFmtId="15" fontId="16" fillId="10" borderId="1" xfId="0" applyNumberFormat="1" applyFont="1" applyFill="1" applyBorder="1" applyAlignment="1">
      <alignment horizontal="center" wrapText="1"/>
    </xf>
    <xf numFmtId="164" fontId="16" fillId="4" borderId="7" xfId="0" applyNumberFormat="1" applyFont="1" applyFill="1" applyBorder="1" applyAlignment="1">
      <alignment horizontal="left" vertical="top" wrapText="1"/>
    </xf>
    <xf numFmtId="165" fontId="16" fillId="2" borderId="1" xfId="0" applyNumberFormat="1" applyFont="1" applyFill="1" applyBorder="1" applyAlignment="1">
      <alignment horizontal="left" vertical="top" wrapText="1"/>
    </xf>
    <xf numFmtId="164" fontId="16" fillId="2" borderId="1" xfId="0" applyNumberFormat="1" applyFont="1" applyFill="1" applyBorder="1" applyAlignment="1">
      <alignment horizontal="left" vertical="top" wrapText="1"/>
    </xf>
    <xf numFmtId="3" fontId="5" fillId="7" borderId="0" xfId="0" applyFont="1" applyFill="1">
      <alignment horizontal="left" vertical="center" wrapText="1"/>
    </xf>
    <xf numFmtId="15" fontId="5" fillId="7" borderId="1" xfId="0" applyNumberFormat="1" applyFont="1" applyFill="1" applyBorder="1">
      <alignment horizontal="left" vertical="center" wrapText="1"/>
    </xf>
    <xf numFmtId="3" fontId="5" fillId="7" borderId="1" xfId="0" applyFont="1" applyFill="1" applyBorder="1" applyAlignment="1">
      <alignment horizontal="center"/>
    </xf>
    <xf numFmtId="15" fontId="5" fillId="7" borderId="1" xfId="0" applyNumberFormat="1" applyFont="1" applyFill="1" applyBorder="1" applyAlignment="1">
      <alignment vertical="top" wrapText="1"/>
    </xf>
    <xf numFmtId="167" fontId="4" fillId="0" borderId="0" xfId="0" applyNumberFormat="1" applyFont="1" applyProtection="1">
      <alignment horizontal="left" vertical="center" wrapText="1"/>
    </xf>
    <xf numFmtId="3" fontId="0" fillId="7" borderId="1" xfId="0" applyFill="1" applyBorder="1">
      <alignment horizontal="left" vertical="center" wrapText="1"/>
    </xf>
    <xf numFmtId="3" fontId="4" fillId="7" borderId="1" xfId="0" applyFont="1" applyFill="1" applyBorder="1">
      <alignment horizontal="left" vertical="center" wrapText="1"/>
    </xf>
    <xf numFmtId="3" fontId="4" fillId="7" borderId="0" xfId="0" applyFont="1" applyFill="1" applyAlignment="1">
      <alignment horizontal="center"/>
    </xf>
    <xf numFmtId="3" fontId="0" fillId="0" borderId="0" xfId="0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/>
    </xf>
    <xf numFmtId="1" fontId="0" fillId="0" borderId="1" xfId="0" applyNumberFormat="1" applyBorder="1">
      <alignment horizontal="left" vertical="center" wrapText="1"/>
    </xf>
    <xf numFmtId="3" fontId="5" fillId="0" borderId="0" xfId="0" applyFont="1" applyAlignment="1">
      <alignment horizontal="center"/>
    </xf>
    <xf numFmtId="3" fontId="5" fillId="2" borderId="0" xfId="0" applyFont="1" applyFill="1" applyAlignment="1">
      <alignment horizontal="center"/>
    </xf>
    <xf numFmtId="3" fontId="4" fillId="0" borderId="1" xfId="0" applyFont="1" applyBorder="1" applyAlignment="1">
      <alignment horizontal="center"/>
    </xf>
    <xf numFmtId="3" fontId="4" fillId="0" borderId="1" xfId="0" applyFont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3" fontId="4" fillId="2" borderId="1" xfId="0" applyFont="1" applyFill="1" applyBorder="1" applyAlignment="1">
      <alignment horizontal="center"/>
    </xf>
    <xf numFmtId="1" fontId="4" fillId="0" borderId="1" xfId="0" applyNumberFormat="1" applyFont="1" applyFill="1" applyBorder="1">
      <alignment horizontal="left" vertical="center" wrapText="1"/>
    </xf>
    <xf numFmtId="164" fontId="4" fillId="0" borderId="1" xfId="0" applyNumberFormat="1" applyFont="1" applyFill="1" applyBorder="1">
      <alignment horizontal="left" vertical="center" wrapText="1"/>
    </xf>
    <xf numFmtId="1" fontId="4" fillId="0" borderId="0" xfId="0" applyNumberFormat="1" applyFont="1" applyProtection="1">
      <alignment horizontal="left" vertical="center" wrapText="1"/>
    </xf>
    <xf numFmtId="1" fontId="4" fillId="0" borderId="0" xfId="0" applyNumberFormat="1" applyFont="1" applyFill="1" applyProtection="1">
      <alignment horizontal="left" vertical="center" wrapText="1"/>
    </xf>
    <xf numFmtId="3" fontId="4" fillId="0" borderId="0" xfId="0" applyFont="1" applyProtection="1">
      <alignment horizontal="left" vertical="center" wrapText="1"/>
    </xf>
    <xf numFmtId="170" fontId="5" fillId="0" borderId="1" xfId="0" applyNumberFormat="1" applyFont="1" applyBorder="1" applyAlignment="1">
      <alignment horizontal="center"/>
    </xf>
    <xf numFmtId="3" fontId="23" fillId="0" borderId="1" xfId="0" applyFont="1" applyBorder="1">
      <alignment horizontal="left" vertical="center" wrapText="1"/>
    </xf>
    <xf numFmtId="3" fontId="4" fillId="0" borderId="1" xfId="0" applyFont="1" applyBorder="1" applyAlignment="1">
      <alignment horizontal="center"/>
    </xf>
    <xf numFmtId="3" fontId="25" fillId="0" borderId="0" xfId="0" applyFont="1">
      <alignment horizontal="left" vertical="center" wrapText="1"/>
    </xf>
    <xf numFmtId="14" fontId="4" fillId="0" borderId="0" xfId="0" applyNumberFormat="1" applyFont="1" applyAlignment="1">
      <alignment horizontal="right"/>
    </xf>
    <xf numFmtId="3" fontId="0" fillId="0" borderId="0" xfId="0" applyAlignment="1">
      <alignment horizontal="left" vertical="top"/>
    </xf>
    <xf numFmtId="3" fontId="25" fillId="7" borderId="0" xfId="0" applyFont="1" applyFill="1">
      <alignment horizontal="left" vertical="center" wrapText="1"/>
    </xf>
    <xf numFmtId="3" fontId="22" fillId="7" borderId="1" xfId="0" applyFont="1" applyFill="1" applyBorder="1">
      <alignment horizontal="left" vertical="center" wrapText="1"/>
    </xf>
    <xf numFmtId="3" fontId="22" fillId="0" borderId="1" xfId="0" applyFont="1" applyBorder="1" applyAlignment="1">
      <alignment horizontal="center"/>
    </xf>
    <xf numFmtId="20" fontId="25" fillId="0" borderId="1" xfId="0" applyNumberFormat="1" applyFont="1" applyBorder="1">
      <alignment horizontal="left" vertical="center" wrapText="1"/>
    </xf>
    <xf numFmtId="3" fontId="25" fillId="0" borderId="1" xfId="0" applyFont="1" applyFill="1" applyBorder="1">
      <alignment horizontal="left" vertical="center" wrapText="1"/>
    </xf>
    <xf numFmtId="3" fontId="25" fillId="0" borderId="1" xfId="0" applyFont="1" applyBorder="1">
      <alignment horizontal="left" vertical="center" wrapText="1"/>
    </xf>
    <xf numFmtId="3" fontId="25" fillId="0" borderId="0" xfId="0" applyFont="1" applyBorder="1">
      <alignment horizontal="left" vertical="center" wrapText="1"/>
    </xf>
    <xf numFmtId="3" fontId="22" fillId="7" borderId="10" xfId="0" applyFont="1" applyFill="1" applyBorder="1" applyAlignment="1">
      <alignment horizontal="center"/>
    </xf>
    <xf numFmtId="3" fontId="25" fillId="7" borderId="0" xfId="0" applyFont="1" applyFill="1" applyBorder="1" applyAlignment="1">
      <alignment horizontal="left"/>
    </xf>
    <xf numFmtId="3" fontId="22" fillId="7" borderId="1" xfId="0" applyFont="1" applyFill="1" applyBorder="1" applyAlignment="1">
      <alignment horizontal="center"/>
    </xf>
    <xf numFmtId="3" fontId="25" fillId="0" borderId="0" xfId="0" applyFont="1" applyAlignment="1">
      <alignment horizontal="left"/>
    </xf>
    <xf numFmtId="177" fontId="25" fillId="0" borderId="0" xfId="0" applyNumberFormat="1" applyFont="1" applyFill="1" applyBorder="1" applyAlignment="1">
      <alignment horizontal="left"/>
    </xf>
    <xf numFmtId="177" fontId="27" fillId="0" borderId="0" xfId="3" applyFont="1" applyFill="1" applyBorder="1" applyAlignment="1">
      <alignment horizontal="left"/>
    </xf>
    <xf numFmtId="3" fontId="25" fillId="0" borderId="0" xfId="0" applyFont="1" applyAlignment="1">
      <alignment horizontal="left" vertical="top"/>
    </xf>
    <xf numFmtId="14" fontId="25" fillId="0" borderId="0" xfId="0" applyNumberFormat="1" applyFont="1">
      <alignment horizontal="left" vertical="center" wrapText="1"/>
    </xf>
    <xf numFmtId="2" fontId="25" fillId="0" borderId="0" xfId="0" applyNumberFormat="1" applyFont="1">
      <alignment horizontal="left" vertical="center" wrapText="1"/>
    </xf>
    <xf numFmtId="3" fontId="23" fillId="0" borderId="0" xfId="0" applyFont="1">
      <alignment horizontal="left" vertical="center" wrapText="1"/>
    </xf>
    <xf numFmtId="3" fontId="23" fillId="0" borderId="1" xfId="0" applyFont="1" applyFill="1" applyBorder="1">
      <alignment horizontal="left" vertical="center" wrapText="1"/>
    </xf>
    <xf numFmtId="3" fontId="22" fillId="0" borderId="1" xfId="0" applyFont="1" applyBorder="1">
      <alignment horizontal="left" vertical="center" wrapText="1"/>
    </xf>
    <xf numFmtId="3" fontId="22" fillId="0" borderId="1" xfId="0" applyFont="1" applyBorder="1" applyAlignment="1">
      <alignment wrapText="1"/>
    </xf>
    <xf numFmtId="3" fontId="25" fillId="7" borderId="1" xfId="0" applyFont="1" applyFill="1" applyBorder="1">
      <alignment horizontal="left" vertical="center" wrapText="1"/>
    </xf>
    <xf numFmtId="3" fontId="0" fillId="0" borderId="0" xfId="0" applyAlignment="1">
      <alignment wrapText="1"/>
    </xf>
    <xf numFmtId="164" fontId="0" fillId="15" borderId="1" xfId="0" applyNumberFormat="1" applyFill="1" applyBorder="1" applyAlignment="1">
      <alignment horizontal="center"/>
    </xf>
    <xf numFmtId="3" fontId="5" fillId="2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3" fontId="9" fillId="0" borderId="0" xfId="0" applyFont="1" applyFill="1">
      <alignment horizontal="left" vertical="center" wrapText="1"/>
    </xf>
    <xf numFmtId="3" fontId="9" fillId="0" borderId="0" xfId="0" applyFont="1" applyFill="1" applyBorder="1">
      <alignment horizontal="left" vertical="center" wrapText="1"/>
    </xf>
    <xf numFmtId="3" fontId="23" fillId="0" borderId="1" xfId="0" applyFont="1" applyBorder="1" applyAlignment="1">
      <alignment wrapText="1"/>
    </xf>
    <xf numFmtId="164" fontId="23" fillId="0" borderId="1" xfId="0" applyNumberFormat="1" applyFont="1" applyBorder="1" applyAlignment="1">
      <alignment horizontal="center"/>
    </xf>
    <xf numFmtId="3" fontId="5" fillId="15" borderId="1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3" fontId="23" fillId="0" borderId="0" xfId="0" applyFont="1" applyBorder="1">
      <alignment horizontal="left" vertical="center" wrapText="1"/>
    </xf>
    <xf numFmtId="14" fontId="0" fillId="0" borderId="0" xfId="0" applyNumberFormat="1" applyBorder="1">
      <alignment horizontal="left" vertical="center" wrapText="1"/>
    </xf>
    <xf numFmtId="20" fontId="0" fillId="0" borderId="0" xfId="0" applyNumberFormat="1" applyBorder="1">
      <alignment horizontal="left" vertical="center" wrapText="1"/>
    </xf>
    <xf numFmtId="3" fontId="17" fillId="0" borderId="0" xfId="0" applyFont="1" applyFill="1" applyBorder="1" applyAlignment="1">
      <alignment vertical="top" wrapText="1"/>
    </xf>
    <xf numFmtId="3" fontId="5" fillId="0" borderId="1" xfId="0" applyFont="1" applyBorder="1" applyAlignment="1">
      <alignment horizontal="center"/>
    </xf>
    <xf numFmtId="2" fontId="16" fillId="7" borderId="1" xfId="0" applyNumberFormat="1" applyFont="1" applyFill="1" applyBorder="1" applyAlignment="1">
      <alignment horizontal="center"/>
    </xf>
    <xf numFmtId="3" fontId="5" fillId="2" borderId="0" xfId="0" applyFont="1" applyFill="1" applyAlignment="1">
      <alignment horizontal="center"/>
    </xf>
    <xf numFmtId="3" fontId="5" fillId="0" borderId="1" xfId="0" applyFont="1" applyBorder="1" applyAlignment="1">
      <alignment horizontal="center"/>
    </xf>
    <xf numFmtId="2" fontId="5" fillId="0" borderId="0" xfId="0" applyNumberFormat="1" applyFont="1">
      <alignment horizontal="left" vertical="center" wrapText="1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16" fillId="2" borderId="0" xfId="0" applyNumberFormat="1" applyFont="1" applyFill="1" applyBorder="1" applyAlignment="1">
      <alignment horizontal="left" vertical="top" wrapText="1"/>
    </xf>
    <xf numFmtId="3" fontId="9" fillId="0" borderId="1" xfId="0" applyFont="1" applyFill="1" applyBorder="1" applyAlignment="1">
      <alignment wrapText="1"/>
    </xf>
    <xf numFmtId="1" fontId="24" fillId="0" borderId="1" xfId="0" applyNumberFormat="1" applyFont="1" applyBorder="1" applyAlignment="1">
      <alignment horizontal="center"/>
    </xf>
    <xf numFmtId="165" fontId="24" fillId="0" borderId="0" xfId="0" applyNumberFormat="1" applyFont="1">
      <alignment horizontal="left" vertical="center" wrapText="1"/>
    </xf>
    <xf numFmtId="165" fontId="24" fillId="0" borderId="1" xfId="0" applyNumberFormat="1" applyFont="1" applyBorder="1" applyAlignment="1">
      <alignment horizontal="right"/>
    </xf>
    <xf numFmtId="15" fontId="24" fillId="2" borderId="1" xfId="0" applyNumberFormat="1" applyFont="1" applyFill="1" applyBorder="1" applyAlignment="1">
      <alignment horizontal="center"/>
    </xf>
    <xf numFmtId="164" fontId="24" fillId="2" borderId="1" xfId="0" applyNumberFormat="1" applyFont="1" applyFill="1" applyBorder="1">
      <alignment horizontal="left" vertical="center" wrapText="1"/>
    </xf>
    <xf numFmtId="165" fontId="24" fillId="2" borderId="1" xfId="0" applyNumberFormat="1" applyFont="1" applyFill="1" applyBorder="1" applyAlignment="1">
      <alignment horizontal="left" vertical="top" wrapText="1"/>
    </xf>
    <xf numFmtId="3" fontId="24" fillId="2" borderId="1" xfId="0" applyNumberFormat="1" applyFont="1" applyFill="1" applyBorder="1" applyAlignment="1">
      <alignment horizontal="center"/>
    </xf>
    <xf numFmtId="164" fontId="24" fillId="2" borderId="1" xfId="0" applyNumberFormat="1" applyFont="1" applyFill="1" applyBorder="1" applyAlignment="1">
      <alignment horizontal="center"/>
    </xf>
    <xf numFmtId="3" fontId="24" fillId="2" borderId="1" xfId="0" applyFont="1" applyFill="1" applyBorder="1">
      <alignment horizontal="left" vertical="center" wrapText="1"/>
    </xf>
    <xf numFmtId="3" fontId="24" fillId="2" borderId="1" xfId="0" applyFont="1" applyFill="1" applyBorder="1" applyAlignment="1">
      <alignment horizontal="center"/>
    </xf>
    <xf numFmtId="3" fontId="24" fillId="2" borderId="1" xfId="0" applyFont="1" applyFill="1" applyBorder="1" applyAlignment="1">
      <alignment horizontal="right"/>
    </xf>
    <xf numFmtId="3" fontId="24" fillId="0" borderId="0" xfId="0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165" fontId="24" fillId="0" borderId="1" xfId="0" applyNumberFormat="1" applyFont="1" applyFill="1" applyBorder="1" applyAlignment="1">
      <alignment horizontal="left" vertical="top" wrapText="1"/>
    </xf>
    <xf numFmtId="3" fontId="24" fillId="0" borderId="1" xfId="0" applyNumberFormat="1" applyFont="1" applyFill="1" applyBorder="1" applyAlignment="1">
      <alignment horizontal="center"/>
    </xf>
    <xf numFmtId="3" fontId="24" fillId="0" borderId="1" xfId="0" applyFont="1" applyBorder="1">
      <alignment horizontal="left" vertical="center" wrapText="1"/>
    </xf>
    <xf numFmtId="164" fontId="24" fillId="2" borderId="2" xfId="0" applyNumberFormat="1" applyFont="1" applyFill="1" applyBorder="1" applyAlignment="1">
      <alignment horizontal="center"/>
    </xf>
    <xf numFmtId="1" fontId="24" fillId="2" borderId="1" xfId="0" applyNumberFormat="1" applyFont="1" applyFill="1" applyBorder="1" applyAlignment="1">
      <alignment horizontal="center"/>
    </xf>
    <xf numFmtId="165" fontId="24" fillId="0" borderId="0" xfId="0" applyNumberFormat="1" applyFont="1" applyBorder="1" applyAlignment="1">
      <alignment horizontal="right"/>
    </xf>
    <xf numFmtId="165" fontId="24" fillId="0" borderId="0" xfId="0" applyNumberFormat="1" applyFont="1" applyFill="1" applyBorder="1" applyAlignment="1">
      <alignment horizontal="left" vertical="top" wrapText="1"/>
    </xf>
    <xf numFmtId="3" fontId="24" fillId="0" borderId="6" xfId="0" applyFont="1" applyFill="1" applyBorder="1" applyAlignment="1">
      <alignment horizontal="right"/>
    </xf>
    <xf numFmtId="165" fontId="23" fillId="0" borderId="1" xfId="0" applyNumberFormat="1" applyFont="1" applyFill="1" applyBorder="1" applyAlignment="1">
      <alignment horizontal="left" vertical="top" wrapText="1"/>
    </xf>
    <xf numFmtId="0" fontId="23" fillId="0" borderId="0" xfId="6" applyFill="1" applyBorder="1">
      <alignment horizontal="left" vertical="center" wrapText="1"/>
    </xf>
    <xf numFmtId="3" fontId="25" fillId="0" borderId="1" xfId="0" applyNumberFormat="1" applyFont="1" applyBorder="1">
      <alignment horizontal="left" vertical="center" wrapText="1"/>
    </xf>
    <xf numFmtId="3" fontId="12" fillId="0" borderId="8" xfId="0" applyFont="1" applyBorder="1" applyAlignment="1">
      <alignment vertical="top" wrapText="1"/>
    </xf>
    <xf numFmtId="3" fontId="5" fillId="2" borderId="1" xfId="0" applyFont="1" applyFill="1" applyBorder="1" applyAlignment="1">
      <alignment horizontal="center"/>
    </xf>
    <xf numFmtId="3" fontId="5" fillId="2" borderId="1" xfId="0" applyFont="1" applyFill="1" applyBorder="1" applyAlignment="1">
      <alignment horizontal="center" wrapText="1"/>
    </xf>
    <xf numFmtId="3" fontId="25" fillId="7" borderId="1" xfId="0" applyFont="1" applyFill="1" applyBorder="1" applyAlignment="1">
      <alignment vertical="top"/>
    </xf>
    <xf numFmtId="14" fontId="22" fillId="7" borderId="1" xfId="0" applyNumberFormat="1" applyFont="1" applyFill="1" applyBorder="1" applyAlignment="1">
      <alignment horizontal="center" vertical="center"/>
    </xf>
    <xf numFmtId="3" fontId="25" fillId="0" borderId="1" xfId="0" applyFont="1" applyBorder="1" applyAlignment="1">
      <alignment horizontal="left"/>
    </xf>
    <xf numFmtId="2" fontId="25" fillId="0" borderId="1" xfId="0" applyNumberFormat="1" applyFont="1" applyBorder="1" applyAlignment="1">
      <alignment horizontal="center"/>
    </xf>
    <xf numFmtId="3" fontId="9" fillId="7" borderId="1" xfId="0" applyFont="1" applyFill="1" applyBorder="1">
      <alignment horizontal="left" vertical="center" wrapText="1"/>
    </xf>
    <xf numFmtId="177" fontId="22" fillId="0" borderId="1" xfId="0" applyNumberFormat="1" applyFont="1" applyBorder="1">
      <alignment horizontal="left" vertical="center" wrapText="1"/>
    </xf>
    <xf numFmtId="3" fontId="5" fillId="7" borderId="1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left"/>
    </xf>
    <xf numFmtId="177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Fill="1" applyAlignment="1">
      <alignment horizontal="left"/>
    </xf>
    <xf numFmtId="0" fontId="23" fillId="0" borderId="1" xfId="6">
      <alignment horizontal="left" vertical="center" wrapText="1"/>
    </xf>
    <xf numFmtId="177" fontId="4" fillId="0" borderId="0" xfId="0" applyNumberFormat="1" applyFont="1" applyAlignment="1"/>
    <xf numFmtId="164" fontId="4" fillId="0" borderId="0" xfId="0" applyNumberFormat="1" applyFont="1" applyAlignment="1"/>
    <xf numFmtId="177" fontId="4" fillId="0" borderId="1" xfId="0" applyNumberFormat="1" applyFont="1" applyBorder="1" applyAlignment="1"/>
    <xf numFmtId="3" fontId="4" fillId="0" borderId="7" xfId="0" applyFont="1" applyBorder="1" applyAlignment="1">
      <alignment horizontal="left" vertical="center"/>
    </xf>
    <xf numFmtId="3" fontId="0" fillId="0" borderId="7" xfId="0" applyBorder="1" applyAlignment="1">
      <alignment horizontal="left" vertical="center"/>
    </xf>
    <xf numFmtId="3" fontId="4" fillId="7" borderId="7" xfId="0" applyFont="1" applyFill="1" applyBorder="1" applyAlignment="1">
      <alignment horizontal="left" vertical="center"/>
    </xf>
    <xf numFmtId="177" fontId="6" fillId="0" borderId="7" xfId="0" applyNumberFormat="1" applyFont="1" applyFill="1" applyBorder="1" applyAlignment="1">
      <alignment horizontal="left"/>
    </xf>
    <xf numFmtId="177" fontId="4" fillId="0" borderId="1" xfId="0" applyNumberFormat="1" applyFont="1" applyFill="1" applyBorder="1" applyAlignment="1">
      <alignment horizontal="left"/>
    </xf>
    <xf numFmtId="14" fontId="5" fillId="7" borderId="1" xfId="0" applyNumberFormat="1" applyFont="1" applyFill="1" applyBorder="1" applyAlignment="1">
      <alignment horizontal="left"/>
    </xf>
    <xf numFmtId="3" fontId="4" fillId="7" borderId="1" xfId="0" applyFont="1" applyFill="1" applyBorder="1" applyAlignment="1">
      <alignment horizontal="left"/>
    </xf>
    <xf numFmtId="3" fontId="5" fillId="7" borderId="1" xfId="0" applyNumberFormat="1" applyFont="1" applyFill="1" applyBorder="1" applyAlignment="1">
      <alignment horizontal="center" vertical="center"/>
    </xf>
    <xf numFmtId="175" fontId="4" fillId="0" borderId="0" xfId="0" applyNumberFormat="1" applyFont="1" applyFill="1" applyBorder="1" applyAlignment="1">
      <alignment horizontal="left"/>
    </xf>
    <xf numFmtId="3" fontId="0" fillId="0" borderId="20" xfId="0" applyBorder="1">
      <alignment horizontal="left" vertical="center" wrapText="1"/>
    </xf>
    <xf numFmtId="177" fontId="25" fillId="0" borderId="1" xfId="0" applyNumberFormat="1" applyFont="1" applyFill="1" applyBorder="1" applyAlignment="1"/>
    <xf numFmtId="3" fontId="25" fillId="0" borderId="1" xfId="0" applyFont="1" applyBorder="1" applyAlignment="1">
      <alignment vertical="center"/>
    </xf>
    <xf numFmtId="3" fontId="25" fillId="0" borderId="1" xfId="0" applyFont="1" applyBorder="1" applyAlignment="1">
      <alignment horizontal="left" vertical="center"/>
    </xf>
    <xf numFmtId="176" fontId="23" fillId="0" borderId="0" xfId="0" applyNumberFormat="1" applyFont="1" applyFill="1" applyBorder="1">
      <alignment horizontal="left" vertical="center" wrapText="1"/>
    </xf>
    <xf numFmtId="3" fontId="22" fillId="0" borderId="1" xfId="0" applyFont="1" applyFill="1" applyBorder="1" applyAlignment="1">
      <alignment horizontal="left" vertical="center"/>
    </xf>
    <xf numFmtId="3" fontId="5" fillId="0" borderId="1" xfId="0" applyFont="1" applyBorder="1" applyAlignment="1">
      <alignment horizontal="center"/>
    </xf>
    <xf numFmtId="177" fontId="19" fillId="0" borderId="0" xfId="3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/>
    <xf numFmtId="165" fontId="5" fillId="0" borderId="0" xfId="0" applyNumberFormat="1" applyFont="1" applyAlignment="1"/>
    <xf numFmtId="177" fontId="0" fillId="0" borderId="0" xfId="0" applyNumberFormat="1" applyFill="1" applyBorder="1" applyAlignment="1">
      <alignment horizontal="left"/>
    </xf>
    <xf numFmtId="1" fontId="4" fillId="0" borderId="0" xfId="0" applyNumberFormat="1" applyFont="1" applyAlignment="1"/>
    <xf numFmtId="14" fontId="4" fillId="0" borderId="0" xfId="0" applyNumberFormat="1" applyFont="1" applyAlignment="1"/>
    <xf numFmtId="1" fontId="0" fillId="0" borderId="0" xfId="0" applyNumberFormat="1" applyAlignment="1"/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Alignment="1">
      <alignment horizontal="left"/>
    </xf>
    <xf numFmtId="3" fontId="5" fillId="2" borderId="0" xfId="0" applyFont="1" applyFill="1" applyAlignment="1">
      <alignment horizontal="center"/>
    </xf>
    <xf numFmtId="3" fontId="22" fillId="7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0" fontId="23" fillId="0" borderId="1" xfId="6" applyFill="1">
      <alignment horizontal="left" vertical="center" wrapText="1"/>
    </xf>
    <xf numFmtId="164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164" fontId="23" fillId="2" borderId="1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center"/>
    </xf>
    <xf numFmtId="3" fontId="9" fillId="0" borderId="0" xfId="0" applyFont="1" applyFill="1" applyBorder="1" applyAlignment="1">
      <alignment horizontal="left" vertical="center"/>
    </xf>
    <xf numFmtId="3" fontId="4" fillId="0" borderId="1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" fontId="4" fillId="7" borderId="1" xfId="0" applyNumberFormat="1" applyFont="1" applyFill="1" applyBorder="1" applyAlignment="1">
      <alignment horizontal="center" vertical="center"/>
    </xf>
    <xf numFmtId="3" fontId="31" fillId="0" borderId="0" xfId="0" applyFont="1">
      <alignment horizontal="left" vertical="center" wrapText="1"/>
    </xf>
    <xf numFmtId="3" fontId="31" fillId="0" borderId="0" xfId="0" applyFont="1" applyAlignment="1">
      <alignment horizontal="left" vertical="top"/>
    </xf>
    <xf numFmtId="3" fontId="31" fillId="0" borderId="0" xfId="0" applyFont="1" applyAlignment="1">
      <alignment horizontal="center"/>
    </xf>
    <xf numFmtId="3" fontId="31" fillId="0" borderId="0" xfId="0" applyFont="1" applyAlignment="1">
      <alignment horizontal="left" vertical="top" wrapText="1"/>
    </xf>
    <xf numFmtId="2" fontId="31" fillId="0" borderId="0" xfId="0" applyNumberFormat="1" applyFont="1">
      <alignment horizontal="left" vertical="center" wrapText="1"/>
    </xf>
    <xf numFmtId="3" fontId="31" fillId="7" borderId="0" xfId="0" applyFont="1" applyFill="1" applyAlignment="1"/>
    <xf numFmtId="3" fontId="31" fillId="7" borderId="8" xfId="0" applyFont="1" applyFill="1" applyBorder="1" applyAlignment="1"/>
    <xf numFmtId="2" fontId="31" fillId="0" borderId="1" xfId="0" applyNumberFormat="1" applyFont="1" applyFill="1" applyBorder="1" applyAlignment="1">
      <alignment horizontal="center" vertical="center"/>
    </xf>
    <xf numFmtId="2" fontId="33" fillId="0" borderId="1" xfId="0" applyNumberFormat="1" applyFont="1" applyFill="1" applyBorder="1" applyAlignment="1">
      <alignment horizontal="center" vertical="center"/>
    </xf>
    <xf numFmtId="3" fontId="32" fillId="0" borderId="0" xfId="0" applyFont="1" applyBorder="1" applyAlignment="1">
      <alignment horizontal="center" vertical="center"/>
    </xf>
    <xf numFmtId="3" fontId="31" fillId="0" borderId="0" xfId="0" applyFont="1" applyBorder="1" applyAlignment="1">
      <alignment horizontal="center" vertical="top"/>
    </xf>
    <xf numFmtId="3" fontId="31" fillId="0" borderId="0" xfId="0" applyFont="1" applyBorder="1" applyAlignment="1">
      <alignment horizontal="center" vertical="top" wrapText="1"/>
    </xf>
    <xf numFmtId="14" fontId="31" fillId="0" borderId="0" xfId="0" applyNumberFormat="1" applyFont="1" applyBorder="1">
      <alignment horizontal="left" vertical="center" wrapText="1"/>
    </xf>
    <xf numFmtId="165" fontId="31" fillId="0" borderId="0" xfId="0" applyNumberFormat="1" applyFont="1" applyBorder="1" applyAlignment="1">
      <alignment horizontal="center"/>
    </xf>
    <xf numFmtId="3" fontId="31" fillId="0" borderId="0" xfId="0" applyFont="1" applyBorder="1">
      <alignment horizontal="left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31" fillId="7" borderId="1" xfId="0" applyFont="1" applyFill="1" applyBorder="1" applyAlignment="1">
      <alignment horizontal="center" vertical="center"/>
    </xf>
    <xf numFmtId="3" fontId="31" fillId="7" borderId="1" xfId="0" applyFont="1" applyFill="1" applyBorder="1" applyAlignment="1">
      <alignment horizontal="center" vertical="center" wrapText="1"/>
    </xf>
    <xf numFmtId="177" fontId="4" fillId="7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3" fontId="4" fillId="7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177" fontId="25" fillId="0" borderId="1" xfId="0" applyNumberFormat="1" applyFont="1" applyBorder="1">
      <alignment horizontal="left" vertical="center" wrapText="1"/>
    </xf>
    <xf numFmtId="0" fontId="23" fillId="0" borderId="1" xfId="6" applyBorder="1">
      <alignment horizontal="left" vertical="center" wrapText="1"/>
    </xf>
    <xf numFmtId="1" fontId="9" fillId="7" borderId="1" xfId="0" applyNumberFormat="1" applyFont="1" applyFill="1" applyBorder="1">
      <alignment horizontal="left" vertical="center" wrapText="1"/>
    </xf>
    <xf numFmtId="3" fontId="25" fillId="0" borderId="5" xfId="0" applyFont="1" applyBorder="1" applyAlignment="1">
      <alignment horizontal="center"/>
    </xf>
    <xf numFmtId="3" fontId="37" fillId="0" borderId="1" xfId="0" applyFont="1" applyBorder="1">
      <alignment horizontal="left" vertical="center" wrapText="1"/>
    </xf>
    <xf numFmtId="0" fontId="23" fillId="0" borderId="0" xfId="6" applyBorder="1">
      <alignment horizontal="left" vertical="center" wrapText="1"/>
    </xf>
    <xf numFmtId="170" fontId="5" fillId="0" borderId="1" xfId="0" applyNumberFormat="1" applyFont="1" applyBorder="1">
      <alignment horizontal="left" vertical="center" wrapText="1"/>
    </xf>
    <xf numFmtId="3" fontId="9" fillId="7" borderId="2" xfId="0" applyFont="1" applyFill="1" applyBorder="1">
      <alignment horizontal="left" vertical="center" wrapText="1"/>
    </xf>
    <xf numFmtId="3" fontId="34" fillId="0" borderId="1" xfId="0" applyFont="1" applyBorder="1">
      <alignment horizontal="left" vertical="center" wrapText="1"/>
    </xf>
    <xf numFmtId="3" fontId="34" fillId="0" borderId="1" xfId="0" applyFont="1" applyFill="1" applyBorder="1" applyAlignment="1"/>
    <xf numFmtId="170" fontId="34" fillId="0" borderId="1" xfId="0" applyNumberFormat="1" applyFont="1" applyBorder="1" applyAlignment="1">
      <alignment horizontal="left" vertical="center" wrapText="1"/>
    </xf>
    <xf numFmtId="4" fontId="34" fillId="0" borderId="1" xfId="0" applyNumberFormat="1" applyFont="1" applyBorder="1" applyAlignment="1">
      <alignment horizontal="left" vertical="center" wrapText="1"/>
    </xf>
    <xf numFmtId="178" fontId="34" fillId="0" borderId="1" xfId="0" applyNumberFormat="1" applyFont="1" applyBorder="1" applyAlignment="1">
      <alignment horizontal="left" vertical="center" wrapText="1"/>
    </xf>
    <xf numFmtId="170" fontId="36" fillId="0" borderId="1" xfId="0" applyNumberFormat="1" applyFont="1" applyFill="1" applyBorder="1" applyAlignment="1">
      <alignment horizontal="left"/>
    </xf>
    <xf numFmtId="4" fontId="36" fillId="0" borderId="1" xfId="0" applyNumberFormat="1" applyFont="1" applyFill="1" applyBorder="1" applyAlignment="1">
      <alignment horizontal="left"/>
    </xf>
    <xf numFmtId="0" fontId="4" fillId="0" borderId="0" xfId="0" applyNumberFormat="1" applyFont="1" applyFill="1" applyAlignment="1"/>
    <xf numFmtId="0" fontId="4" fillId="0" borderId="0" xfId="0" applyNumberFormat="1" applyFont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/>
    <xf numFmtId="0" fontId="0" fillId="0" borderId="0" xfId="0" applyNumberFormat="1" applyFill="1" applyBorder="1" applyAlignment="1">
      <alignment horizontal="left"/>
    </xf>
    <xf numFmtId="0" fontId="19" fillId="0" borderId="0" xfId="3" applyNumberFormat="1" applyFont="1" applyFill="1" applyBorder="1" applyAlignment="1">
      <alignment horizontal="left"/>
    </xf>
    <xf numFmtId="0" fontId="19" fillId="0" borderId="0" xfId="3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19" fillId="0" borderId="0" xfId="4" applyNumberFormat="1" applyFont="1" applyFill="1" applyBorder="1" applyAlignment="1">
      <alignment horizontal="left"/>
    </xf>
    <xf numFmtId="0" fontId="0" fillId="0" borderId="0" xfId="0" applyNumberFormat="1" applyFill="1" applyAlignment="1"/>
    <xf numFmtId="4" fontId="0" fillId="0" borderId="1" xfId="0" applyNumberFormat="1" applyBorder="1">
      <alignment horizontal="left" vertical="center" wrapText="1"/>
    </xf>
    <xf numFmtId="170" fontId="0" fillId="0" borderId="1" xfId="0" applyNumberFormat="1" applyBorder="1">
      <alignment horizontal="left" vertical="center" wrapText="1"/>
    </xf>
    <xf numFmtId="0" fontId="0" fillId="0" borderId="0" xfId="0" applyNumberFormat="1" applyAlignment="1"/>
    <xf numFmtId="4" fontId="0" fillId="0" borderId="1" xfId="0" applyNumberFormat="1" applyBorder="1" applyAlignment="1">
      <alignment horizontal="center" vertical="center" wrapText="1"/>
    </xf>
    <xf numFmtId="170" fontId="0" fillId="0" borderId="1" xfId="0" applyNumberFormat="1" applyBorder="1" applyAlignment="1">
      <alignment horizontal="center" vertical="center" wrapText="1"/>
    </xf>
    <xf numFmtId="4" fontId="0" fillId="0" borderId="0" xfId="0" applyNumberFormat="1">
      <alignment horizontal="left" vertical="center" wrapText="1"/>
    </xf>
    <xf numFmtId="0" fontId="4" fillId="0" borderId="1" xfId="0" applyNumberFormat="1" applyFont="1" applyBorder="1" applyAlignment="1">
      <alignment horizontal="center"/>
    </xf>
    <xf numFmtId="0" fontId="4" fillId="7" borderId="1" xfId="0" applyNumberFormat="1" applyFont="1" applyFill="1" applyBorder="1" applyAlignment="1"/>
    <xf numFmtId="0" fontId="23" fillId="0" borderId="1" xfId="6">
      <alignment horizontal="left" vertical="center" wrapText="1"/>
    </xf>
    <xf numFmtId="3" fontId="0" fillId="0" borderId="0" xfId="0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3" fontId="38" fillId="0" borderId="0" xfId="0" applyFont="1">
      <alignment horizontal="left" vertical="center" wrapText="1"/>
    </xf>
    <xf numFmtId="3" fontId="0" fillId="0" borderId="0" xfId="0">
      <alignment horizontal="left" vertical="center" wrapText="1"/>
    </xf>
    <xf numFmtId="177" fontId="4" fillId="0" borderId="7" xfId="0" applyNumberFormat="1" applyFont="1" applyFill="1" applyBorder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2" fontId="31" fillId="7" borderId="1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Alignment="1"/>
    <xf numFmtId="177" fontId="4" fillId="0" borderId="0" xfId="0" applyNumberFormat="1" applyFont="1" applyFill="1" applyBorder="1" applyAlignment="1"/>
    <xf numFmtId="177" fontId="6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 vertical="center"/>
    </xf>
    <xf numFmtId="3" fontId="4" fillId="0" borderId="0" xfId="0" applyFont="1" applyFill="1" applyBorder="1" applyAlignment="1">
      <alignment horizontal="left" vertical="center"/>
    </xf>
    <xf numFmtId="3" fontId="0" fillId="0" borderId="0" xfId="0" applyFill="1" applyBorder="1" applyAlignment="1">
      <alignment horizontal="left" vertical="center"/>
    </xf>
    <xf numFmtId="170" fontId="5" fillId="0" borderId="1" xfId="0" applyNumberFormat="1" applyFont="1" applyBorder="1" applyAlignment="1">
      <alignment horizontal="center" vertical="center" wrapText="1"/>
    </xf>
    <xf numFmtId="170" fontId="5" fillId="0" borderId="1" xfId="0" applyNumberFormat="1" applyFont="1" applyBorder="1" applyAlignment="1">
      <alignment horizontal="center" wrapText="1"/>
    </xf>
    <xf numFmtId="170" fontId="0" fillId="0" borderId="1" xfId="0" applyNumberFormat="1" applyBorder="1" applyAlignment="1">
      <alignment horizontal="center" wrapText="1"/>
    </xf>
    <xf numFmtId="170" fontId="5" fillId="0" borderId="10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16" fillId="10" borderId="2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170" fontId="13" fillId="8" borderId="1" xfId="0" applyNumberFormat="1" applyFont="1" applyFill="1" applyBorder="1" applyAlignment="1">
      <alignment horizontal="center"/>
    </xf>
    <xf numFmtId="170" fontId="13" fillId="8" borderId="1" xfId="0" applyNumberFormat="1" applyFont="1" applyFill="1" applyBorder="1" applyAlignment="1">
      <alignment horizontal="left" wrapText="1"/>
    </xf>
    <xf numFmtId="0" fontId="0" fillId="0" borderId="0" xfId="0" applyNumberFormat="1">
      <alignment horizontal="left" vertical="center" wrapText="1"/>
    </xf>
    <xf numFmtId="0" fontId="23" fillId="0" borderId="10" xfId="6" applyFill="1" applyBorder="1">
      <alignment horizontal="left" vertical="center" wrapText="1"/>
    </xf>
    <xf numFmtId="15" fontId="15" fillId="4" borderId="1" xfId="0" applyNumberFormat="1" applyFont="1" applyFill="1" applyBorder="1" applyAlignment="1">
      <alignment wrapText="1"/>
    </xf>
    <xf numFmtId="15" fontId="15" fillId="4" borderId="1" xfId="0" applyNumberFormat="1" applyFont="1" applyFill="1" applyBorder="1">
      <alignment horizontal="left" vertical="center" wrapText="1"/>
    </xf>
    <xf numFmtId="165" fontId="15" fillId="2" borderId="1" xfId="0" applyNumberFormat="1" applyFont="1" applyFill="1" applyBorder="1" applyAlignment="1">
      <alignment horizontal="left" vertical="top" wrapText="1"/>
    </xf>
    <xf numFmtId="164" fontId="15" fillId="2" borderId="1" xfId="0" applyNumberFormat="1" applyFont="1" applyFill="1" applyBorder="1" applyAlignment="1">
      <alignment horizontal="left" vertical="top" wrapText="1"/>
    </xf>
    <xf numFmtId="164" fontId="15" fillId="4" borderId="1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>
      <alignment horizontal="left" vertical="center" wrapText="1"/>
    </xf>
    <xf numFmtId="3" fontId="9" fillId="0" borderId="0" xfId="0" applyNumberFormat="1" applyFont="1" applyFill="1" applyBorder="1">
      <alignment horizontal="left" vertical="center" wrapText="1"/>
    </xf>
    <xf numFmtId="14" fontId="9" fillId="0" borderId="0" xfId="0" applyNumberFormat="1" applyFont="1" applyFill="1" applyBorder="1">
      <alignment horizontal="left" vertical="center" wrapText="1"/>
    </xf>
    <xf numFmtId="14" fontId="0" fillId="0" borderId="0" xfId="0" applyNumberFormat="1" applyFill="1" applyBorder="1">
      <alignment horizontal="left" vertical="center" wrapText="1"/>
    </xf>
    <xf numFmtId="15" fontId="13" fillId="0" borderId="0" xfId="0" applyNumberFormat="1" applyFont="1" applyFill="1" applyBorder="1">
      <alignment horizontal="left" vertical="center" wrapText="1"/>
    </xf>
    <xf numFmtId="164" fontId="9" fillId="0" borderId="0" xfId="0" applyNumberFormat="1" applyFont="1" applyFill="1" applyBorder="1" applyAlignment="1">
      <alignment horizontal="center"/>
    </xf>
    <xf numFmtId="9" fontId="5" fillId="0" borderId="0" xfId="5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/>
    <xf numFmtId="15" fontId="13" fillId="0" borderId="0" xfId="0" applyNumberFormat="1" applyFont="1" applyFill="1" applyBorder="1" applyAlignment="1">
      <alignment horizontal="center"/>
    </xf>
    <xf numFmtId="15" fontId="13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>
      <alignment horizontal="left" vertical="center" wrapText="1"/>
    </xf>
    <xf numFmtId="2" fontId="9" fillId="0" borderId="0" xfId="0" applyNumberFormat="1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left" vertical="center"/>
    </xf>
    <xf numFmtId="3" fontId="24" fillId="0" borderId="0" xfId="0" applyFont="1" applyFill="1" applyBorder="1">
      <alignment horizontal="left" vertical="center" wrapText="1"/>
    </xf>
    <xf numFmtId="3" fontId="16" fillId="0" borderId="0" xfId="0" applyFont="1" applyFill="1" applyBorder="1">
      <alignment horizontal="left" vertical="center" wrapText="1"/>
    </xf>
    <xf numFmtId="3" fontId="12" fillId="0" borderId="0" xfId="0" applyFont="1">
      <alignment horizontal="left" vertical="center" wrapText="1"/>
    </xf>
    <xf numFmtId="164" fontId="0" fillId="0" borderId="0" xfId="0" applyNumberFormat="1" applyFill="1" applyBorder="1">
      <alignment horizontal="left" vertical="center" wrapText="1"/>
    </xf>
    <xf numFmtId="170" fontId="5" fillId="0" borderId="1" xfId="0" applyNumberFormat="1" applyFont="1" applyBorder="1" applyAlignment="1">
      <alignment horizontal="center" vertical="center"/>
    </xf>
    <xf numFmtId="3" fontId="12" fillId="0" borderId="8" xfId="0" applyFont="1" applyBorder="1" applyAlignment="1">
      <alignment vertical="top" wrapText="1"/>
    </xf>
    <xf numFmtId="3" fontId="0" fillId="0" borderId="0" xfId="0">
      <alignment horizontal="left" vertical="center" wrapText="1"/>
    </xf>
    <xf numFmtId="170" fontId="25" fillId="0" borderId="1" xfId="0" applyNumberFormat="1" applyFont="1" applyBorder="1" applyAlignment="1">
      <alignment horizontal="center"/>
    </xf>
    <xf numFmtId="170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Fill="1" applyBorder="1">
      <alignment horizontal="left" vertical="center" wrapText="1"/>
    </xf>
    <xf numFmtId="4" fontId="25" fillId="0" borderId="1" xfId="0" applyNumberFormat="1" applyFont="1" applyBorder="1">
      <alignment horizontal="left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3" fontId="34" fillId="7" borderId="1" xfId="0" applyFont="1" applyFill="1" applyBorder="1">
      <alignment horizontal="left" vertical="center" wrapText="1"/>
    </xf>
    <xf numFmtId="3" fontId="31" fillId="0" borderId="1" xfId="0" applyFont="1" applyBorder="1" applyAlignment="1">
      <alignment horizontal="left" vertical="center"/>
    </xf>
    <xf numFmtId="3" fontId="31" fillId="0" borderId="1" xfId="0" applyFont="1" applyBorder="1" applyAlignment="1">
      <alignment vertical="center"/>
    </xf>
    <xf numFmtId="3" fontId="31" fillId="0" borderId="1" xfId="0" applyFont="1" applyBorder="1" applyAlignment="1">
      <alignment horizontal="left"/>
    </xf>
    <xf numFmtId="0" fontId="0" fillId="0" borderId="1" xfId="6" applyFont="1">
      <alignment horizontal="left" vertical="center" wrapText="1"/>
    </xf>
    <xf numFmtId="3" fontId="9" fillId="0" borderId="0" xfId="0" applyFont="1" applyFill="1" applyBorder="1" applyAlignment="1">
      <alignment wrapText="1"/>
    </xf>
    <xf numFmtId="3" fontId="4" fillId="0" borderId="0" xfId="0" applyFont="1" applyFill="1" applyBorder="1" applyAlignment="1">
      <alignment wrapText="1"/>
    </xf>
    <xf numFmtId="3" fontId="12" fillId="0" borderId="0" xfId="0" applyFont="1" applyFill="1" applyBorder="1" applyAlignment="1">
      <alignment wrapText="1"/>
    </xf>
    <xf numFmtId="3" fontId="12" fillId="0" borderId="0" xfId="0" applyFont="1" applyFill="1" applyBorder="1" applyAlignment="1">
      <alignment vertical="top" wrapText="1"/>
    </xf>
    <xf numFmtId="1" fontId="13" fillId="2" borderId="1" xfId="0" applyNumberFormat="1" applyFont="1" applyFill="1" applyBorder="1" applyAlignment="1">
      <alignment horizontal="center" vertical="center"/>
    </xf>
    <xf numFmtId="3" fontId="13" fillId="2" borderId="1" xfId="0" applyFont="1" applyFill="1" applyBorder="1" applyAlignment="1">
      <alignment horizontal="center" vertical="center" wrapText="1"/>
    </xf>
    <xf numFmtId="3" fontId="13" fillId="2" borderId="1" xfId="0" applyFont="1" applyFill="1" applyBorder="1" applyAlignment="1">
      <alignment horizontal="center" vertical="center"/>
    </xf>
    <xf numFmtId="3" fontId="13" fillId="15" borderId="1" xfId="0" applyFont="1" applyFill="1" applyBorder="1" applyAlignment="1">
      <alignment vertical="center" wrapText="1"/>
    </xf>
    <xf numFmtId="3" fontId="41" fillId="16" borderId="1" xfId="0" applyFont="1" applyFill="1" applyBorder="1" applyAlignment="1">
      <alignment vertical="top" wrapText="1"/>
    </xf>
    <xf numFmtId="3" fontId="41" fillId="16" borderId="1" xfId="0" applyFont="1" applyFill="1" applyBorder="1" applyAlignment="1">
      <alignment horizontal="center" vertical="top" wrapText="1"/>
    </xf>
    <xf numFmtId="3" fontId="34" fillId="0" borderId="0" xfId="0" applyFont="1">
      <alignment horizontal="left" vertical="center" wrapText="1"/>
    </xf>
    <xf numFmtId="3" fontId="41" fillId="0" borderId="1" xfId="0" applyFont="1" applyBorder="1" applyAlignment="1">
      <alignment horizontal="center" vertical="top" wrapText="1"/>
    </xf>
    <xf numFmtId="3" fontId="42" fillId="0" borderId="1" xfId="0" applyFont="1" applyBorder="1" applyAlignment="1">
      <alignment vertical="top" wrapText="1"/>
    </xf>
    <xf numFmtId="3" fontId="34" fillId="0" borderId="1" xfId="0" applyFont="1" applyBorder="1" applyAlignment="1">
      <alignment horizontal="left"/>
    </xf>
    <xf numFmtId="3" fontId="34" fillId="0" borderId="1" xfId="0" applyFont="1" applyBorder="1" applyAlignment="1">
      <alignment horizontal="center"/>
    </xf>
    <xf numFmtId="3" fontId="44" fillId="17" borderId="16" xfId="0" applyFont="1" applyFill="1" applyBorder="1" applyAlignment="1">
      <alignment horizontal="left" vertical="top" wrapText="1"/>
    </xf>
    <xf numFmtId="3" fontId="44" fillId="17" borderId="16" xfId="0" applyFont="1" applyFill="1" applyBorder="1" applyAlignment="1">
      <alignment horizontal="center" vertical="top" wrapText="1"/>
    </xf>
    <xf numFmtId="3" fontId="44" fillId="17" borderId="1" xfId="0" applyFont="1" applyFill="1" applyBorder="1" applyAlignment="1">
      <alignment horizontal="left" vertical="top" wrapText="1"/>
    </xf>
    <xf numFmtId="3" fontId="44" fillId="17" borderId="1" xfId="0" applyFont="1" applyFill="1" applyBorder="1" applyAlignment="1">
      <alignment horizontal="center" vertical="top" wrapText="1"/>
    </xf>
    <xf numFmtId="3" fontId="41" fillId="16" borderId="1" xfId="0" applyFont="1" applyFill="1" applyBorder="1" applyAlignment="1">
      <alignment wrapText="1"/>
    </xf>
    <xf numFmtId="3" fontId="43" fillId="17" borderId="16" xfId="0" applyFont="1" applyFill="1" applyBorder="1" applyAlignment="1">
      <alignment horizontal="left" vertical="top" wrapText="1"/>
    </xf>
    <xf numFmtId="3" fontId="43" fillId="17" borderId="16" xfId="0" applyFont="1" applyFill="1" applyBorder="1" applyAlignment="1">
      <alignment horizontal="center" vertical="top" wrapText="1"/>
    </xf>
    <xf numFmtId="3" fontId="43" fillId="17" borderId="16" xfId="0" applyFont="1" applyFill="1" applyBorder="1" applyAlignment="1">
      <alignment horizontal="center" vertical="center" wrapText="1"/>
    </xf>
    <xf numFmtId="3" fontId="43" fillId="17" borderId="1" xfId="0" applyFont="1" applyFill="1" applyBorder="1" applyAlignment="1">
      <alignment horizontal="left" vertical="top" wrapText="1"/>
    </xf>
    <xf numFmtId="173" fontId="43" fillId="17" borderId="1" xfId="0" applyNumberFormat="1" applyFont="1" applyFill="1" applyBorder="1" applyAlignment="1">
      <alignment horizontal="center" vertical="top" wrapText="1"/>
    </xf>
    <xf numFmtId="3" fontId="43" fillId="17" borderId="1" xfId="0" applyFont="1" applyFill="1" applyBorder="1" applyAlignment="1">
      <alignment horizontal="center" vertical="top" wrapText="1"/>
    </xf>
    <xf numFmtId="3" fontId="42" fillId="0" borderId="1" xfId="0" applyFont="1" applyBorder="1" applyAlignment="1">
      <alignment wrapText="1"/>
    </xf>
    <xf numFmtId="3" fontId="43" fillId="17" borderId="18" xfId="0" applyFont="1" applyFill="1" applyBorder="1" applyAlignment="1">
      <alignment horizontal="center" vertical="top" wrapText="1"/>
    </xf>
    <xf numFmtId="3" fontId="43" fillId="17" borderId="18" xfId="0" applyFont="1" applyFill="1" applyBorder="1" applyAlignment="1">
      <alignment horizontal="left" vertical="top" wrapText="1"/>
    </xf>
    <xf numFmtId="3" fontId="43" fillId="17" borderId="17" xfId="0" applyFont="1" applyFill="1" applyBorder="1" applyAlignment="1">
      <alignment horizontal="left" vertical="top" wrapText="1"/>
    </xf>
    <xf numFmtId="172" fontId="43" fillId="17" borderId="1" xfId="0" applyNumberFormat="1" applyFont="1" applyFill="1" applyBorder="1" applyAlignment="1">
      <alignment horizontal="center" vertical="top" wrapText="1"/>
    </xf>
    <xf numFmtId="3" fontId="42" fillId="0" borderId="1" xfId="0" applyFont="1" applyFill="1" applyBorder="1" applyAlignment="1">
      <alignment wrapText="1"/>
    </xf>
    <xf numFmtId="3" fontId="43" fillId="17" borderId="0" xfId="0" applyFont="1" applyFill="1" applyAlignment="1">
      <alignment horizontal="left" vertical="top"/>
    </xf>
    <xf numFmtId="0" fontId="34" fillId="0" borderId="1" xfId="0" applyNumberFormat="1" applyFont="1" applyBorder="1" applyAlignment="1"/>
    <xf numFmtId="1" fontId="42" fillId="0" borderId="1" xfId="0" applyNumberFormat="1" applyFont="1" applyBorder="1" applyAlignment="1">
      <alignment wrapText="1"/>
    </xf>
    <xf numFmtId="1" fontId="34" fillId="0" borderId="1" xfId="0" applyNumberFormat="1" applyFont="1" applyBorder="1">
      <alignment horizontal="left" vertical="center" wrapText="1"/>
    </xf>
    <xf numFmtId="4" fontId="34" fillId="0" borderId="1" xfId="0" applyNumberFormat="1" applyFont="1" applyBorder="1">
      <alignment horizontal="left" vertical="center" wrapText="1"/>
    </xf>
    <xf numFmtId="0" fontId="34" fillId="7" borderId="1" xfId="0" applyNumberFormat="1" applyFont="1" applyFill="1" applyBorder="1" applyAlignment="1"/>
    <xf numFmtId="3" fontId="34" fillId="17" borderId="16" xfId="0" applyFont="1" applyFill="1" applyBorder="1" applyAlignment="1">
      <alignment horizontal="left" vertical="top" wrapText="1"/>
    </xf>
    <xf numFmtId="170" fontId="34" fillId="0" borderId="1" xfId="0" applyNumberFormat="1" applyFont="1" applyBorder="1">
      <alignment horizontal="left" vertical="center" wrapText="1"/>
    </xf>
    <xf numFmtId="3" fontId="34" fillId="0" borderId="1" xfId="0" applyNumberFormat="1" applyFont="1" applyBorder="1">
      <alignment horizontal="left" vertical="center" wrapText="1"/>
    </xf>
    <xf numFmtId="3" fontId="43" fillId="17" borderId="8" xfId="0" applyFont="1" applyFill="1" applyBorder="1" applyAlignment="1">
      <alignment horizontal="left" vertical="top" wrapText="1"/>
    </xf>
    <xf numFmtId="3" fontId="43" fillId="17" borderId="25" xfId="0" applyFont="1" applyFill="1" applyBorder="1" applyAlignment="1">
      <alignment horizontal="left" vertical="top" wrapText="1"/>
    </xf>
    <xf numFmtId="3" fontId="42" fillId="0" borderId="8" xfId="0" applyFont="1" applyBorder="1" applyAlignment="1">
      <alignment wrapText="1"/>
    </xf>
    <xf numFmtId="3" fontId="34" fillId="0" borderId="8" xfId="0" applyFont="1" applyBorder="1">
      <alignment horizontal="left" vertical="center" wrapText="1"/>
    </xf>
    <xf numFmtId="3" fontId="42" fillId="0" borderId="1" xfId="0" applyFont="1" applyFill="1" applyBorder="1" applyAlignment="1">
      <alignment vertical="top" wrapText="1"/>
    </xf>
    <xf numFmtId="3" fontId="44" fillId="17" borderId="0" xfId="0" applyFont="1" applyFill="1" applyAlignment="1">
      <alignment horizontal="left" vertical="top"/>
    </xf>
    <xf numFmtId="3" fontId="34" fillId="0" borderId="0" xfId="0" applyFont="1" applyAlignment="1">
      <alignment vertical="top" wrapText="1"/>
    </xf>
    <xf numFmtId="171" fontId="43" fillId="17" borderId="16" xfId="0" applyNumberFormat="1" applyFont="1" applyFill="1" applyBorder="1" applyAlignment="1">
      <alignment horizontal="left" vertical="center" wrapText="1"/>
    </xf>
    <xf numFmtId="3" fontId="43" fillId="17" borderId="16" xfId="0" applyFont="1" applyFill="1" applyBorder="1" applyAlignment="1">
      <alignment horizontal="left" vertical="center" wrapText="1"/>
    </xf>
    <xf numFmtId="171" fontId="43" fillId="17" borderId="16" xfId="0" applyNumberFormat="1" applyFont="1" applyFill="1" applyBorder="1" applyAlignment="1">
      <alignment horizontal="left" vertical="top" wrapText="1"/>
    </xf>
    <xf numFmtId="0" fontId="31" fillId="0" borderId="0" xfId="0" applyNumberFormat="1" applyFont="1">
      <alignment horizontal="left" vertical="center" wrapText="1"/>
    </xf>
    <xf numFmtId="4" fontId="31" fillId="0" borderId="0" xfId="0" applyNumberFormat="1" applyFont="1">
      <alignment horizontal="left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3" fontId="23" fillId="0" borderId="1" xfId="1" applyNumberFormat="1" applyFont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64" fontId="31" fillId="0" borderId="1" xfId="0" applyNumberFormat="1" applyFont="1" applyFill="1" applyBorder="1" applyAlignment="1">
      <alignment horizontal="center" vertical="center"/>
    </xf>
    <xf numFmtId="3" fontId="25" fillId="0" borderId="7" xfId="0" applyFont="1" applyBorder="1" applyAlignment="1">
      <alignment horizontal="left" vertical="center" wrapText="1"/>
    </xf>
    <xf numFmtId="3" fontId="0" fillId="0" borderId="7" xfId="0" applyBorder="1" applyAlignment="1">
      <alignment horizontal="center"/>
    </xf>
    <xf numFmtId="3" fontId="0" fillId="0" borderId="5" xfId="0" applyBorder="1" applyAlignment="1">
      <alignment horizontal="center"/>
    </xf>
    <xf numFmtId="3" fontId="25" fillId="0" borderId="7" xfId="0" applyFont="1" applyBorder="1" applyAlignment="1">
      <alignment horizontal="center" vertical="center" wrapText="1"/>
    </xf>
    <xf numFmtId="3" fontId="25" fillId="0" borderId="5" xfId="0" applyFont="1" applyBorder="1" applyAlignment="1">
      <alignment horizontal="center" vertical="center" wrapText="1"/>
    </xf>
    <xf numFmtId="3" fontId="4" fillId="7" borderId="7" xfId="0" applyFont="1" applyFill="1" applyBorder="1">
      <alignment horizontal="left" vertical="center" wrapText="1"/>
    </xf>
    <xf numFmtId="14" fontId="0" fillId="0" borderId="1" xfId="0" applyNumberFormat="1" applyBorder="1">
      <alignment horizontal="left" vertical="center" wrapText="1"/>
    </xf>
    <xf numFmtId="3" fontId="0" fillId="0" borderId="2" xfId="0" applyBorder="1">
      <alignment horizontal="left" vertical="center" wrapText="1"/>
    </xf>
    <xf numFmtId="3" fontId="0" fillId="0" borderId="1" xfId="0" applyBorder="1" applyAlignment="1">
      <alignment horizontal="center"/>
    </xf>
    <xf numFmtId="3" fontId="25" fillId="7" borderId="0" xfId="0" applyFont="1" applyFill="1" applyBorder="1">
      <alignment horizontal="left" vertical="center" wrapText="1"/>
    </xf>
    <xf numFmtId="3" fontId="25" fillId="0" borderId="5" xfId="0" applyFont="1" applyBorder="1" applyAlignment="1">
      <alignment vertical="center" wrapText="1"/>
    </xf>
    <xf numFmtId="3" fontId="25" fillId="0" borderId="1" xfId="0" applyFont="1" applyBorder="1" applyAlignment="1">
      <alignment vertical="center" wrapText="1"/>
    </xf>
    <xf numFmtId="170" fontId="0" fillId="0" borderId="0" xfId="0" applyNumberForma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3" fontId="0" fillId="7" borderId="1" xfId="0" applyFill="1" applyBorder="1" applyAlignment="1">
      <alignment horizontal="center" vertical="center" wrapText="1"/>
    </xf>
    <xf numFmtId="3" fontId="34" fillId="7" borderId="1" xfId="0" applyFont="1" applyFill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0" fontId="5" fillId="0" borderId="0" xfId="0" applyNumberFormat="1" applyFont="1" applyAlignment="1"/>
    <xf numFmtId="3" fontId="0" fillId="0" borderId="0" xfId="0" applyFont="1" applyFill="1" applyBorder="1" applyAlignment="1">
      <alignment vertical="top" wrapText="1"/>
    </xf>
    <xf numFmtId="14" fontId="47" fillId="7" borderId="5" xfId="0" applyNumberFormat="1" applyFont="1" applyFill="1" applyBorder="1" applyAlignment="1">
      <alignment vertical="center" wrapText="1"/>
    </xf>
    <xf numFmtId="14" fontId="47" fillId="7" borderId="1" xfId="0" applyNumberFormat="1" applyFont="1" applyFill="1" applyBorder="1">
      <alignment horizontal="left" vertical="center" wrapText="1"/>
    </xf>
    <xf numFmtId="3" fontId="47" fillId="7" borderId="1" xfId="0" applyFont="1" applyFill="1" applyBorder="1" applyAlignment="1">
      <alignment vertical="center" wrapText="1"/>
    </xf>
    <xf numFmtId="3" fontId="48" fillId="0" borderId="1" xfId="0" applyFont="1" applyBorder="1" applyAlignment="1">
      <alignment vertical="top" wrapText="1"/>
    </xf>
    <xf numFmtId="20" fontId="48" fillId="0" borderId="1" xfId="0" applyNumberFormat="1" applyFont="1" applyBorder="1">
      <alignment horizontal="left" vertical="center" wrapText="1"/>
    </xf>
    <xf numFmtId="170" fontId="48" fillId="0" borderId="2" xfId="0" applyNumberFormat="1" applyFont="1" applyBorder="1">
      <alignment horizontal="left" vertical="center" wrapText="1"/>
    </xf>
    <xf numFmtId="3" fontId="48" fillId="0" borderId="7" xfId="0" applyFont="1" applyBorder="1" applyAlignment="1">
      <alignment vertical="top" wrapText="1"/>
    </xf>
    <xf numFmtId="4" fontId="48" fillId="0" borderId="1" xfId="0" applyNumberFormat="1" applyFont="1" applyBorder="1">
      <alignment horizontal="left" vertical="center" wrapText="1"/>
    </xf>
    <xf numFmtId="180" fontId="48" fillId="0" borderId="1" xfId="0" applyNumberFormat="1" applyFont="1" applyBorder="1">
      <alignment horizontal="left" vertical="center" wrapText="1"/>
    </xf>
    <xf numFmtId="3" fontId="48" fillId="7" borderId="1" xfId="0" applyFont="1" applyFill="1" applyBorder="1">
      <alignment horizontal="left" vertical="center" wrapText="1"/>
    </xf>
    <xf numFmtId="3" fontId="48" fillId="7" borderId="1" xfId="0" applyFont="1" applyFill="1" applyBorder="1" applyAlignment="1">
      <alignment vertical="top" wrapText="1"/>
    </xf>
    <xf numFmtId="3" fontId="48" fillId="0" borderId="1" xfId="0" applyFont="1" applyBorder="1">
      <alignment horizontal="left" vertical="center" wrapText="1"/>
    </xf>
    <xf numFmtId="3" fontId="34" fillId="7" borderId="7" xfId="0" applyFont="1" applyFill="1" applyBorder="1" applyAlignment="1">
      <alignment vertical="top" wrapText="1"/>
    </xf>
    <xf numFmtId="14" fontId="37" fillId="7" borderId="1" xfId="6" applyNumberFormat="1" applyFont="1" applyFill="1">
      <alignment horizontal="left" vertical="center" wrapText="1"/>
    </xf>
    <xf numFmtId="3" fontId="25" fillId="0" borderId="1" xfId="0" applyFont="1" applyBorder="1" applyAlignment="1">
      <alignment vertical="center"/>
    </xf>
    <xf numFmtId="14" fontId="49" fillId="7" borderId="1" xfId="6" applyNumberFormat="1" applyFont="1" applyFill="1">
      <alignment horizontal="left" vertical="center" wrapText="1"/>
    </xf>
    <xf numFmtId="3" fontId="50" fillId="0" borderId="16" xfId="0" applyFont="1" applyBorder="1" applyAlignment="1">
      <alignment horizontal="left" vertical="top" wrapText="1"/>
    </xf>
    <xf numFmtId="3" fontId="51" fillId="0" borderId="16" xfId="0" applyFont="1" applyBorder="1" applyAlignment="1">
      <alignment horizontal="left" vertical="top" wrapText="1"/>
    </xf>
    <xf numFmtId="3" fontId="51" fillId="0" borderId="16" xfId="0" applyFont="1" applyBorder="1" applyAlignment="1">
      <alignment horizontal="center" vertical="top" wrapText="1"/>
    </xf>
    <xf numFmtId="0" fontId="4" fillId="7" borderId="1" xfId="0" applyNumberFormat="1" applyFont="1" applyFill="1" applyBorder="1" applyAlignment="1">
      <alignment horizontal="left"/>
    </xf>
    <xf numFmtId="170" fontId="34" fillId="0" borderId="1" xfId="0" applyNumberFormat="1" applyFont="1" applyBorder="1" applyAlignment="1">
      <alignment horizontal="center" vertical="center" wrapText="1"/>
    </xf>
    <xf numFmtId="4" fontId="34" fillId="0" borderId="1" xfId="0" applyNumberFormat="1" applyFont="1" applyBorder="1" applyAlignment="1">
      <alignment horizontal="center" vertical="center" wrapText="1"/>
    </xf>
    <xf numFmtId="178" fontId="34" fillId="0" borderId="1" xfId="0" applyNumberFormat="1" applyFont="1" applyBorder="1" applyAlignment="1">
      <alignment horizontal="center" vertical="center" wrapText="1"/>
    </xf>
    <xf numFmtId="170" fontId="0" fillId="7" borderId="1" xfId="0" applyNumberFormat="1" applyFill="1" applyBorder="1" applyAlignment="1">
      <alignment horizontal="center" vertical="center" wrapText="1"/>
    </xf>
    <xf numFmtId="4" fontId="0" fillId="7" borderId="1" xfId="0" applyNumberFormat="1" applyFill="1" applyBorder="1" applyAlignment="1">
      <alignment horizontal="center" vertical="center" wrapText="1"/>
    </xf>
    <xf numFmtId="178" fontId="0" fillId="7" borderId="1" xfId="0" applyNumberFormat="1" applyFill="1" applyBorder="1" applyAlignment="1">
      <alignment horizontal="center" vertical="center" wrapText="1"/>
    </xf>
    <xf numFmtId="170" fontId="51" fillId="0" borderId="16" xfId="0" applyNumberFormat="1" applyFont="1" applyBorder="1" applyAlignment="1">
      <alignment horizontal="center" vertical="top" wrapText="1"/>
    </xf>
    <xf numFmtId="4" fontId="51" fillId="0" borderId="16" xfId="0" applyNumberFormat="1" applyFont="1" applyBorder="1" applyAlignment="1">
      <alignment horizontal="center" vertical="top" wrapText="1"/>
    </xf>
    <xf numFmtId="180" fontId="51" fillId="0" borderId="16" xfId="0" applyNumberFormat="1" applyFont="1" applyBorder="1" applyAlignment="1">
      <alignment horizontal="center" vertical="top" wrapText="1"/>
    </xf>
    <xf numFmtId="14" fontId="52" fillId="7" borderId="1" xfId="6" applyNumberFormat="1" applyFont="1" applyFill="1" applyAlignment="1">
      <alignment vertical="center" wrapText="1"/>
    </xf>
    <xf numFmtId="14" fontId="52" fillId="7" borderId="1" xfId="0" applyNumberFormat="1" applyFont="1" applyFill="1" applyBorder="1" applyAlignment="1">
      <alignment vertical="center" wrapText="1"/>
    </xf>
    <xf numFmtId="177" fontId="34" fillId="0" borderId="1" xfId="0" applyNumberFormat="1" applyFont="1" applyFill="1" applyBorder="1" applyAlignment="1"/>
    <xf numFmtId="2" fontId="34" fillId="0" borderId="1" xfId="0" applyNumberFormat="1" applyFont="1" applyFill="1" applyBorder="1" applyAlignment="1"/>
    <xf numFmtId="0" fontId="34" fillId="0" borderId="1" xfId="0" applyNumberFormat="1" applyFont="1" applyBorder="1" applyAlignment="1">
      <alignment horizontal="center"/>
    </xf>
    <xf numFmtId="3" fontId="34" fillId="0" borderId="1" xfId="0" applyFont="1" applyBorder="1" applyAlignment="1">
      <alignment vertical="center"/>
    </xf>
    <xf numFmtId="2" fontId="34" fillId="0" borderId="1" xfId="0" applyNumberFormat="1" applyFont="1" applyBorder="1" applyAlignment="1">
      <alignment vertical="center"/>
    </xf>
    <xf numFmtId="1" fontId="34" fillId="0" borderId="1" xfId="0" applyNumberFormat="1" applyFont="1" applyFill="1" applyBorder="1" applyAlignment="1"/>
    <xf numFmtId="1" fontId="34" fillId="0" borderId="1" xfId="0" applyNumberFormat="1" applyFont="1" applyBorder="1" applyAlignment="1">
      <alignment vertical="center"/>
    </xf>
    <xf numFmtId="3" fontId="34" fillId="0" borderId="1" xfId="0" applyNumberFormat="1" applyFont="1" applyFill="1" applyBorder="1" applyAlignment="1"/>
    <xf numFmtId="3" fontId="34" fillId="0" borderId="1" xfId="0" applyNumberFormat="1" applyFont="1" applyBorder="1" applyAlignment="1">
      <alignment horizontal="center"/>
    </xf>
    <xf numFmtId="3" fontId="34" fillId="0" borderId="1" xfId="0" applyFont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3" fontId="54" fillId="7" borderId="8" xfId="0" applyFont="1" applyFill="1" applyBorder="1" applyAlignment="1">
      <alignment horizontal="left" vertical="center"/>
    </xf>
    <xf numFmtId="3" fontId="54" fillId="7" borderId="2" xfId="0" applyFont="1" applyFill="1" applyBorder="1" applyAlignment="1">
      <alignment horizontal="left" vertical="center"/>
    </xf>
    <xf numFmtId="3" fontId="54" fillId="7" borderId="1" xfId="0" applyFont="1" applyFill="1" applyBorder="1" applyAlignment="1">
      <alignment horizontal="center"/>
    </xf>
    <xf numFmtId="3" fontId="47" fillId="14" borderId="1" xfId="0" applyFont="1" applyFill="1" applyBorder="1" applyAlignment="1">
      <alignment horizontal="left"/>
    </xf>
    <xf numFmtId="3" fontId="47" fillId="0" borderId="1" xfId="0" applyFont="1" applyBorder="1" applyAlignment="1">
      <alignment horizontal="left"/>
    </xf>
    <xf numFmtId="3" fontId="54" fillId="0" borderId="1" xfId="0" applyFont="1" applyBorder="1" applyAlignment="1">
      <alignment horizontal="center"/>
    </xf>
    <xf numFmtId="3" fontId="47" fillId="0" borderId="1" xfId="0" applyFont="1" applyBorder="1" applyAlignment="1">
      <alignment horizontal="left" vertical="center"/>
    </xf>
    <xf numFmtId="3" fontId="47" fillId="0" borderId="1" xfId="0" applyFont="1" applyBorder="1" applyAlignment="1">
      <alignment horizontal="center"/>
    </xf>
    <xf numFmtId="3" fontId="47" fillId="14" borderId="1" xfId="0" applyFont="1" applyFill="1" applyBorder="1" applyAlignment="1">
      <alignment horizontal="left" vertical="center"/>
    </xf>
    <xf numFmtId="3" fontId="47" fillId="0" borderId="1" xfId="0" applyFont="1" applyBorder="1">
      <alignment horizontal="left" vertical="center" wrapText="1"/>
    </xf>
    <xf numFmtId="177" fontId="47" fillId="14" borderId="1" xfId="0" applyNumberFormat="1" applyFont="1" applyFill="1" applyBorder="1" applyAlignment="1"/>
    <xf numFmtId="3" fontId="42" fillId="0" borderId="1" xfId="0" applyFont="1" applyBorder="1" applyAlignment="1">
      <alignment horizontal="left" vertical="top" wrapText="1"/>
    </xf>
    <xf numFmtId="3" fontId="42" fillId="0" borderId="1" xfId="0" applyFont="1" applyBorder="1" applyAlignment="1">
      <alignment horizontal="center" vertical="top" wrapText="1"/>
    </xf>
    <xf numFmtId="3" fontId="47" fillId="0" borderId="10" xfId="0" applyFont="1" applyFill="1" applyBorder="1" applyAlignment="1">
      <alignment horizontal="left" vertical="center"/>
    </xf>
    <xf numFmtId="3" fontId="47" fillId="0" borderId="10" xfId="0" applyFont="1" applyFill="1" applyBorder="1" applyAlignment="1">
      <alignment horizontal="center"/>
    </xf>
    <xf numFmtId="3" fontId="34" fillId="0" borderId="1" xfId="0" applyFont="1" applyFill="1" applyBorder="1" applyAlignment="1">
      <alignment horizontal="center"/>
    </xf>
    <xf numFmtId="3" fontId="47" fillId="0" borderId="1" xfId="0" applyFont="1" applyBorder="1" applyAlignment="1">
      <alignment horizontal="center" vertical="center" wrapText="1"/>
    </xf>
    <xf numFmtId="3" fontId="55" fillId="22" borderId="32" xfId="0" applyFont="1" applyFill="1" applyBorder="1" applyAlignment="1">
      <alignment horizontal="left" vertical="top" wrapText="1"/>
    </xf>
    <xf numFmtId="3" fontId="55" fillId="22" borderId="33" xfId="0" applyFont="1" applyFill="1" applyBorder="1" applyAlignment="1">
      <alignment horizontal="left" vertical="top" wrapText="1"/>
    </xf>
    <xf numFmtId="3" fontId="56" fillId="0" borderId="32" xfId="0" applyFont="1" applyBorder="1" applyAlignment="1">
      <alignment horizontal="left" vertical="top" wrapText="1"/>
    </xf>
    <xf numFmtId="3" fontId="56" fillId="0" borderId="33" xfId="0" applyFont="1" applyBorder="1" applyAlignment="1">
      <alignment horizontal="left" vertical="top" wrapText="1"/>
    </xf>
    <xf numFmtId="3" fontId="57" fillId="0" borderId="33" xfId="0" applyFont="1" applyBorder="1" applyAlignment="1">
      <alignment horizontal="left"/>
    </xf>
    <xf numFmtId="3" fontId="23" fillId="0" borderId="33" xfId="0" applyFont="1" applyBorder="1" applyAlignment="1">
      <alignment horizontal="left" vertical="center" wrapText="1"/>
    </xf>
    <xf numFmtId="3" fontId="25" fillId="0" borderId="0" xfId="0" applyFont="1" applyAlignment="1">
      <alignment horizontal="left" vertical="center" wrapText="1"/>
    </xf>
    <xf numFmtId="3" fontId="56" fillId="0" borderId="34" xfId="0" applyFont="1" applyBorder="1" applyAlignment="1">
      <alignment horizontal="left" vertical="center"/>
    </xf>
    <xf numFmtId="3" fontId="56" fillId="0" borderId="35" xfId="0" applyFont="1" applyBorder="1" applyAlignment="1">
      <alignment horizontal="left" vertical="center"/>
    </xf>
    <xf numFmtId="3" fontId="56" fillId="0" borderId="32" xfId="0" applyFont="1" applyBorder="1" applyAlignment="1">
      <alignment horizontal="left" vertical="center"/>
    </xf>
    <xf numFmtId="3" fontId="55" fillId="13" borderId="32" xfId="0" applyFont="1" applyFill="1" applyBorder="1" applyAlignment="1">
      <alignment horizontal="left" vertical="top" wrapText="1"/>
    </xf>
    <xf numFmtId="3" fontId="55" fillId="13" borderId="33" xfId="0" applyFont="1" applyFill="1" applyBorder="1" applyAlignment="1">
      <alignment horizontal="left" vertical="top" wrapText="1"/>
    </xf>
    <xf numFmtId="3" fontId="56" fillId="0" borderId="33" xfId="0" applyFont="1" applyBorder="1" applyAlignment="1">
      <alignment horizontal="left" vertical="center"/>
    </xf>
    <xf numFmtId="3" fontId="56" fillId="0" borderId="32" xfId="0" applyFont="1" applyBorder="1" applyAlignment="1">
      <alignment horizontal="left" vertical="center" wrapText="1"/>
    </xf>
    <xf numFmtId="3" fontId="56" fillId="0" borderId="33" xfId="0" applyFont="1" applyBorder="1" applyAlignment="1">
      <alignment horizontal="left" vertical="center" wrapText="1"/>
    </xf>
    <xf numFmtId="3" fontId="56" fillId="0" borderId="32" xfId="0" applyFont="1" applyBorder="1" applyAlignment="1">
      <alignment horizontal="left" vertical="top"/>
    </xf>
    <xf numFmtId="3" fontId="25" fillId="0" borderId="0" xfId="0" applyFont="1" applyAlignment="1">
      <alignment horizontal="left" vertical="top" wrapText="1"/>
    </xf>
    <xf numFmtId="3" fontId="42" fillId="0" borderId="10" xfId="0" applyFont="1" applyFill="1" applyBorder="1" applyAlignment="1">
      <alignment horizontal="left" vertical="top" wrapText="1"/>
    </xf>
    <xf numFmtId="3" fontId="42" fillId="0" borderId="10" xfId="0" applyFont="1" applyFill="1" applyBorder="1" applyAlignment="1">
      <alignment horizontal="center" vertical="top" wrapText="1"/>
    </xf>
    <xf numFmtId="3" fontId="12" fillId="0" borderId="8" xfId="0" applyFont="1" applyBorder="1" applyAlignment="1">
      <alignment vertical="top" wrapText="1"/>
    </xf>
    <xf numFmtId="3" fontId="5" fillId="2" borderId="0" xfId="0" applyFont="1" applyFill="1" applyAlignment="1">
      <alignment horizontal="center"/>
    </xf>
    <xf numFmtId="3" fontId="4" fillId="0" borderId="0" xfId="0" applyFont="1" applyFill="1" applyAlignment="1"/>
    <xf numFmtId="3" fontId="4" fillId="0" borderId="0" xfId="0" applyFont="1" applyAlignment="1"/>
    <xf numFmtId="3" fontId="0" fillId="0" borderId="0" xfId="0" applyFill="1" applyAlignment="1"/>
    <xf numFmtId="164" fontId="4" fillId="7" borderId="1" xfId="0" applyNumberFormat="1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/>
    </xf>
    <xf numFmtId="1" fontId="31" fillId="7" borderId="1" xfId="0" applyNumberFormat="1" applyFont="1" applyFill="1" applyBorder="1" applyAlignment="1">
      <alignment horizontal="center" vertical="center" wrapText="1"/>
    </xf>
    <xf numFmtId="3" fontId="31" fillId="0" borderId="1" xfId="0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/>
    </xf>
    <xf numFmtId="164" fontId="25" fillId="0" borderId="0" xfId="0" applyNumberFormat="1" applyFont="1">
      <alignment horizontal="left" vertical="center" wrapText="1"/>
    </xf>
    <xf numFmtId="3" fontId="39" fillId="0" borderId="1" xfId="0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0" fontId="4" fillId="0" borderId="1" xfId="9" applyNumberFormat="1" applyFont="1" applyBorder="1" applyAlignment="1">
      <alignment horizontal="center" vertical="center"/>
    </xf>
    <xf numFmtId="170" fontId="13" fillId="0" borderId="0" xfId="0" applyNumberFormat="1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left" wrapText="1"/>
    </xf>
    <xf numFmtId="3" fontId="13" fillId="7" borderId="1" xfId="0" applyFont="1" applyFill="1" applyBorder="1" applyAlignment="1">
      <alignment horizontal="center" vertical="center" wrapText="1"/>
    </xf>
    <xf numFmtId="3" fontId="13" fillId="7" borderId="1" xfId="0" applyFont="1" applyFill="1" applyBorder="1" applyAlignment="1">
      <alignment horizontal="center" vertical="center"/>
    </xf>
    <xf numFmtId="0" fontId="37" fillId="7" borderId="1" xfId="0" applyNumberFormat="1" applyFont="1" applyFill="1" applyBorder="1">
      <alignment horizontal="left" vertical="center" wrapText="1"/>
    </xf>
    <xf numFmtId="3" fontId="37" fillId="7" borderId="1" xfId="0" applyFont="1" applyFill="1" applyBorder="1">
      <alignment horizontal="left" vertical="center" wrapText="1"/>
    </xf>
    <xf numFmtId="3" fontId="4" fillId="0" borderId="1" xfId="0" applyFont="1" applyFill="1" applyBorder="1" applyAlignment="1">
      <alignment horizontal="left" vertical="center" wrapText="1"/>
    </xf>
    <xf numFmtId="3" fontId="9" fillId="0" borderId="1" xfId="0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  <xf numFmtId="170" fontId="5" fillId="0" borderId="0" xfId="0" applyNumberFormat="1" applyFont="1" applyAlignment="1">
      <alignment horizontal="center" vertical="center" wrapText="1"/>
    </xf>
    <xf numFmtId="1" fontId="5" fillId="8" borderId="2" xfId="0" applyNumberFormat="1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3" fontId="5" fillId="0" borderId="0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/>
    </xf>
    <xf numFmtId="164" fontId="31" fillId="0" borderId="1" xfId="0" applyNumberFormat="1" applyFont="1" applyBorder="1" applyAlignment="1">
      <alignment horizontal="center" vertical="center" wrapText="1"/>
    </xf>
    <xf numFmtId="164" fontId="31" fillId="0" borderId="1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>
      <alignment horizontal="left" vertical="center" wrapText="1"/>
    </xf>
    <xf numFmtId="3" fontId="31" fillId="7" borderId="0" xfId="0" applyFont="1" applyFill="1" applyAlignment="1">
      <alignment horizontal="center" vertical="center" wrapText="1"/>
    </xf>
    <xf numFmtId="0" fontId="31" fillId="7" borderId="1" xfId="0" applyNumberFormat="1" applyFont="1" applyFill="1" applyBorder="1" applyAlignment="1">
      <alignment horizontal="center" vertical="center" wrapText="1"/>
    </xf>
    <xf numFmtId="2" fontId="33" fillId="7" borderId="1" xfId="0" applyNumberFormat="1" applyFont="1" applyFill="1" applyBorder="1" applyAlignment="1">
      <alignment horizontal="center" vertical="center" wrapText="1"/>
    </xf>
    <xf numFmtId="164" fontId="31" fillId="7" borderId="1" xfId="0" applyNumberFormat="1" applyFont="1" applyFill="1" applyBorder="1" applyAlignment="1">
      <alignment horizontal="center" vertical="center" wrapText="1"/>
    </xf>
    <xf numFmtId="3" fontId="31" fillId="7" borderId="10" xfId="0" applyFont="1" applyFill="1" applyBorder="1" applyAlignment="1">
      <alignment horizontal="center" vertical="center" wrapText="1"/>
    </xf>
    <xf numFmtId="9" fontId="31" fillId="0" borderId="1" xfId="5" applyFont="1" applyFill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64" fontId="31" fillId="0" borderId="1" xfId="0" applyNumberFormat="1" applyFont="1" applyBorder="1" applyAlignment="1">
      <alignment horizontal="center" vertical="center"/>
    </xf>
    <xf numFmtId="2" fontId="31" fillId="0" borderId="7" xfId="0" applyNumberFormat="1" applyFont="1" applyBorder="1" applyAlignment="1">
      <alignment horizontal="center" vertical="center"/>
    </xf>
    <xf numFmtId="3" fontId="39" fillId="0" borderId="0" xfId="0" applyFont="1">
      <alignment horizontal="left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Fill="1" applyBorder="1" applyAlignment="1">
      <alignment horizontal="center" vertical="center" wrapText="1"/>
    </xf>
    <xf numFmtId="170" fontId="5" fillId="0" borderId="0" xfId="0" applyNumberFormat="1" applyFont="1" applyFill="1" applyBorder="1">
      <alignment horizontal="left" vertical="center" wrapText="1"/>
    </xf>
    <xf numFmtId="164" fontId="16" fillId="0" borderId="0" xfId="0" applyNumberFormat="1" applyFont="1" applyFill="1" applyBorder="1">
      <alignment horizontal="left" vertical="center" wrapText="1"/>
    </xf>
    <xf numFmtId="2" fontId="5" fillId="0" borderId="0" xfId="0" applyNumberFormat="1" applyFont="1" applyFill="1" applyBorder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3" fontId="0" fillId="0" borderId="0" xfId="0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9" fontId="0" fillId="0" borderId="0" xfId="5" applyFont="1" applyAlignment="1">
      <alignment horizontal="left" vertical="center" wrapText="1"/>
    </xf>
    <xf numFmtId="3" fontId="59" fillId="0" borderId="33" xfId="0" applyFont="1" applyBorder="1" applyAlignment="1">
      <alignment horizontal="left" vertical="center" wrapText="1"/>
    </xf>
    <xf numFmtId="170" fontId="59" fillId="0" borderId="32" xfId="0" applyNumberFormat="1" applyFont="1" applyBorder="1" applyAlignment="1">
      <alignment horizontal="left" vertical="center" wrapText="1"/>
    </xf>
    <xf numFmtId="9" fontId="0" fillId="0" borderId="1" xfId="5" applyFont="1" applyBorder="1" applyAlignment="1">
      <alignment horizontal="left" vertical="center" wrapText="1"/>
    </xf>
    <xf numFmtId="3" fontId="15" fillId="7" borderId="1" xfId="0" applyFont="1" applyFill="1" applyBorder="1">
      <alignment horizontal="left" vertical="center" wrapText="1"/>
    </xf>
    <xf numFmtId="3" fontId="25" fillId="0" borderId="1" xfId="0" applyFont="1" applyBorder="1" applyAlignment="1">
      <alignment vertical="top" wrapText="1"/>
    </xf>
    <xf numFmtId="164" fontId="25" fillId="0" borderId="1" xfId="0" applyNumberFormat="1" applyFont="1" applyBorder="1" applyAlignment="1">
      <alignment horizontal="center" vertical="center"/>
    </xf>
    <xf numFmtId="3" fontId="12" fillId="0" borderId="8" xfId="0" applyFont="1" applyBorder="1" applyAlignment="1">
      <alignment vertical="top" wrapText="1"/>
    </xf>
    <xf numFmtId="3" fontId="25" fillId="0" borderId="1" xfId="0" applyFont="1" applyBorder="1" applyAlignment="1">
      <alignment vertical="center"/>
    </xf>
    <xf numFmtId="0" fontId="5" fillId="0" borderId="0" xfId="42" applyFont="1"/>
    <xf numFmtId="165" fontId="5" fillId="0" borderId="0" xfId="42" applyNumberFormat="1" applyFont="1"/>
    <xf numFmtId="14" fontId="5" fillId="0" borderId="0" xfId="42" applyNumberFormat="1" applyFont="1"/>
    <xf numFmtId="0" fontId="5" fillId="0" borderId="0" xfId="42" applyNumberFormat="1" applyFont="1"/>
    <xf numFmtId="49" fontId="5" fillId="0" borderId="0" xfId="42" applyNumberFormat="1" applyFont="1"/>
    <xf numFmtId="0" fontId="4" fillId="0" borderId="0" xfId="42" applyFont="1"/>
    <xf numFmtId="14" fontId="4" fillId="0" borderId="0" xfId="42" applyNumberFormat="1" applyFont="1"/>
    <xf numFmtId="1" fontId="4" fillId="0" borderId="0" xfId="42" applyNumberFormat="1" applyFont="1"/>
    <xf numFmtId="14" fontId="4" fillId="0" borderId="0" xfId="42" applyNumberFormat="1" applyFont="1" applyAlignment="1">
      <alignment horizontal="right"/>
    </xf>
    <xf numFmtId="0" fontId="4" fillId="0" borderId="0" xfId="42" applyNumberFormat="1" applyFont="1"/>
    <xf numFmtId="0" fontId="4" fillId="0" borderId="0" xfId="42" applyFont="1" applyFill="1"/>
    <xf numFmtId="0" fontId="4" fillId="0" borderId="0" xfId="42" applyFont="1" applyFill="1" applyAlignment="1">
      <alignment horizontal="left"/>
    </xf>
    <xf numFmtId="175" fontId="4" fillId="0" borderId="0" xfId="42" applyNumberFormat="1" applyFont="1" applyFill="1" applyBorder="1" applyAlignment="1">
      <alignment horizontal="left"/>
    </xf>
    <xf numFmtId="0" fontId="4" fillId="0" borderId="0" xfId="42" applyNumberFormat="1" applyFont="1" applyFill="1" applyBorder="1" applyAlignment="1">
      <alignment horizontal="right"/>
    </xf>
    <xf numFmtId="3" fontId="25" fillId="0" borderId="4" xfId="0" applyFont="1" applyBorder="1" applyAlignment="1">
      <alignment vertical="top"/>
    </xf>
    <xf numFmtId="3" fontId="25" fillId="0" borderId="6" xfId="0" applyFont="1" applyBorder="1" applyAlignment="1">
      <alignment vertical="top"/>
    </xf>
    <xf numFmtId="0" fontId="34" fillId="0" borderId="1" xfId="0" applyNumberFormat="1" applyFont="1" applyFill="1" applyBorder="1" applyAlignment="1">
      <alignment horizontal="left"/>
    </xf>
    <xf numFmtId="177" fontId="34" fillId="0" borderId="1" xfId="0" applyNumberFormat="1" applyFont="1" applyFill="1" applyBorder="1" applyAlignment="1">
      <alignment horizontal="left"/>
    </xf>
    <xf numFmtId="3" fontId="34" fillId="0" borderId="1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1" xfId="42" applyNumberFormat="1" applyFont="1" applyBorder="1"/>
    <xf numFmtId="3" fontId="24" fillId="7" borderId="1" xfId="0" applyFont="1" applyFill="1" applyBorder="1">
      <alignment horizontal="left" vertical="center" wrapText="1"/>
    </xf>
    <xf numFmtId="0" fontId="3" fillId="0" borderId="0" xfId="43"/>
    <xf numFmtId="0" fontId="71" fillId="0" borderId="0" xfId="43" applyFont="1" applyAlignment="1">
      <alignment horizontal="center"/>
    </xf>
    <xf numFmtId="14" fontId="3" fillId="0" borderId="0" xfId="43" applyNumberFormat="1" applyAlignment="1">
      <alignment horizontal="center"/>
    </xf>
    <xf numFmtId="0" fontId="3" fillId="0" borderId="0" xfId="43" applyAlignment="1">
      <alignment horizontal="center"/>
    </xf>
    <xf numFmtId="0" fontId="71" fillId="0" borderId="0" xfId="43" applyFont="1"/>
    <xf numFmtId="14" fontId="3" fillId="0" borderId="0" xfId="43" applyNumberFormat="1" applyFill="1" applyAlignment="1">
      <alignment horizontal="center"/>
    </xf>
    <xf numFmtId="0" fontId="4" fillId="0" borderId="0" xfId="9" applyFont="1"/>
    <xf numFmtId="14" fontId="4" fillId="0" borderId="0" xfId="9" applyNumberFormat="1" applyFont="1" applyAlignment="1">
      <alignment horizontal="right"/>
    </xf>
    <xf numFmtId="0" fontId="4" fillId="0" borderId="0" xfId="9" applyNumberFormat="1" applyFont="1" applyFill="1" applyBorder="1" applyAlignment="1">
      <alignment horizontal="left"/>
    </xf>
    <xf numFmtId="0" fontId="4" fillId="0" borderId="0" xfId="9" applyFont="1"/>
    <xf numFmtId="0" fontId="4" fillId="0" borderId="0" xfId="9" applyNumberFormat="1" applyFont="1" applyFill="1" applyBorder="1" applyAlignment="1">
      <alignment horizontal="left"/>
    </xf>
    <xf numFmtId="0" fontId="4" fillId="0" borderId="0" xfId="9" applyFont="1" applyAlignment="1">
      <alignment horizontal="left"/>
    </xf>
    <xf numFmtId="0" fontId="4" fillId="0" borderId="0" xfId="9" applyNumberFormat="1" applyFont="1" applyAlignment="1">
      <alignment horizontal="left"/>
    </xf>
    <xf numFmtId="0" fontId="15" fillId="0" borderId="0" xfId="9" applyFont="1"/>
    <xf numFmtId="14" fontId="15" fillId="0" borderId="0" xfId="9" applyNumberFormat="1" applyFont="1"/>
    <xf numFmtId="0" fontId="15" fillId="0" borderId="0" xfId="9" applyNumberFormat="1" applyFont="1"/>
    <xf numFmtId="49" fontId="15" fillId="0" borderId="0" xfId="9" applyNumberFormat="1" applyFont="1"/>
    <xf numFmtId="165" fontId="15" fillId="0" borderId="0" xfId="9" applyNumberFormat="1" applyFont="1"/>
    <xf numFmtId="0" fontId="4" fillId="0" borderId="0" xfId="9" applyFont="1" applyAlignment="1">
      <alignment horizontal="left"/>
    </xf>
    <xf numFmtId="0" fontId="4" fillId="0" borderId="0" xfId="9" applyNumberFormat="1" applyFont="1" applyAlignment="1">
      <alignment horizontal="left"/>
    </xf>
    <xf numFmtId="3" fontId="0" fillId="0" borderId="1" xfId="0" applyBorder="1" applyAlignment="1">
      <alignment horizontal="center" vertical="center" wrapText="1"/>
    </xf>
    <xf numFmtId="0" fontId="4" fillId="0" borderId="0" xfId="42" applyFont="1"/>
    <xf numFmtId="0" fontId="4" fillId="0" borderId="0" xfId="42" applyNumberFormat="1" applyFont="1"/>
    <xf numFmtId="14" fontId="4" fillId="0" borderId="0" xfId="42" applyNumberFormat="1" applyFont="1" applyAlignment="1">
      <alignment horizontal="right"/>
    </xf>
    <xf numFmtId="0" fontId="4" fillId="0" borderId="0" xfId="42" applyFont="1" applyAlignment="1">
      <alignment horizontal="left"/>
    </xf>
    <xf numFmtId="0" fontId="4" fillId="0" borderId="0" xfId="42" applyNumberFormat="1" applyFont="1" applyFill="1" applyBorder="1" applyAlignment="1">
      <alignment horizontal="left"/>
    </xf>
    <xf numFmtId="3" fontId="76" fillId="7" borderId="1" xfId="0" applyFont="1" applyFill="1" applyBorder="1" applyAlignment="1">
      <alignment horizontal="left" vertical="center"/>
    </xf>
    <xf numFmtId="3" fontId="23" fillId="0" borderId="0" xfId="0" applyFont="1" applyFill="1" applyBorder="1" applyAlignment="1">
      <alignment vertical="top" wrapText="1"/>
    </xf>
    <xf numFmtId="170" fontId="0" fillId="0" borderId="0" xfId="0" applyNumberFormat="1" applyFill="1" applyBorder="1">
      <alignment horizontal="left" vertical="center" wrapText="1"/>
    </xf>
    <xf numFmtId="3" fontId="22" fillId="0" borderId="0" xfId="0" applyFont="1" applyFill="1" applyBorder="1" applyAlignment="1">
      <alignment vertical="center"/>
    </xf>
    <xf numFmtId="3" fontId="24" fillId="0" borderId="0" xfId="0" applyFont="1" applyFill="1" applyBorder="1" applyAlignment="1">
      <alignment vertical="top" wrapText="1"/>
    </xf>
    <xf numFmtId="1" fontId="24" fillId="0" borderId="0" xfId="1" applyNumberFormat="1" applyFont="1" applyFill="1" applyBorder="1" applyAlignment="1">
      <alignment horizontal="center"/>
    </xf>
    <xf numFmtId="3" fontId="22" fillId="0" borderId="0" xfId="0" applyFont="1" applyFill="1" applyBorder="1" applyAlignment="1">
      <alignment horizontal="center"/>
    </xf>
    <xf numFmtId="3" fontId="22" fillId="7" borderId="1" xfId="0" applyFont="1" applyFill="1" applyBorder="1" applyAlignment="1">
      <alignment horizontal="center" vertical="center"/>
    </xf>
    <xf numFmtId="14" fontId="47" fillId="0" borderId="0" xfId="0" applyNumberFormat="1" applyFont="1" applyFill="1" applyBorder="1">
      <alignment horizontal="left" vertical="center" wrapText="1"/>
    </xf>
    <xf numFmtId="3" fontId="48" fillId="0" borderId="0" xfId="0" applyFont="1" applyFill="1" applyBorder="1" applyAlignment="1">
      <alignment vertical="top" wrapText="1"/>
    </xf>
    <xf numFmtId="20" fontId="48" fillId="0" borderId="0" xfId="0" applyNumberFormat="1" applyFont="1" applyFill="1" applyBorder="1">
      <alignment horizontal="left" vertical="center" wrapText="1"/>
    </xf>
    <xf numFmtId="165" fontId="5" fillId="0" borderId="0" xfId="0" applyNumberFormat="1" applyFont="1" applyFill="1" applyBorder="1" applyAlignment="1"/>
    <xf numFmtId="14" fontId="5" fillId="0" borderId="0" xfId="0" applyNumberFormat="1" applyFont="1" applyFill="1" applyBorder="1" applyAlignment="1"/>
    <xf numFmtId="170" fontId="48" fillId="0" borderId="0" xfId="0" applyNumberFormat="1" applyFont="1" applyFill="1" applyBorder="1">
      <alignment horizontal="left" vertical="center" wrapText="1"/>
    </xf>
    <xf numFmtId="1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/>
    <xf numFmtId="4" fontId="48" fillId="0" borderId="0" xfId="0" applyNumberFormat="1" applyFont="1" applyFill="1" applyBorder="1">
      <alignment horizontal="left" vertical="center" wrapText="1"/>
    </xf>
    <xf numFmtId="180" fontId="48" fillId="0" borderId="0" xfId="0" applyNumberFormat="1" applyFont="1" applyFill="1" applyBorder="1">
      <alignment horizontal="left" vertical="center" wrapText="1"/>
    </xf>
    <xf numFmtId="1" fontId="0" fillId="0" borderId="0" xfId="0" applyNumberFormat="1" applyFill="1" applyBorder="1" applyAlignment="1"/>
    <xf numFmtId="3" fontId="48" fillId="0" borderId="0" xfId="0" applyFont="1" applyFill="1" applyBorder="1">
      <alignment horizontal="left" vertical="center" wrapText="1"/>
    </xf>
    <xf numFmtId="0" fontId="4" fillId="0" borderId="1" xfId="42" applyNumberFormat="1" applyFont="1" applyBorder="1" applyAlignment="1">
      <alignment horizontal="center" vertical="center"/>
    </xf>
    <xf numFmtId="170" fontId="25" fillId="0" borderId="1" xfId="0" applyNumberFormat="1" applyFont="1" applyBorder="1" applyAlignment="1">
      <alignment horizontal="center" vertical="center" wrapText="1"/>
    </xf>
    <xf numFmtId="0" fontId="13" fillId="0" borderId="0" xfId="9" applyFont="1"/>
    <xf numFmtId="14" fontId="13" fillId="0" borderId="0" xfId="9" applyNumberFormat="1" applyFont="1"/>
    <xf numFmtId="0" fontId="13" fillId="0" borderId="0" xfId="9" applyNumberFormat="1" applyFont="1"/>
    <xf numFmtId="49" fontId="13" fillId="0" borderId="0" xfId="9" applyNumberFormat="1" applyFont="1"/>
    <xf numFmtId="165" fontId="13" fillId="0" borderId="0" xfId="9" applyNumberFormat="1" applyFont="1"/>
    <xf numFmtId="0" fontId="4" fillId="0" borderId="0" xfId="9" applyFont="1"/>
    <xf numFmtId="0" fontId="4" fillId="0" borderId="0" xfId="9" applyNumberFormat="1" applyFont="1"/>
    <xf numFmtId="0" fontId="4" fillId="0" borderId="0" xfId="9" applyNumberFormat="1" applyFont="1"/>
    <xf numFmtId="164" fontId="4" fillId="0" borderId="0" xfId="0" applyNumberFormat="1" applyFont="1" applyFill="1" applyBorder="1" applyAlignment="1"/>
    <xf numFmtId="177" fontId="4" fillId="0" borderId="0" xfId="0" applyNumberFormat="1" applyFont="1" applyBorder="1" applyAlignment="1">
      <alignment vertical="center"/>
    </xf>
    <xf numFmtId="177" fontId="9" fillId="0" borderId="0" xfId="0" applyNumberFormat="1" applyFont="1" applyFill="1" applyBorder="1" applyAlignment="1"/>
    <xf numFmtId="177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/>
    <xf numFmtId="0" fontId="13" fillId="0" borderId="0" xfId="42" applyFont="1"/>
    <xf numFmtId="14" fontId="13" fillId="0" borderId="0" xfId="42" applyNumberFormat="1" applyFont="1"/>
    <xf numFmtId="0" fontId="13" fillId="0" borderId="0" xfId="42" applyNumberFormat="1" applyFont="1"/>
    <xf numFmtId="49" fontId="13" fillId="0" borderId="0" xfId="42" applyNumberFormat="1" applyFont="1"/>
    <xf numFmtId="165" fontId="13" fillId="0" borderId="0" xfId="42" applyNumberFormat="1" applyFont="1"/>
    <xf numFmtId="14" fontId="52" fillId="7" borderId="1" xfId="6" applyNumberFormat="1" applyFont="1" applyFill="1" applyBorder="1" applyAlignment="1">
      <alignment vertical="center" wrapText="1"/>
    </xf>
    <xf numFmtId="0" fontId="4" fillId="0" borderId="0" xfId="9" applyFont="1"/>
    <xf numFmtId="0" fontId="4" fillId="0" borderId="0" xfId="9" applyFont="1" applyFill="1"/>
    <xf numFmtId="0" fontId="4" fillId="0" borderId="0" xfId="9"/>
    <xf numFmtId="0" fontId="4" fillId="0" borderId="0" xfId="9" applyFont="1"/>
    <xf numFmtId="0" fontId="4" fillId="0" borderId="0" xfId="9" applyFont="1" applyFill="1"/>
    <xf numFmtId="0" fontId="4" fillId="0" borderId="0" xfId="9" applyNumberFormat="1" applyFont="1"/>
    <xf numFmtId="164" fontId="4" fillId="0" borderId="0" xfId="9" applyNumberFormat="1" applyFont="1" applyFill="1" applyBorder="1" applyAlignment="1">
      <alignment horizontal="right"/>
    </xf>
    <xf numFmtId="3" fontId="13" fillId="0" borderId="0" xfId="0" applyFont="1">
      <alignment horizontal="left" vertical="center" wrapText="1"/>
    </xf>
    <xf numFmtId="15" fontId="13" fillId="10" borderId="1" xfId="0" applyNumberFormat="1" applyFont="1" applyFill="1" applyBorder="1">
      <alignment horizontal="left" vertical="center" wrapText="1"/>
    </xf>
    <xf numFmtId="165" fontId="13" fillId="2" borderId="1" xfId="0" applyNumberFormat="1" applyFont="1" applyFill="1" applyBorder="1" applyAlignment="1">
      <alignment horizontal="left" vertical="top" wrapText="1"/>
    </xf>
    <xf numFmtId="164" fontId="13" fillId="2" borderId="1" xfId="0" applyNumberFormat="1" applyFont="1" applyFill="1" applyBorder="1" applyAlignment="1">
      <alignment horizontal="left" vertical="top" wrapText="1"/>
    </xf>
    <xf numFmtId="164" fontId="13" fillId="2" borderId="0" xfId="0" applyNumberFormat="1" applyFont="1" applyFill="1" applyBorder="1" applyAlignment="1">
      <alignment horizontal="left" vertical="top" wrapText="1"/>
    </xf>
    <xf numFmtId="3" fontId="39" fillId="0" borderId="1" xfId="0" applyFont="1" applyBorder="1" applyAlignment="1">
      <alignment horizontal="center" vertical="center" wrapText="1"/>
    </xf>
    <xf numFmtId="3" fontId="13" fillId="10" borderId="1" xfId="0" applyFont="1" applyFill="1" applyBorder="1">
      <alignment horizontal="left" vertical="center" wrapText="1"/>
    </xf>
    <xf numFmtId="164" fontId="13" fillId="4" borderId="7" xfId="0" applyNumberFormat="1" applyFont="1" applyFill="1" applyBorder="1" applyAlignment="1">
      <alignment horizontal="left" vertical="top" wrapText="1"/>
    </xf>
    <xf numFmtId="15" fontId="13" fillId="10" borderId="1" xfId="0" applyNumberFormat="1" applyFont="1" applyFill="1" applyBorder="1" applyAlignment="1">
      <alignment wrapText="1"/>
    </xf>
    <xf numFmtId="15" fontId="13" fillId="10" borderId="1" xfId="0" applyNumberFormat="1" applyFont="1" applyFill="1" applyBorder="1" applyAlignment="1">
      <alignment horizont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>
      <alignment horizontal="left" vertical="center" wrapText="1"/>
    </xf>
    <xf numFmtId="1" fontId="13" fillId="0" borderId="0" xfId="0" applyNumberFormat="1" applyFont="1">
      <alignment horizontal="left" vertical="center" wrapText="1"/>
    </xf>
    <xf numFmtId="1" fontId="39" fillId="0" borderId="0" xfId="0" applyNumberFormat="1" applyFont="1">
      <alignment horizontal="left" vertical="center" wrapText="1"/>
    </xf>
    <xf numFmtId="1" fontId="13" fillId="0" borderId="1" xfId="0" applyNumberFormat="1" applyFont="1" applyBorder="1" applyAlignment="1">
      <alignment horizontal="center"/>
    </xf>
    <xf numFmtId="15" fontId="16" fillId="10" borderId="1" xfId="0" applyNumberFormat="1" applyFont="1" applyFill="1" applyBorder="1" applyAlignment="1">
      <alignment horizontal="center" vertical="center" wrapText="1"/>
    </xf>
    <xf numFmtId="177" fontId="5" fillId="7" borderId="7" xfId="0" applyNumberFormat="1" applyFont="1" applyFill="1" applyBorder="1" applyAlignment="1">
      <alignment horizontal="center" vertical="center"/>
    </xf>
    <xf numFmtId="15" fontId="5" fillId="7" borderId="7" xfId="0" applyNumberFormat="1" applyFont="1" applyFill="1" applyBorder="1" applyAlignment="1">
      <alignment horizontal="center" vertical="center" wrapText="1"/>
    </xf>
    <xf numFmtId="15" fontId="5" fillId="7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23" fillId="0" borderId="8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left" vertical="top" wrapText="1"/>
    </xf>
    <xf numFmtId="170" fontId="25" fillId="0" borderId="1" xfId="0" applyNumberFormat="1" applyFont="1" applyFill="1" applyBorder="1">
      <alignment horizontal="left" vertical="center" wrapText="1"/>
    </xf>
    <xf numFmtId="170" fontId="25" fillId="0" borderId="1" xfId="0" applyNumberFormat="1" applyFont="1" applyBorder="1">
      <alignment horizontal="left" vertical="center" wrapText="1"/>
    </xf>
    <xf numFmtId="3" fontId="0" fillId="0" borderId="68" xfId="0" applyBorder="1">
      <alignment horizontal="left" vertical="center" wrapText="1"/>
    </xf>
    <xf numFmtId="3" fontId="24" fillId="0" borderId="16" xfId="0" applyFont="1" applyBorder="1" applyAlignment="1">
      <alignment horizontal="center" vertical="center" wrapText="1"/>
    </xf>
    <xf numFmtId="3" fontId="0" fillId="0" borderId="16" xfId="0" applyBorder="1" applyAlignment="1">
      <alignment horizontal="right" vertical="center" wrapText="1"/>
    </xf>
    <xf numFmtId="3" fontId="76" fillId="0" borderId="19" xfId="0" applyFont="1" applyBorder="1" applyAlignment="1">
      <alignment horizontal="center" vertical="center" wrapText="1"/>
    </xf>
    <xf numFmtId="170" fontId="0" fillId="0" borderId="16" xfId="0" applyNumberFormat="1" applyBorder="1" applyAlignment="1">
      <alignment horizontal="right" vertical="center" wrapText="1"/>
    </xf>
    <xf numFmtId="185" fontId="25" fillId="0" borderId="0" xfId="0" applyNumberFormat="1" applyFont="1">
      <alignment horizontal="left" vertical="center" wrapText="1"/>
    </xf>
    <xf numFmtId="14" fontId="4" fillId="0" borderId="0" xfId="9" applyNumberFormat="1" applyFont="1"/>
    <xf numFmtId="0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NumberFormat="1" applyFont="1" applyFill="1"/>
    <xf numFmtId="3" fontId="0" fillId="0" borderId="1" xfId="0" applyFill="1" applyBorder="1" applyAlignment="1">
      <alignment horizontal="center"/>
    </xf>
    <xf numFmtId="3" fontId="0" fillId="54" borderId="1" xfId="0" applyFill="1" applyBorder="1" applyAlignment="1">
      <alignment horizontal="center"/>
    </xf>
    <xf numFmtId="3" fontId="77" fillId="0" borderId="1" xfId="0" applyFont="1" applyFill="1" applyBorder="1" applyAlignment="1">
      <alignment horizontal="center"/>
    </xf>
    <xf numFmtId="4" fontId="77" fillId="0" borderId="1" xfId="0" applyNumberFormat="1" applyFont="1" applyFill="1" applyBorder="1" applyAlignment="1">
      <alignment horizontal="center"/>
    </xf>
    <xf numFmtId="4" fontId="77" fillId="55" borderId="1" xfId="0" applyNumberFormat="1" applyFont="1" applyFill="1" applyBorder="1" applyAlignment="1">
      <alignment horizontal="center"/>
    </xf>
    <xf numFmtId="3" fontId="39" fillId="0" borderId="1" xfId="0" applyFont="1" applyFill="1" applyBorder="1" applyAlignment="1">
      <alignment horizontal="center"/>
    </xf>
    <xf numFmtId="3" fontId="0" fillId="0" borderId="0" xfId="0" applyAlignment="1"/>
    <xf numFmtId="180" fontId="0" fillId="0" borderId="0" xfId="0" applyNumberFormat="1" applyAlignment="1"/>
    <xf numFmtId="180" fontId="0" fillId="7" borderId="0" xfId="0" applyNumberFormat="1" applyFill="1" applyAlignment="1"/>
    <xf numFmtId="170" fontId="4" fillId="0" borderId="0" xfId="0" applyNumberFormat="1" applyFont="1">
      <alignment horizontal="left" vertical="center" wrapText="1"/>
    </xf>
    <xf numFmtId="2" fontId="39" fillId="0" borderId="1" xfId="0" applyNumberFormat="1" applyFont="1" applyBorder="1" applyAlignment="1">
      <alignment horizontal="center" vertical="center"/>
    </xf>
    <xf numFmtId="2" fontId="39" fillId="0" borderId="1" xfId="0" applyNumberFormat="1" applyFont="1" applyBorder="1" applyAlignment="1">
      <alignment horizontal="center" vertical="center" wrapText="1"/>
    </xf>
    <xf numFmtId="164" fontId="39" fillId="0" borderId="1" xfId="0" applyNumberFormat="1" applyFont="1" applyBorder="1" applyAlignment="1">
      <alignment horizontal="center" vertical="center" wrapText="1"/>
    </xf>
    <xf numFmtId="3" fontId="25" fillId="7" borderId="1" xfId="0" applyFont="1" applyFill="1" applyBorder="1" applyAlignment="1">
      <alignment horizontal="center" wrapText="1"/>
    </xf>
    <xf numFmtId="3" fontId="25" fillId="7" borderId="10" xfId="0" applyFont="1" applyFill="1" applyBorder="1">
      <alignment horizontal="left" vertical="center" wrapText="1"/>
    </xf>
    <xf numFmtId="3" fontId="78" fillId="0" borderId="0" xfId="0" applyFont="1">
      <alignment horizontal="left" vertical="center" wrapText="1"/>
    </xf>
    <xf numFmtId="1" fontId="78" fillId="0" borderId="10" xfId="0" applyNumberFormat="1" applyFont="1" applyFill="1" applyBorder="1" applyAlignment="1">
      <alignment horizontal="center"/>
    </xf>
    <xf numFmtId="3" fontId="0" fillId="0" borderId="0" xfId="0" applyFont="1">
      <alignment horizontal="left" vertical="center" wrapText="1"/>
    </xf>
    <xf numFmtId="2" fontId="0" fillId="0" borderId="10" xfId="0" applyNumberFormat="1" applyFont="1" applyFill="1" applyBorder="1" applyAlignment="1">
      <alignment horizontal="center"/>
    </xf>
    <xf numFmtId="3" fontId="78" fillId="0" borderId="10" xfId="0" applyFont="1" applyFill="1" applyBorder="1">
      <alignment horizontal="left" vertical="center" wrapText="1"/>
    </xf>
    <xf numFmtId="3" fontId="25" fillId="0" borderId="1" xfId="0" applyFont="1" applyBorder="1" applyAlignment="1">
      <alignment vertical="center"/>
    </xf>
    <xf numFmtId="3" fontId="25" fillId="0" borderId="1" xfId="0" applyFont="1" applyBorder="1" applyAlignment="1">
      <alignment horizontal="center" vertical="center" wrapText="1"/>
    </xf>
    <xf numFmtId="3" fontId="25" fillId="7" borderId="1" xfId="0" applyFont="1" applyFill="1" applyBorder="1" applyAlignment="1">
      <alignment horizontal="center" vertical="center" wrapText="1"/>
    </xf>
    <xf numFmtId="9" fontId="31" fillId="0" borderId="1" xfId="5" applyFont="1" applyBorder="1" applyAlignment="1">
      <alignment horizontal="left" vertical="center" wrapText="1"/>
    </xf>
    <xf numFmtId="3" fontId="31" fillId="7" borderId="1" xfId="0" applyFont="1" applyFill="1" applyBorder="1">
      <alignment horizontal="left" vertical="center" wrapText="1"/>
    </xf>
    <xf numFmtId="1" fontId="31" fillId="0" borderId="1" xfId="5" applyNumberFormat="1" applyFont="1" applyFill="1" applyBorder="1" applyAlignment="1">
      <alignment horizontal="center" vertical="center"/>
    </xf>
    <xf numFmtId="1" fontId="31" fillId="0" borderId="1" xfId="5" applyNumberFormat="1" applyFont="1" applyBorder="1" applyAlignment="1">
      <alignment horizontal="center" vertical="center"/>
    </xf>
    <xf numFmtId="9" fontId="31" fillId="0" borderId="1" xfId="0" applyNumberFormat="1" applyFont="1" applyFill="1" applyBorder="1" applyAlignment="1">
      <alignment horizontal="center" vertical="center" wrapText="1"/>
    </xf>
    <xf numFmtId="164" fontId="31" fillId="7" borderId="7" xfId="0" applyNumberFormat="1" applyFont="1" applyFill="1" applyBorder="1" applyAlignment="1">
      <alignment horizontal="center" vertical="center" wrapText="1"/>
    </xf>
    <xf numFmtId="164" fontId="31" fillId="0" borderId="7" xfId="0" applyNumberFormat="1" applyFont="1" applyFill="1" applyBorder="1" applyAlignment="1">
      <alignment horizontal="center" vertical="center"/>
    </xf>
    <xf numFmtId="164" fontId="31" fillId="0" borderId="7" xfId="0" applyNumberFormat="1" applyFont="1" applyBorder="1" applyAlignment="1">
      <alignment horizontal="center" vertical="center"/>
    </xf>
    <xf numFmtId="164" fontId="33" fillId="7" borderId="1" xfId="0" applyNumberFormat="1" applyFont="1" applyFill="1" applyBorder="1" applyAlignment="1">
      <alignment horizontal="center" vertical="center" wrapText="1"/>
    </xf>
    <xf numFmtId="9" fontId="31" fillId="0" borderId="1" xfId="0" applyNumberFormat="1" applyFont="1" applyFill="1" applyBorder="1" applyAlignment="1">
      <alignment horizontal="center" vertical="center"/>
    </xf>
    <xf numFmtId="3" fontId="39" fillId="7" borderId="1" xfId="0" applyFont="1" applyFill="1" applyBorder="1" applyAlignment="1">
      <alignment horizontal="center" vertical="center" wrapText="1"/>
    </xf>
    <xf numFmtId="177" fontId="39" fillId="7" borderId="1" xfId="0" applyNumberFormat="1" applyFont="1" applyFill="1" applyBorder="1" applyAlignment="1">
      <alignment horizontal="center" vertical="center" wrapText="1"/>
    </xf>
    <xf numFmtId="177" fontId="25" fillId="7" borderId="1" xfId="0" applyNumberFormat="1" applyFont="1" applyFill="1" applyBorder="1" applyAlignment="1">
      <alignment horizontal="center" vertical="center" wrapText="1"/>
    </xf>
    <xf numFmtId="14" fontId="39" fillId="0" borderId="1" xfId="0" applyNumberFormat="1" applyFont="1" applyBorder="1" applyAlignment="1">
      <alignment horizontal="right"/>
    </xf>
    <xf numFmtId="164" fontId="25" fillId="0" borderId="1" xfId="0" applyNumberFormat="1" applyFont="1" applyBorder="1" applyAlignment="1"/>
    <xf numFmtId="14" fontId="39" fillId="0" borderId="0" xfId="0" applyNumberFormat="1" applyFont="1" applyAlignment="1">
      <alignment horizontal="right"/>
    </xf>
    <xf numFmtId="164" fontId="25" fillId="0" borderId="1" xfId="0" applyNumberFormat="1" applyFont="1" applyFill="1" applyBorder="1" applyAlignment="1">
      <alignment horizontal="center"/>
    </xf>
    <xf numFmtId="170" fontId="25" fillId="0" borderId="1" xfId="0" applyNumberFormat="1" applyFont="1" applyFill="1" applyBorder="1" applyAlignment="1">
      <alignment horizontal="center" wrapText="1"/>
    </xf>
    <xf numFmtId="3" fontId="25" fillId="0" borderId="1" xfId="0" applyFont="1" applyFill="1" applyBorder="1" applyAlignment="1">
      <alignment horizontal="center" wrapText="1"/>
    </xf>
    <xf numFmtId="164" fontId="25" fillId="0" borderId="1" xfId="0" applyNumberFormat="1" applyFont="1" applyFill="1" applyBorder="1" applyAlignment="1">
      <alignment horizontal="center" wrapText="1"/>
    </xf>
    <xf numFmtId="1" fontId="25" fillId="0" borderId="1" xfId="0" applyNumberFormat="1" applyFont="1" applyFill="1" applyBorder="1" applyAlignment="1">
      <alignment horizontal="center"/>
    </xf>
    <xf numFmtId="3" fontId="9" fillId="0" borderId="1" xfId="0" applyFont="1" applyBorder="1" applyAlignment="1">
      <alignment horizontal="left" wrapText="1"/>
    </xf>
    <xf numFmtId="3" fontId="4" fillId="0" borderId="1" xfId="0" applyFont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9" fontId="9" fillId="0" borderId="0" xfId="5" applyFont="1" applyFill="1" applyBorder="1" applyAlignment="1">
      <alignment horizontal="left" vertical="center" wrapText="1"/>
    </xf>
    <xf numFmtId="1" fontId="5" fillId="7" borderId="1" xfId="0" applyNumberFormat="1" applyFont="1" applyFill="1" applyBorder="1" applyAlignment="1">
      <alignment horizontal="center" vertical="center"/>
    </xf>
    <xf numFmtId="164" fontId="4" fillId="0" borderId="1" xfId="42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3" fontId="25" fillId="0" borderId="1" xfId="0" applyFont="1" applyFill="1" applyBorder="1" applyAlignment="1">
      <alignment horizontal="right" vertical="center" wrapText="1"/>
    </xf>
    <xf numFmtId="3" fontId="25" fillId="0" borderId="1" xfId="0" applyFont="1" applyFill="1" applyBorder="1" applyAlignment="1">
      <alignment horizontal="left" vertical="center" wrapText="1"/>
    </xf>
    <xf numFmtId="14" fontId="22" fillId="7" borderId="1" xfId="6" applyNumberFormat="1" applyFont="1" applyFill="1" applyBorder="1" applyAlignment="1">
      <alignment vertical="center" wrapText="1"/>
    </xf>
    <xf numFmtId="0" fontId="25" fillId="0" borderId="1" xfId="0" applyNumberFormat="1" applyFont="1" applyBorder="1">
      <alignment horizontal="left" vertical="center" wrapText="1"/>
    </xf>
    <xf numFmtId="9" fontId="25" fillId="0" borderId="1" xfId="5" applyFont="1" applyBorder="1" applyAlignment="1">
      <alignment horizontal="left" vertical="center" wrapText="1"/>
    </xf>
    <xf numFmtId="180" fontId="25" fillId="0" borderId="1" xfId="0" applyNumberFormat="1" applyFont="1" applyBorder="1">
      <alignment horizontal="left" vertical="center" wrapText="1"/>
    </xf>
    <xf numFmtId="0" fontId="25" fillId="0" borderId="0" xfId="0" applyNumberFormat="1" applyFont="1">
      <alignment horizontal="left" vertical="center" wrapText="1"/>
    </xf>
    <xf numFmtId="14" fontId="25" fillId="7" borderId="1" xfId="0" applyNumberFormat="1" applyFont="1" applyFill="1" applyBorder="1" applyAlignment="1">
      <alignment vertical="top" wrapText="1"/>
    </xf>
    <xf numFmtId="2" fontId="25" fillId="0" borderId="7" xfId="0" applyNumberFormat="1" applyFont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horizontal="center" vertical="top" wrapText="1"/>
    </xf>
    <xf numFmtId="164" fontId="25" fillId="0" borderId="7" xfId="0" applyNumberFormat="1" applyFont="1" applyBorder="1" applyAlignment="1">
      <alignment horizontal="center" vertical="top" wrapText="1"/>
    </xf>
    <xf numFmtId="164" fontId="25" fillId="0" borderId="1" xfId="0" applyNumberFormat="1" applyFont="1" applyBorder="1" applyAlignment="1">
      <alignment horizontal="center" vertical="top" wrapText="1"/>
    </xf>
    <xf numFmtId="164" fontId="25" fillId="0" borderId="1" xfId="0" applyNumberFormat="1" applyFont="1" applyFill="1" applyBorder="1" applyAlignment="1">
      <alignment horizontal="center" vertical="top" wrapText="1"/>
    </xf>
    <xf numFmtId="3" fontId="25" fillId="0" borderId="7" xfId="0" applyFont="1" applyBorder="1" applyAlignment="1">
      <alignment vertical="top" wrapText="1"/>
    </xf>
    <xf numFmtId="174" fontId="25" fillId="0" borderId="1" xfId="0" applyNumberFormat="1" applyFont="1" applyBorder="1" applyAlignment="1">
      <alignment horizontal="center" vertical="center" wrapText="1"/>
    </xf>
    <xf numFmtId="20" fontId="25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2" fontId="25" fillId="0" borderId="7" xfId="0" applyNumberFormat="1" applyFont="1" applyBorder="1" applyAlignment="1">
      <alignment horizontal="center" vertical="center" wrapText="1"/>
    </xf>
    <xf numFmtId="9" fontId="25" fillId="0" borderId="1" xfId="5" applyFont="1" applyFill="1" applyBorder="1" applyAlignment="1">
      <alignment horizontal="center" vertical="center"/>
    </xf>
    <xf numFmtId="9" fontId="25" fillId="0" borderId="1" xfId="5" applyFont="1" applyBorder="1" applyAlignment="1">
      <alignment horizontal="center" vertical="center"/>
    </xf>
    <xf numFmtId="3" fontId="39" fillId="0" borderId="1" xfId="0" applyFont="1" applyFill="1" applyBorder="1" applyAlignment="1">
      <alignment horizontal="center"/>
    </xf>
    <xf numFmtId="3" fontId="0" fillId="0" borderId="1" xfId="0" applyBorder="1" applyAlignment="1">
      <alignment horizontal="center" vertical="center" wrapText="1"/>
    </xf>
    <xf numFmtId="0" fontId="9" fillId="0" borderId="0" xfId="9" applyFont="1" applyAlignment="1">
      <alignment horizontal="left"/>
    </xf>
    <xf numFmtId="3" fontId="40" fillId="13" borderId="1" xfId="0" applyFont="1" applyFill="1" applyBorder="1" applyAlignment="1">
      <alignment vertical="center"/>
    </xf>
    <xf numFmtId="3" fontId="40" fillId="13" borderId="1" xfId="0" applyFont="1" applyFill="1" applyBorder="1" applyAlignment="1">
      <alignment vertical="center" wrapText="1"/>
    </xf>
    <xf numFmtId="3" fontId="39" fillId="0" borderId="1" xfId="0" applyFont="1" applyBorder="1">
      <alignment horizontal="left" vertical="center" wrapText="1"/>
    </xf>
    <xf numFmtId="3" fontId="79" fillId="0" borderId="1" xfId="0" applyFont="1" applyBorder="1" applyAlignment="1">
      <alignment vertical="center"/>
    </xf>
    <xf numFmtId="3" fontId="79" fillId="0" borderId="1" xfId="0" applyFont="1" applyBorder="1" applyAlignment="1">
      <alignment horizontal="left" vertical="center" wrapText="1"/>
    </xf>
    <xf numFmtId="3" fontId="79" fillId="0" borderId="1" xfId="0" applyFont="1" applyFill="1" applyBorder="1" applyAlignment="1">
      <alignment vertical="center"/>
    </xf>
    <xf numFmtId="3" fontId="79" fillId="0" borderId="1" xfId="0" applyFont="1" applyBorder="1" applyAlignment="1">
      <alignment horizontal="left" vertical="center"/>
    </xf>
    <xf numFmtId="3" fontId="39" fillId="0" borderId="1" xfId="0" applyNumberFormat="1" applyFont="1" applyBorder="1" applyAlignment="1">
      <alignment horizontal="center" vertical="center" wrapText="1"/>
    </xf>
    <xf numFmtId="1" fontId="9" fillId="0" borderId="1" xfId="9" applyNumberFormat="1" applyFont="1" applyBorder="1" applyAlignment="1">
      <alignment horizontal="center" vertical="center"/>
    </xf>
    <xf numFmtId="0" fontId="37" fillId="7" borderId="1" xfId="9" applyFont="1" applyFill="1" applyBorder="1" applyAlignment="1">
      <alignment horizontal="left" wrapText="1"/>
    </xf>
    <xf numFmtId="0" fontId="81" fillId="0" borderId="74" xfId="67" applyFont="1" applyFill="1" applyBorder="1" applyAlignment="1">
      <alignment horizontal="left" wrapText="1"/>
    </xf>
    <xf numFmtId="0" fontId="81" fillId="0" borderId="1" xfId="67" applyFont="1" applyFill="1" applyBorder="1" applyAlignment="1">
      <alignment horizontal="center" vertical="center" wrapText="1"/>
    </xf>
    <xf numFmtId="0" fontId="81" fillId="0" borderId="1" xfId="67" applyFont="1" applyFill="1" applyBorder="1" applyAlignment="1">
      <alignment horizontal="center" wrapText="1"/>
    </xf>
    <xf numFmtId="0" fontId="81" fillId="0" borderId="75" xfId="67" applyFont="1" applyFill="1" applyBorder="1" applyAlignment="1">
      <alignment horizontal="center" wrapText="1"/>
    </xf>
    <xf numFmtId="3" fontId="81" fillId="0" borderId="1" xfId="67" applyNumberFormat="1" applyFont="1" applyFill="1" applyBorder="1" applyAlignment="1">
      <alignment horizontal="center" vertical="center" wrapText="1"/>
    </xf>
    <xf numFmtId="3" fontId="81" fillId="0" borderId="1" xfId="67" applyNumberFormat="1" applyFont="1" applyFill="1" applyBorder="1" applyAlignment="1">
      <alignment horizontal="center" wrapText="1"/>
    </xf>
    <xf numFmtId="3" fontId="81" fillId="0" borderId="75" xfId="67" applyNumberFormat="1" applyFont="1" applyFill="1" applyBorder="1" applyAlignment="1">
      <alignment horizontal="center" wrapText="1"/>
    </xf>
    <xf numFmtId="0" fontId="81" fillId="0" borderId="72" xfId="67" applyFont="1" applyFill="1" applyBorder="1" applyAlignment="1">
      <alignment horizontal="left" wrapText="1"/>
    </xf>
    <xf numFmtId="0" fontId="81" fillId="0" borderId="8" xfId="67" applyFont="1" applyFill="1" applyBorder="1" applyAlignment="1">
      <alignment horizontal="center" vertical="center" wrapText="1"/>
    </xf>
    <xf numFmtId="0" fontId="81" fillId="0" borderId="8" xfId="67" applyFont="1" applyFill="1" applyBorder="1" applyAlignment="1">
      <alignment horizontal="center" wrapText="1"/>
    </xf>
    <xf numFmtId="0" fontId="81" fillId="0" borderId="73" xfId="67" applyFont="1" applyFill="1" applyBorder="1" applyAlignment="1">
      <alignment horizontal="center" wrapText="1"/>
    </xf>
    <xf numFmtId="0" fontId="81" fillId="0" borderId="74" xfId="67" applyFont="1" applyBorder="1" applyAlignment="1">
      <alignment vertical="center" wrapText="1"/>
    </xf>
    <xf numFmtId="0" fontId="81" fillId="0" borderId="79" xfId="67" applyFont="1" applyBorder="1" applyAlignment="1">
      <alignment vertical="center" wrapText="1"/>
    </xf>
    <xf numFmtId="0" fontId="81" fillId="0" borderId="80" xfId="67" applyFont="1" applyFill="1" applyBorder="1" applyAlignment="1">
      <alignment horizontal="center" vertical="center" wrapText="1"/>
    </xf>
    <xf numFmtId="0" fontId="81" fillId="0" borderId="80" xfId="67" applyFont="1" applyFill="1" applyBorder="1" applyAlignment="1">
      <alignment horizontal="center" wrapText="1"/>
    </xf>
    <xf numFmtId="0" fontId="81" fillId="0" borderId="81" xfId="67" applyFont="1" applyFill="1" applyBorder="1" applyAlignment="1">
      <alignment horizontal="center" wrapText="1"/>
    </xf>
    <xf numFmtId="1" fontId="39" fillId="0" borderId="1" xfId="67" applyNumberFormat="1" applyFont="1" applyBorder="1" applyAlignment="1">
      <alignment horizontal="center"/>
    </xf>
    <xf numFmtId="0" fontId="81" fillId="0" borderId="1" xfId="67" applyFont="1" applyBorder="1" applyAlignment="1">
      <alignment horizontal="center" vertical="center" wrapText="1"/>
    </xf>
    <xf numFmtId="0" fontId="81" fillId="0" borderId="1" xfId="67" applyFont="1" applyBorder="1" applyAlignment="1">
      <alignment horizontal="center"/>
    </xf>
    <xf numFmtId="0" fontId="81" fillId="0" borderId="75" xfId="67" applyFont="1" applyBorder="1" applyAlignment="1">
      <alignment horizontal="center"/>
    </xf>
    <xf numFmtId="1" fontId="39" fillId="0" borderId="1" xfId="67" applyNumberFormat="1" applyFont="1" applyBorder="1" applyAlignment="1">
      <alignment horizontal="center" vertical="center"/>
    </xf>
    <xf numFmtId="0" fontId="81" fillId="0" borderId="1" xfId="67" applyFont="1" applyBorder="1" applyAlignment="1">
      <alignment horizontal="center" vertical="center"/>
    </xf>
    <xf numFmtId="0" fontId="81" fillId="0" borderId="75" xfId="67" applyFont="1" applyBorder="1" applyAlignment="1">
      <alignment horizontal="center" vertical="center"/>
    </xf>
    <xf numFmtId="0" fontId="80" fillId="0" borderId="79" xfId="67" applyFont="1" applyBorder="1" applyAlignment="1">
      <alignment vertical="center" wrapText="1"/>
    </xf>
    <xf numFmtId="1" fontId="37" fillId="0" borderId="80" xfId="67" applyNumberFormat="1" applyFont="1" applyBorder="1" applyAlignment="1">
      <alignment horizontal="center" vertical="center"/>
    </xf>
    <xf numFmtId="0" fontId="80" fillId="0" borderId="80" xfId="67" applyFont="1" applyBorder="1" applyAlignment="1">
      <alignment horizontal="center" vertical="center" wrapText="1"/>
    </xf>
    <xf numFmtId="0" fontId="80" fillId="0" borderId="80" xfId="67" applyFont="1" applyFill="1" applyBorder="1" applyAlignment="1">
      <alignment horizontal="center" vertical="center"/>
    </xf>
    <xf numFmtId="1" fontId="37" fillId="0" borderId="80" xfId="67" applyNumberFormat="1" applyFont="1" applyFill="1" applyBorder="1" applyAlignment="1">
      <alignment horizontal="center" vertical="center"/>
    </xf>
    <xf numFmtId="0" fontId="80" fillId="0" borderId="81" xfId="67" applyFont="1" applyBorder="1" applyAlignment="1">
      <alignment horizontal="center" vertical="center"/>
    </xf>
    <xf numFmtId="0" fontId="81" fillId="0" borderId="69" xfId="67" applyFont="1" applyBorder="1" applyAlignment="1">
      <alignment vertical="center" wrapText="1"/>
    </xf>
    <xf numFmtId="2" fontId="39" fillId="0" borderId="70" xfId="67" applyNumberFormat="1" applyFont="1" applyBorder="1" applyAlignment="1">
      <alignment horizontal="center" vertical="center"/>
    </xf>
    <xf numFmtId="2" fontId="81" fillId="0" borderId="70" xfId="67" applyNumberFormat="1" applyFont="1" applyBorder="1" applyAlignment="1">
      <alignment horizontal="center" vertical="center" wrapText="1"/>
    </xf>
    <xf numFmtId="2" fontId="81" fillId="0" borderId="70" xfId="67" applyNumberFormat="1" applyFont="1" applyFill="1" applyBorder="1" applyAlignment="1">
      <alignment horizontal="center" vertical="center"/>
    </xf>
    <xf numFmtId="2" fontId="39" fillId="0" borderId="70" xfId="67" applyNumberFormat="1" applyFont="1" applyFill="1" applyBorder="1" applyAlignment="1">
      <alignment horizontal="center" vertical="center"/>
    </xf>
    <xf numFmtId="2" fontId="81" fillId="0" borderId="71" xfId="67" applyNumberFormat="1" applyFont="1" applyBorder="1" applyAlignment="1">
      <alignment horizontal="center" vertical="center"/>
    </xf>
    <xf numFmtId="2" fontId="39" fillId="0" borderId="80" xfId="67" applyNumberFormat="1" applyFont="1" applyBorder="1" applyAlignment="1">
      <alignment horizontal="center" vertical="center"/>
    </xf>
    <xf numFmtId="2" fontId="81" fillId="0" borderId="80" xfId="67" applyNumberFormat="1" applyFont="1" applyBorder="1" applyAlignment="1">
      <alignment horizontal="center" vertical="center" wrapText="1"/>
    </xf>
    <xf numFmtId="2" fontId="81" fillId="0" borderId="80" xfId="67" applyNumberFormat="1" applyFont="1" applyFill="1" applyBorder="1" applyAlignment="1">
      <alignment horizontal="center" vertical="center"/>
    </xf>
    <xf numFmtId="2" fontId="39" fillId="0" borderId="80" xfId="67" applyNumberFormat="1" applyFont="1" applyFill="1" applyBorder="1" applyAlignment="1">
      <alignment horizontal="center" vertical="center"/>
    </xf>
    <xf numFmtId="2" fontId="81" fillId="0" borderId="81" xfId="67" applyNumberFormat="1" applyFont="1" applyBorder="1" applyAlignment="1">
      <alignment horizontal="center" vertical="center"/>
    </xf>
    <xf numFmtId="0" fontId="81" fillId="0" borderId="0" xfId="67" applyFont="1" applyAlignment="1">
      <alignment horizontal="center"/>
    </xf>
    <xf numFmtId="0" fontId="4" fillId="0" borderId="1" xfId="9" applyNumberFormat="1" applyFont="1" applyFill="1" applyBorder="1"/>
    <xf numFmtId="1" fontId="4" fillId="0" borderId="1" xfId="9" applyNumberFormat="1" applyFon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39" fillId="0" borderId="0" xfId="0" applyFont="1" applyAlignment="1">
      <alignment horizontal="left" vertical="top"/>
    </xf>
    <xf numFmtId="14" fontId="39" fillId="0" borderId="0" xfId="0" applyNumberFormat="1" applyFont="1">
      <alignment horizontal="left" vertical="center" wrapText="1"/>
    </xf>
    <xf numFmtId="3" fontId="40" fillId="14" borderId="1" xfId="0" applyFont="1" applyFill="1" applyBorder="1" applyAlignment="1">
      <alignment horizontal="center" wrapText="1"/>
    </xf>
    <xf numFmtId="3" fontId="37" fillId="14" borderId="1" xfId="0" applyFont="1" applyFill="1" applyBorder="1" applyAlignment="1">
      <alignment horizontal="center" wrapText="1"/>
    </xf>
    <xf numFmtId="3" fontId="39" fillId="0" borderId="0" xfId="0" applyFont="1" applyAlignment="1">
      <alignment horizontal="center" vertical="center"/>
    </xf>
    <xf numFmtId="164" fontId="38" fillId="0" borderId="0" xfId="0" applyNumberFormat="1" applyFont="1">
      <alignment horizontal="left" vertical="center" wrapText="1"/>
    </xf>
    <xf numFmtId="164" fontId="38" fillId="0" borderId="0" xfId="0" applyNumberFormat="1" applyFont="1" applyFill="1" applyBorder="1" applyAlignment="1">
      <alignment horizontal="left"/>
    </xf>
    <xf numFmtId="164" fontId="10" fillId="0" borderId="0" xfId="0" applyNumberFormat="1" applyFont="1">
      <alignment horizontal="left" vertical="center" wrapText="1"/>
    </xf>
    <xf numFmtId="1" fontId="38" fillId="0" borderId="0" xfId="0" applyNumberFormat="1" applyFont="1">
      <alignment horizontal="left" vertical="center" wrapText="1"/>
    </xf>
    <xf numFmtId="1" fontId="38" fillId="0" borderId="0" xfId="0" applyNumberFormat="1" applyFont="1" applyFill="1" applyBorder="1" applyAlignment="1">
      <alignment horizontal="left"/>
    </xf>
    <xf numFmtId="1" fontId="10" fillId="0" borderId="0" xfId="0" applyNumberFormat="1" applyFont="1">
      <alignment horizontal="left" vertical="center" wrapText="1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0" fillId="0" borderId="1" xfId="0" applyFont="1" applyFill="1" applyBorder="1" applyAlignment="1">
      <alignment horizontal="center" vertical="center" wrapText="1"/>
    </xf>
    <xf numFmtId="3" fontId="40" fillId="7" borderId="1" xfId="0" applyFont="1" applyFill="1" applyBorder="1" applyAlignment="1">
      <alignment horizontal="center" vertical="center" wrapText="1"/>
    </xf>
    <xf numFmtId="3" fontId="0" fillId="0" borderId="0" xfId="0" applyBorder="1" applyAlignment="1">
      <alignment horizontal="center" vertical="center" wrapText="1"/>
    </xf>
    <xf numFmtId="3" fontId="40" fillId="13" borderId="8" xfId="0" applyFont="1" applyFill="1" applyBorder="1" applyAlignment="1">
      <alignment vertical="center" wrapText="1"/>
    </xf>
    <xf numFmtId="3" fontId="0" fillId="7" borderId="1" xfId="0" applyFill="1" applyBorder="1" applyAlignment="1">
      <alignment vertical="center" wrapText="1"/>
    </xf>
    <xf numFmtId="0" fontId="0" fillId="0" borderId="0" xfId="0" applyNumberFormat="1" applyBorder="1" applyAlignment="1">
      <alignment horizontal="left" vertical="top" wrapText="1"/>
    </xf>
    <xf numFmtId="1" fontId="31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/>
    </xf>
    <xf numFmtId="3" fontId="22" fillId="0" borderId="1" xfId="0" applyFont="1" applyBorder="1" applyAlignment="1">
      <alignment horizontal="left" vertical="top" wrapText="1"/>
    </xf>
    <xf numFmtId="3" fontId="0" fillId="0" borderId="1" xfId="0" applyBorder="1" applyAlignment="1">
      <alignment horizontal="left" vertical="top" wrapText="1"/>
    </xf>
    <xf numFmtId="185" fontId="0" fillId="0" borderId="0" xfId="0" applyNumberFormat="1" applyAlignment="1">
      <alignment horizontal="left" vertical="top" wrapText="1"/>
    </xf>
    <xf numFmtId="3" fontId="0" fillId="0" borderId="0" xfId="0" applyFont="1" applyAlignment="1">
      <alignment horizontal="left" vertical="top" wrapText="1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3" fontId="22" fillId="57" borderId="1" xfId="0" applyFont="1" applyFill="1" applyBorder="1" applyAlignment="1">
      <alignment horizontal="left" vertical="top" wrapText="1"/>
    </xf>
    <xf numFmtId="3" fontId="0" fillId="57" borderId="1" xfId="0" applyNumberFormat="1" applyFont="1" applyFill="1" applyBorder="1" applyAlignment="1">
      <alignment horizontal="center" vertical="center" wrapText="1"/>
    </xf>
    <xf numFmtId="3" fontId="40" fillId="57" borderId="8" xfId="0" applyFont="1" applyFill="1" applyBorder="1" applyAlignment="1">
      <alignment vertical="center" wrapText="1"/>
    </xf>
    <xf numFmtId="3" fontId="0" fillId="57" borderId="1" xfId="0" applyFill="1" applyBorder="1" applyAlignment="1">
      <alignment vertical="center" wrapText="1"/>
    </xf>
    <xf numFmtId="3" fontId="22" fillId="7" borderId="1" xfId="0" applyFont="1" applyFill="1" applyBorder="1" applyAlignment="1">
      <alignment horizontal="left" vertical="top" wrapText="1"/>
    </xf>
    <xf numFmtId="3" fontId="0" fillId="7" borderId="7" xfId="0" applyFill="1" applyBorder="1" applyAlignment="1">
      <alignment vertical="center" wrapText="1"/>
    </xf>
    <xf numFmtId="2" fontId="0" fillId="0" borderId="2" xfId="0" applyNumberFormat="1" applyFont="1" applyBorder="1" applyAlignment="1">
      <alignment horizontal="center"/>
    </xf>
    <xf numFmtId="3" fontId="24" fillId="0" borderId="0" xfId="0" applyFont="1">
      <alignment horizontal="left" vertical="center" wrapText="1"/>
    </xf>
    <xf numFmtId="3" fontId="22" fillId="7" borderId="10" xfId="0" applyFont="1" applyFill="1" applyBorder="1" applyAlignment="1">
      <alignment horizontal="left" vertical="top" wrapText="1"/>
    </xf>
    <xf numFmtId="3" fontId="0" fillId="0" borderId="7" xfId="0" applyFont="1" applyBorder="1" applyAlignment="1">
      <alignment horizontal="center" vertical="center" wrapText="1"/>
    </xf>
    <xf numFmtId="3" fontId="0" fillId="0" borderId="7" xfId="0" applyFont="1" applyFill="1" applyBorder="1" applyAlignment="1">
      <alignment horizontal="center" vertical="center" wrapText="1"/>
    </xf>
    <xf numFmtId="3" fontId="22" fillId="7" borderId="7" xfId="0" applyFont="1" applyFill="1" applyBorder="1" applyAlignment="1">
      <alignment horizontal="left" vertical="top" wrapText="1"/>
    </xf>
    <xf numFmtId="3" fontId="22" fillId="7" borderId="1" xfId="0" applyFont="1" applyFill="1" applyBorder="1" applyAlignment="1">
      <alignment horizontal="left" vertical="center" wrapText="1"/>
    </xf>
    <xf numFmtId="3" fontId="40" fillId="13" borderId="7" xfId="0" applyFont="1" applyFill="1" applyBorder="1" applyAlignment="1">
      <alignment vertical="center" wrapText="1"/>
    </xf>
    <xf numFmtId="3" fontId="79" fillId="0" borderId="7" xfId="0" applyFont="1" applyBorder="1" applyAlignment="1">
      <alignment horizontal="left" vertical="center" wrapText="1"/>
    </xf>
    <xf numFmtId="3" fontId="39" fillId="0" borderId="7" xfId="0" applyFont="1" applyBorder="1" applyAlignment="1">
      <alignment horizontal="left" vertical="center" wrapText="1"/>
    </xf>
    <xf numFmtId="3" fontId="39" fillId="0" borderId="0" xfId="0" applyFont="1" applyBorder="1">
      <alignment horizontal="left" vertical="center" wrapText="1"/>
    </xf>
    <xf numFmtId="3" fontId="39" fillId="0" borderId="0" xfId="0" applyFont="1" applyBorder="1" applyAlignment="1">
      <alignment horizontal="left" vertical="center" wrapText="1"/>
    </xf>
    <xf numFmtId="170" fontId="0" fillId="0" borderId="1" xfId="0" applyNumberFormat="1" applyFont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3" fontId="39" fillId="7" borderId="1" xfId="0" applyFont="1" applyFill="1" applyBorder="1">
      <alignment horizontal="left" vertical="center" wrapText="1"/>
    </xf>
    <xf numFmtId="3" fontId="84" fillId="0" borderId="0" xfId="0" applyFont="1">
      <alignment horizontal="left" vertical="center" wrapText="1"/>
    </xf>
    <xf numFmtId="3" fontId="84" fillId="0" borderId="0" xfId="0" applyFont="1" applyFill="1" applyBorder="1">
      <alignment horizontal="left" vertical="center" wrapText="1"/>
    </xf>
    <xf numFmtId="14" fontId="84" fillId="0" borderId="0" xfId="0" applyNumberFormat="1" applyFont="1">
      <alignment horizontal="left" vertical="center" wrapText="1"/>
    </xf>
    <xf numFmtId="3" fontId="83" fillId="0" borderId="0" xfId="0" applyFont="1">
      <alignment horizontal="left" vertical="center" wrapText="1"/>
    </xf>
    <xf numFmtId="3" fontId="85" fillId="0" borderId="0" xfId="0" applyFont="1">
      <alignment horizontal="left" vertical="center" wrapText="1"/>
    </xf>
    <xf numFmtId="15" fontId="83" fillId="5" borderId="0" xfId="0" applyNumberFormat="1" applyFont="1" applyFill="1">
      <alignment horizontal="left" vertical="center" wrapText="1"/>
    </xf>
    <xf numFmtId="177" fontId="86" fillId="7" borderId="1" xfId="0" applyNumberFormat="1" applyFont="1" applyFill="1" applyBorder="1" applyAlignment="1">
      <alignment horizontal="center" vertical="center" wrapText="1"/>
    </xf>
    <xf numFmtId="3" fontId="87" fillId="18" borderId="27" xfId="0" applyFont="1" applyFill="1" applyBorder="1" applyAlignment="1">
      <alignment horizontal="left" vertical="top" wrapText="1"/>
    </xf>
    <xf numFmtId="3" fontId="88" fillId="19" borderId="28" xfId="0" applyFont="1" applyFill="1" applyBorder="1" applyAlignment="1">
      <alignment horizontal="left" vertical="top" wrapText="1"/>
    </xf>
    <xf numFmtId="3" fontId="89" fillId="17" borderId="41" xfId="0" applyFont="1" applyFill="1" applyBorder="1" applyAlignment="1">
      <alignment horizontal="left" vertical="center" wrapText="1"/>
    </xf>
    <xf numFmtId="15" fontId="90" fillId="0" borderId="0" xfId="0" applyNumberFormat="1" applyFont="1">
      <alignment horizontal="left" vertical="center" wrapText="1"/>
    </xf>
    <xf numFmtId="177" fontId="83" fillId="0" borderId="0" xfId="0" applyNumberFormat="1" applyFont="1" applyFill="1" applyBorder="1" applyAlignment="1">
      <alignment horizontal="left"/>
    </xf>
    <xf numFmtId="177" fontId="83" fillId="0" borderId="0" xfId="0" applyNumberFormat="1" applyFont="1" applyFill="1" applyBorder="1" applyAlignment="1">
      <alignment horizontal="right"/>
    </xf>
    <xf numFmtId="15" fontId="83" fillId="0" borderId="0" xfId="0" applyNumberFormat="1" applyFont="1" applyFill="1">
      <alignment horizontal="left" vertical="center" wrapText="1"/>
    </xf>
    <xf numFmtId="1" fontId="83" fillId="0" borderId="0" xfId="0" applyNumberFormat="1" applyFont="1" applyAlignment="1">
      <alignment horizontal="center"/>
    </xf>
    <xf numFmtId="2" fontId="83" fillId="0" borderId="0" xfId="0" applyNumberFormat="1" applyFont="1">
      <alignment horizontal="left" vertical="center" wrapText="1"/>
    </xf>
    <xf numFmtId="165" fontId="83" fillId="0" borderId="0" xfId="0" applyNumberFormat="1" applyFont="1">
      <alignment horizontal="left" vertical="center" wrapText="1"/>
    </xf>
    <xf numFmtId="15" fontId="83" fillId="0" borderId="0" xfId="0" applyNumberFormat="1" applyFont="1">
      <alignment horizontal="left" vertical="center" wrapText="1"/>
    </xf>
    <xf numFmtId="3" fontId="89" fillId="18" borderId="1" xfId="0" applyFont="1" applyFill="1" applyBorder="1" applyAlignment="1">
      <alignment horizontal="left" vertical="center" wrapText="1"/>
    </xf>
    <xf numFmtId="15" fontId="83" fillId="0" borderId="1" xfId="0" applyNumberFormat="1" applyFont="1" applyFill="1" applyBorder="1">
      <alignment horizontal="left" vertical="center" wrapText="1"/>
    </xf>
    <xf numFmtId="1" fontId="83" fillId="0" borderId="1" xfId="0" applyNumberFormat="1" applyFont="1" applyFill="1" applyBorder="1">
      <alignment horizontal="left" vertical="center" wrapText="1"/>
    </xf>
    <xf numFmtId="165" fontId="90" fillId="7" borderId="7" xfId="0" applyNumberFormat="1" applyFont="1" applyFill="1" applyBorder="1">
      <alignment horizontal="left" vertical="center" wrapText="1"/>
    </xf>
    <xf numFmtId="2" fontId="93" fillId="0" borderId="0" xfId="0" applyNumberFormat="1" applyFont="1" applyFill="1" applyBorder="1">
      <alignment horizontal="left" vertical="center" wrapText="1"/>
    </xf>
    <xf numFmtId="165" fontId="84" fillId="0" borderId="0" xfId="0" applyNumberFormat="1" applyFont="1" applyFill="1">
      <alignment horizontal="left" vertical="center" wrapText="1"/>
    </xf>
    <xf numFmtId="1" fontId="84" fillId="0" borderId="0" xfId="0" applyNumberFormat="1" applyFont="1" applyAlignment="1">
      <alignment horizontal="center"/>
    </xf>
    <xf numFmtId="2" fontId="84" fillId="0" borderId="0" xfId="0" applyNumberFormat="1" applyFont="1">
      <alignment horizontal="left" vertical="center" wrapText="1"/>
    </xf>
    <xf numFmtId="165" fontId="84" fillId="0" borderId="0" xfId="0" applyNumberFormat="1" applyFont="1">
      <alignment horizontal="left" vertical="center" wrapText="1"/>
    </xf>
    <xf numFmtId="14" fontId="89" fillId="0" borderId="1" xfId="0" applyNumberFormat="1" applyFont="1" applyFill="1" applyBorder="1" applyAlignment="1">
      <alignment horizontal="left" vertical="center" wrapText="1"/>
    </xf>
    <xf numFmtId="3" fontId="84" fillId="0" borderId="1" xfId="0" applyFont="1" applyFill="1" applyBorder="1">
      <alignment horizontal="left" vertical="center" wrapText="1"/>
    </xf>
    <xf numFmtId="3" fontId="89" fillId="0" borderId="1" xfId="0" applyFont="1" applyFill="1" applyBorder="1" applyAlignment="1">
      <alignment horizontal="left" vertical="center" wrapText="1"/>
    </xf>
    <xf numFmtId="15" fontId="83" fillId="0" borderId="5" xfId="0" applyNumberFormat="1" applyFont="1" applyFill="1" applyBorder="1">
      <alignment horizontal="left" vertical="center" wrapText="1"/>
    </xf>
    <xf numFmtId="3" fontId="84" fillId="0" borderId="1" xfId="0" applyFont="1" applyBorder="1">
      <alignment horizontal="left" vertical="center" wrapText="1"/>
    </xf>
    <xf numFmtId="165" fontId="84" fillId="0" borderId="0" xfId="0" applyNumberFormat="1" applyFont="1" applyFill="1" applyBorder="1">
      <alignment horizontal="left" vertical="center" wrapText="1"/>
    </xf>
    <xf numFmtId="2" fontId="93" fillId="0" borderId="0" xfId="0" applyNumberFormat="1" applyFont="1">
      <alignment horizontal="left" vertical="center" wrapText="1"/>
    </xf>
    <xf numFmtId="165" fontId="93" fillId="0" borderId="0" xfId="0" applyNumberFormat="1" applyFont="1" applyFill="1" applyBorder="1">
      <alignment horizontal="left" vertical="center" wrapText="1"/>
    </xf>
    <xf numFmtId="3" fontId="84" fillId="0" borderId="0" xfId="0" applyFont="1" applyBorder="1">
      <alignment horizontal="left" vertical="center" wrapText="1"/>
    </xf>
    <xf numFmtId="165" fontId="93" fillId="0" borderId="0" xfId="0" applyNumberFormat="1" applyFont="1">
      <alignment horizontal="left" vertical="center" wrapText="1"/>
    </xf>
    <xf numFmtId="3" fontId="90" fillId="7" borderId="1" xfId="0" applyFont="1" applyFill="1" applyBorder="1">
      <alignment horizontal="left" vertical="center" wrapText="1"/>
    </xf>
    <xf numFmtId="3" fontId="83" fillId="2" borderId="10" xfId="0" applyFont="1" applyFill="1" applyBorder="1">
      <alignment horizontal="left" vertical="center" wrapText="1"/>
    </xf>
    <xf numFmtId="165" fontId="90" fillId="7" borderId="1" xfId="0" applyNumberFormat="1" applyFont="1" applyFill="1" applyBorder="1">
      <alignment horizontal="left" vertical="center" wrapText="1"/>
    </xf>
    <xf numFmtId="2" fontId="91" fillId="0" borderId="1" xfId="0" applyNumberFormat="1" applyFont="1" applyBorder="1" applyAlignment="1">
      <alignment horizontal="center" vertical="top"/>
    </xf>
    <xf numFmtId="3" fontId="89" fillId="17" borderId="42" xfId="0" applyFont="1" applyFill="1" applyBorder="1" applyAlignment="1">
      <alignment horizontal="left" vertical="center" wrapText="1"/>
    </xf>
    <xf numFmtId="3" fontId="83" fillId="7" borderId="1" xfId="0" applyFont="1" applyFill="1" applyBorder="1">
      <alignment horizontal="left" vertical="center" wrapText="1"/>
    </xf>
    <xf numFmtId="164" fontId="94" fillId="0" borderId="1" xfId="0" applyNumberFormat="1" applyFont="1" applyBorder="1" applyAlignment="1">
      <alignment horizontal="center"/>
    </xf>
    <xf numFmtId="165" fontId="90" fillId="7" borderId="0" xfId="0" applyNumberFormat="1" applyFont="1" applyFill="1">
      <alignment horizontal="left" vertical="center" wrapText="1"/>
    </xf>
    <xf numFmtId="3" fontId="90" fillId="7" borderId="1" xfId="0" applyFont="1" applyFill="1" applyBorder="1" applyAlignment="1">
      <alignment horizontal="right"/>
    </xf>
    <xf numFmtId="3" fontId="83" fillId="7" borderId="1" xfId="0" applyFont="1" applyFill="1" applyBorder="1" applyAlignment="1">
      <alignment horizontal="center"/>
    </xf>
    <xf numFmtId="3" fontId="90" fillId="7" borderId="8" xfId="0" applyFont="1" applyFill="1" applyBorder="1" applyAlignment="1">
      <alignment horizontal="center"/>
    </xf>
    <xf numFmtId="3" fontId="83" fillId="0" borderId="0" xfId="0" applyFont="1" applyFill="1" applyBorder="1" applyAlignment="1"/>
    <xf numFmtId="3" fontId="83" fillId="0" borderId="0" xfId="0" applyFont="1" applyFill="1" applyBorder="1" applyAlignment="1">
      <alignment horizontal="center" wrapText="1"/>
    </xf>
    <xf numFmtId="3" fontId="90" fillId="0" borderId="0" xfId="0" applyFont="1" applyFill="1" applyBorder="1" applyAlignment="1"/>
    <xf numFmtId="170" fontId="94" fillId="0" borderId="1" xfId="0" applyNumberFormat="1" applyFont="1" applyBorder="1" applyAlignment="1">
      <alignment horizontal="center"/>
    </xf>
    <xf numFmtId="3" fontId="83" fillId="0" borderId="1" xfId="0" applyNumberFormat="1" applyFont="1" applyFill="1" applyBorder="1" applyAlignment="1">
      <alignment horizontal="center"/>
    </xf>
    <xf numFmtId="165" fontId="96" fillId="0" borderId="0" xfId="0" applyNumberFormat="1" applyFont="1" applyFill="1" applyBorder="1">
      <alignment horizontal="left" vertical="center" wrapText="1"/>
    </xf>
    <xf numFmtId="3" fontId="83" fillId="0" borderId="0" xfId="0" applyNumberFormat="1" applyFont="1" applyFill="1" applyBorder="1">
      <alignment horizontal="left" vertical="center" wrapText="1"/>
    </xf>
    <xf numFmtId="165" fontId="90" fillId="7" borderId="1" xfId="0" applyNumberFormat="1" applyFont="1" applyFill="1" applyBorder="1" applyAlignment="1">
      <alignment horizontal="right"/>
    </xf>
    <xf numFmtId="170" fontId="94" fillId="7" borderId="1" xfId="0" applyNumberFormat="1" applyFont="1" applyFill="1" applyBorder="1" applyAlignment="1">
      <alignment horizontal="center"/>
    </xf>
    <xf numFmtId="3" fontId="83" fillId="7" borderId="1" xfId="0" applyNumberFormat="1" applyFont="1" applyFill="1" applyBorder="1" applyAlignment="1">
      <alignment horizontal="center"/>
    </xf>
    <xf numFmtId="3" fontId="83" fillId="0" borderId="0" xfId="0" applyFont="1" applyFill="1" applyBorder="1" applyAlignment="1">
      <alignment horizontal="center"/>
    </xf>
    <xf numFmtId="3" fontId="84" fillId="0" borderId="0" xfId="0" applyFont="1" applyFill="1" applyBorder="1" applyAlignment="1" applyProtection="1">
      <alignment horizontal="left"/>
    </xf>
    <xf numFmtId="3" fontId="84" fillId="0" borderId="0" xfId="0" applyFont="1" applyFill="1" applyBorder="1" applyAlignment="1">
      <alignment wrapText="1"/>
    </xf>
    <xf numFmtId="3" fontId="89" fillId="0" borderId="0" xfId="0" applyFont="1" applyFill="1" applyBorder="1" applyAlignment="1">
      <alignment horizontal="left" vertical="center" wrapText="1"/>
    </xf>
    <xf numFmtId="3" fontId="96" fillId="3" borderId="9" xfId="0" applyFont="1" applyFill="1" applyBorder="1" applyAlignment="1">
      <alignment horizontal="center" vertical="center" wrapText="1"/>
    </xf>
    <xf numFmtId="3" fontId="96" fillId="3" borderId="1" xfId="0" applyFont="1" applyFill="1" applyBorder="1" applyAlignment="1">
      <alignment vertical="top" wrapText="1"/>
    </xf>
    <xf numFmtId="0" fontId="84" fillId="0" borderId="1" xfId="6" applyFont="1">
      <alignment horizontal="left" vertical="center" wrapText="1"/>
    </xf>
    <xf numFmtId="3" fontId="84" fillId="0" borderId="1" xfId="0" applyNumberFormat="1" applyFont="1" applyBorder="1">
      <alignment horizontal="left" vertical="center" wrapText="1"/>
    </xf>
    <xf numFmtId="3" fontId="84" fillId="0" borderId="0" xfId="0" applyFont="1" applyBorder="1" applyAlignment="1">
      <alignment wrapText="1"/>
    </xf>
    <xf numFmtId="3" fontId="89" fillId="0" borderId="7" xfId="0" applyFont="1" applyFill="1" applyBorder="1" applyAlignment="1">
      <alignment horizontal="left" vertical="center" wrapText="1"/>
    </xf>
    <xf numFmtId="3" fontId="84" fillId="0" borderId="8" xfId="0" applyFont="1" applyFill="1" applyBorder="1">
      <alignment horizontal="left" vertical="center" wrapText="1"/>
    </xf>
    <xf numFmtId="3" fontId="89" fillId="0" borderId="8" xfId="0" applyFont="1" applyFill="1" applyBorder="1" applyAlignment="1">
      <alignment horizontal="left" vertical="center" wrapText="1"/>
    </xf>
    <xf numFmtId="3" fontId="89" fillId="0" borderId="24" xfId="0" applyFont="1" applyFill="1" applyBorder="1" applyAlignment="1">
      <alignment horizontal="left" vertical="center" wrapText="1"/>
    </xf>
    <xf numFmtId="3" fontId="89" fillId="0" borderId="0" xfId="0" applyFont="1" applyFill="1" applyAlignment="1">
      <alignment horizontal="left" vertical="center" wrapText="1"/>
    </xf>
    <xf numFmtId="3" fontId="84" fillId="0" borderId="5" xfId="0" applyFont="1" applyFill="1" applyBorder="1">
      <alignment horizontal="left" vertical="center" wrapText="1"/>
    </xf>
    <xf numFmtId="3" fontId="84" fillId="0" borderId="5" xfId="0" applyNumberFormat="1" applyFont="1" applyFill="1" applyBorder="1">
      <alignment horizontal="left" vertical="center" wrapText="1"/>
    </xf>
    <xf numFmtId="3" fontId="84" fillId="0" borderId="1" xfId="0" applyNumberFormat="1" applyFont="1" applyFill="1" applyBorder="1">
      <alignment horizontal="left" vertical="center" wrapText="1"/>
    </xf>
    <xf numFmtId="3" fontId="84" fillId="0" borderId="0" xfId="0" applyFont="1" applyAlignment="1">
      <alignment horizontal="left"/>
    </xf>
    <xf numFmtId="3" fontId="84" fillId="0" borderId="2" xfId="0" applyNumberFormat="1" applyFont="1" applyFill="1" applyBorder="1">
      <alignment horizontal="left" vertical="center" wrapText="1"/>
    </xf>
    <xf numFmtId="3" fontId="84" fillId="0" borderId="0" xfId="0" applyNumberFormat="1" applyFont="1" applyFill="1" applyBorder="1">
      <alignment horizontal="left" vertical="center" wrapText="1"/>
    </xf>
    <xf numFmtId="3" fontId="96" fillId="3" borderId="12" xfId="0" applyFont="1" applyFill="1" applyBorder="1" applyAlignment="1">
      <alignment horizontal="center" vertical="center" wrapText="1"/>
    </xf>
    <xf numFmtId="3" fontId="96" fillId="3" borderId="2" xfId="0" applyFont="1" applyFill="1" applyBorder="1" applyAlignment="1">
      <alignment horizontal="center" vertical="center" wrapText="1"/>
    </xf>
    <xf numFmtId="3" fontId="84" fillId="0" borderId="1" xfId="0" applyFont="1" applyBorder="1" applyAlignment="1">
      <alignment wrapText="1"/>
    </xf>
    <xf numFmtId="14" fontId="89" fillId="0" borderId="0" xfId="0" applyNumberFormat="1" applyFont="1" applyFill="1" applyBorder="1" applyAlignment="1">
      <alignment horizontal="left" vertical="center" wrapText="1"/>
    </xf>
    <xf numFmtId="3" fontId="84" fillId="0" borderId="8" xfId="0" applyFont="1" applyBorder="1" applyAlignment="1">
      <alignment wrapText="1"/>
    </xf>
    <xf numFmtId="3" fontId="98" fillId="0" borderId="1" xfId="0" applyFont="1" applyBorder="1">
      <alignment horizontal="left" vertical="center" wrapText="1"/>
    </xf>
    <xf numFmtId="3" fontId="92" fillId="0" borderId="0" xfId="0" applyFont="1">
      <alignment horizontal="left" vertical="center" wrapText="1"/>
    </xf>
    <xf numFmtId="3" fontId="98" fillId="0" borderId="0" xfId="0" applyFont="1">
      <alignment horizontal="left" vertical="center" wrapText="1"/>
    </xf>
    <xf numFmtId="14" fontId="98" fillId="0" borderId="0" xfId="0" applyNumberFormat="1" applyFont="1">
      <alignment horizontal="left" vertical="center" wrapText="1"/>
    </xf>
    <xf numFmtId="3" fontId="93" fillId="0" borderId="0" xfId="0" applyFont="1">
      <alignment horizontal="left" vertical="center" wrapText="1"/>
    </xf>
    <xf numFmtId="3" fontId="84" fillId="11" borderId="0" xfId="0" applyFont="1" applyFill="1">
      <alignment horizontal="left" vertical="center" wrapText="1"/>
    </xf>
    <xf numFmtId="3" fontId="89" fillId="0" borderId="29" xfId="0" applyFont="1" applyFill="1" applyBorder="1" applyAlignment="1">
      <alignment horizontal="left" vertical="center" wrapText="1"/>
    </xf>
    <xf numFmtId="3" fontId="99" fillId="0" borderId="18" xfId="0" applyFont="1" applyBorder="1" applyAlignment="1">
      <alignment horizontal="center" vertical="center" wrapText="1"/>
    </xf>
    <xf numFmtId="3" fontId="99" fillId="0" borderId="19" xfId="0" applyFont="1" applyBorder="1" applyAlignment="1">
      <alignment horizontal="center" vertical="center" wrapText="1"/>
    </xf>
    <xf numFmtId="177" fontId="99" fillId="0" borderId="16" xfId="0" applyNumberFormat="1" applyFont="1" applyBorder="1" applyAlignment="1">
      <alignment horizontal="center" vertical="center" wrapText="1"/>
    </xf>
    <xf numFmtId="3" fontId="100" fillId="0" borderId="16" xfId="0" applyFont="1" applyBorder="1" applyAlignment="1">
      <alignment horizontal="center" vertical="center" wrapText="1"/>
    </xf>
    <xf numFmtId="3" fontId="100" fillId="0" borderId="16" xfId="0" applyFont="1" applyBorder="1" applyAlignment="1">
      <alignment horizontal="center" vertical="center"/>
    </xf>
    <xf numFmtId="3" fontId="99" fillId="0" borderId="16" xfId="0" applyFont="1" applyBorder="1" applyAlignment="1">
      <alignment horizontal="center" vertical="center" wrapText="1"/>
    </xf>
    <xf numFmtId="3" fontId="89" fillId="17" borderId="50" xfId="0" applyFont="1" applyFill="1" applyBorder="1" applyAlignment="1">
      <alignment horizontal="left" vertical="center" wrapText="1"/>
    </xf>
    <xf numFmtId="3" fontId="89" fillId="17" borderId="51" xfId="0" applyFont="1" applyFill="1" applyBorder="1" applyAlignment="1">
      <alignment horizontal="left" vertical="center" wrapText="1"/>
    </xf>
    <xf numFmtId="3" fontId="89" fillId="17" borderId="53" xfId="0" applyFont="1" applyFill="1" applyBorder="1" applyAlignment="1">
      <alignment horizontal="left" vertical="center" wrapText="1"/>
    </xf>
    <xf numFmtId="3" fontId="89" fillId="0" borderId="51" xfId="0" applyFont="1" applyFill="1" applyBorder="1" applyAlignment="1">
      <alignment horizontal="left" vertical="center" wrapText="1"/>
    </xf>
    <xf numFmtId="3" fontId="89" fillId="17" borderId="39" xfId="0" applyFont="1" applyFill="1" applyBorder="1" applyAlignment="1">
      <alignment horizontal="left" vertical="center" wrapText="1"/>
    </xf>
    <xf numFmtId="3" fontId="89" fillId="17" borderId="16" xfId="0" applyFont="1" applyFill="1" applyBorder="1" applyAlignment="1">
      <alignment horizontal="left" vertical="center" wrapText="1"/>
    </xf>
    <xf numFmtId="3" fontId="89" fillId="0" borderId="16" xfId="0" applyFont="1" applyFill="1" applyBorder="1" applyAlignment="1">
      <alignment horizontal="left" vertical="center" wrapText="1"/>
    </xf>
    <xf numFmtId="3" fontId="89" fillId="0" borderId="38" xfId="0" applyFont="1" applyFill="1" applyBorder="1" applyAlignment="1">
      <alignment horizontal="left" vertical="center" wrapText="1"/>
    </xf>
    <xf numFmtId="3" fontId="89" fillId="0" borderId="2" xfId="0" applyFont="1" applyFill="1" applyBorder="1" applyAlignment="1">
      <alignment horizontal="left" vertical="center" wrapText="1"/>
    </xf>
    <xf numFmtId="3" fontId="84" fillId="0" borderId="16" xfId="0" applyFont="1" applyBorder="1" applyAlignment="1">
      <alignment horizontal="center" vertical="center"/>
    </xf>
    <xf numFmtId="3" fontId="84" fillId="0" borderId="20" xfId="0" applyFont="1" applyBorder="1">
      <alignment horizontal="left" vertical="center" wrapText="1"/>
    </xf>
    <xf numFmtId="3" fontId="89" fillId="0" borderId="52" xfId="0" applyFont="1" applyFill="1" applyBorder="1" applyAlignment="1">
      <alignment horizontal="left" vertical="center" wrapText="1"/>
    </xf>
    <xf numFmtId="3" fontId="89" fillId="17" borderId="40" xfId="0" applyFont="1" applyFill="1" applyBorder="1" applyAlignment="1">
      <alignment horizontal="left" vertical="center" wrapText="1"/>
    </xf>
    <xf numFmtId="3" fontId="89" fillId="17" borderId="52" xfId="0" applyFont="1" applyFill="1" applyBorder="1" applyAlignment="1">
      <alignment horizontal="left" vertical="center" wrapText="1"/>
    </xf>
    <xf numFmtId="3" fontId="84" fillId="23" borderId="38" xfId="0" applyFont="1" applyFill="1" applyBorder="1">
      <alignment horizontal="left" vertical="center" wrapText="1"/>
    </xf>
    <xf numFmtId="3" fontId="84" fillId="23" borderId="49" xfId="0" applyFont="1" applyFill="1" applyBorder="1">
      <alignment horizontal="left" vertical="center" wrapText="1"/>
    </xf>
    <xf numFmtId="3" fontId="84" fillId="0" borderId="0" xfId="0" applyFont="1" applyFill="1">
      <alignment horizontal="left" vertical="center" wrapText="1"/>
    </xf>
    <xf numFmtId="3" fontId="89" fillId="0" borderId="44" xfId="0" applyFont="1" applyFill="1" applyBorder="1" applyAlignment="1">
      <alignment horizontal="left" vertical="center" wrapText="1"/>
    </xf>
    <xf numFmtId="3" fontId="89" fillId="0" borderId="47" xfId="0" applyFont="1" applyFill="1" applyBorder="1" applyAlignment="1">
      <alignment horizontal="left" vertical="center" wrapText="1"/>
    </xf>
    <xf numFmtId="3" fontId="89" fillId="0" borderId="45" xfId="0" applyFont="1" applyFill="1" applyBorder="1" applyAlignment="1">
      <alignment horizontal="left" vertical="center" wrapText="1"/>
    </xf>
    <xf numFmtId="3" fontId="89" fillId="0" borderId="48" xfId="0" applyFont="1" applyFill="1" applyBorder="1" applyAlignment="1">
      <alignment horizontal="left" vertical="center" wrapText="1"/>
    </xf>
    <xf numFmtId="3" fontId="103" fillId="0" borderId="0" xfId="0" applyFont="1">
      <alignment horizontal="left" vertical="center" wrapText="1"/>
    </xf>
    <xf numFmtId="3" fontId="104" fillId="0" borderId="0" xfId="0" applyFont="1" applyAlignment="1">
      <alignment horizontal="center" vertical="center"/>
    </xf>
    <xf numFmtId="3" fontId="89" fillId="0" borderId="46" xfId="0" applyFont="1" applyFill="1" applyBorder="1" applyAlignment="1">
      <alignment horizontal="left" vertical="center" wrapText="1"/>
    </xf>
    <xf numFmtId="3" fontId="89" fillId="0" borderId="49" xfId="0" applyFont="1" applyFill="1" applyBorder="1" applyAlignment="1">
      <alignment horizontal="left" vertical="center" wrapText="1"/>
    </xf>
    <xf numFmtId="0" fontId="84" fillId="0" borderId="1" xfId="6" applyFont="1" applyBorder="1">
      <alignment horizontal="left" vertical="center" wrapText="1"/>
    </xf>
    <xf numFmtId="0" fontId="83" fillId="0" borderId="1" xfId="0" applyNumberFormat="1" applyFont="1" applyBorder="1">
      <alignment horizontal="left" vertical="center" wrapText="1"/>
    </xf>
    <xf numFmtId="3" fontId="0" fillId="0" borderId="1" xfId="0" applyBorder="1" applyAlignment="1">
      <alignment horizontal="center" vertical="center" wrapText="1"/>
    </xf>
    <xf numFmtId="3" fontId="24" fillId="7" borderId="14" xfId="0" applyFont="1" applyFill="1" applyBorder="1" applyAlignment="1">
      <alignment horizontal="center" vertical="center" wrapText="1"/>
    </xf>
    <xf numFmtId="3" fontId="31" fillId="0" borderId="2" xfId="0" applyFont="1" applyFill="1" applyBorder="1" applyAlignment="1">
      <alignment horizontal="left" vertical="center"/>
    </xf>
    <xf numFmtId="3" fontId="22" fillId="7" borderId="7" xfId="0" applyFont="1" applyFill="1" applyBorder="1" applyAlignment="1">
      <alignment horizontal="left" vertical="center" wrapText="1"/>
    </xf>
    <xf numFmtId="3" fontId="39" fillId="0" borderId="6" xfId="0" applyFont="1" applyFill="1" applyBorder="1" applyAlignment="1">
      <alignment horizontal="left" vertical="center" wrapText="1"/>
    </xf>
    <xf numFmtId="3" fontId="39" fillId="0" borderId="7" xfId="0" applyFont="1" applyBorder="1" applyAlignment="1">
      <alignment horizontal="left" vertical="center"/>
    </xf>
    <xf numFmtId="3" fontId="39" fillId="0" borderId="7" xfId="0" applyFont="1" applyBorder="1" applyAlignment="1">
      <alignment horizontal="left"/>
    </xf>
    <xf numFmtId="3" fontId="31" fillId="0" borderId="1" xfId="0" applyFont="1" applyFill="1" applyBorder="1" applyAlignment="1">
      <alignment horizontal="left" vertical="center"/>
    </xf>
    <xf numFmtId="0" fontId="4" fillId="0" borderId="1" xfId="0" applyNumberFormat="1" applyFont="1" applyBorder="1" applyAlignment="1"/>
    <xf numFmtId="3" fontId="39" fillId="0" borderId="1" xfId="0" applyFont="1" applyBorder="1" applyAlignment="1">
      <alignment horizontal="left" vertical="top"/>
    </xf>
    <xf numFmtId="3" fontId="31" fillId="0" borderId="5" xfId="0" applyFont="1" applyBorder="1" applyAlignment="1">
      <alignment vertical="center"/>
    </xf>
    <xf numFmtId="3" fontId="39" fillId="0" borderId="1" xfId="0" applyFont="1" applyBorder="1" applyAlignment="1">
      <alignment vertical="top" wrapText="1"/>
    </xf>
    <xf numFmtId="3" fontId="106" fillId="0" borderId="0" xfId="0" applyFont="1">
      <alignment horizontal="left" vertical="center" wrapText="1"/>
    </xf>
    <xf numFmtId="3" fontId="105" fillId="0" borderId="0" xfId="0" applyFont="1">
      <alignment horizontal="left" vertical="center" wrapText="1"/>
    </xf>
    <xf numFmtId="14" fontId="107" fillId="0" borderId="0" xfId="0" applyNumberFormat="1" applyFont="1">
      <alignment horizontal="left" vertical="center" wrapText="1"/>
    </xf>
    <xf numFmtId="3" fontId="108" fillId="7" borderId="7" xfId="0" applyFont="1" applyFill="1" applyBorder="1">
      <alignment horizontal="left" vertical="center" wrapText="1"/>
    </xf>
    <xf numFmtId="14" fontId="109" fillId="7" borderId="5" xfId="0" applyNumberFormat="1" applyFont="1" applyFill="1" applyBorder="1">
      <alignment horizontal="left" vertical="center" wrapText="1"/>
    </xf>
    <xf numFmtId="3" fontId="109" fillId="0" borderId="0" xfId="0" applyFont="1">
      <alignment horizontal="left" vertical="center" wrapText="1"/>
    </xf>
    <xf numFmtId="3" fontId="106" fillId="0" borderId="1" xfId="0" applyFont="1" applyBorder="1">
      <alignment horizontal="left" vertical="center" wrapText="1"/>
    </xf>
    <xf numFmtId="3" fontId="105" fillId="7" borderId="1" xfId="0" applyFont="1" applyFill="1" applyBorder="1">
      <alignment horizontal="left" vertical="center" wrapText="1"/>
    </xf>
    <xf numFmtId="3" fontId="108" fillId="7" borderId="1" xfId="0" applyFont="1" applyFill="1" applyBorder="1">
      <alignment horizontal="left" vertical="center" wrapText="1"/>
    </xf>
    <xf numFmtId="3" fontId="108" fillId="7" borderId="1" xfId="0" applyFont="1" applyFill="1" applyBorder="1" applyAlignment="1">
      <alignment horizontal="center"/>
    </xf>
    <xf numFmtId="20" fontId="106" fillId="0" borderId="1" xfId="0" applyNumberFormat="1" applyFont="1" applyBorder="1">
      <alignment horizontal="left" vertical="center" wrapText="1"/>
    </xf>
    <xf numFmtId="3" fontId="105" fillId="0" borderId="1" xfId="0" applyFont="1" applyBorder="1" applyAlignment="1">
      <alignment horizontal="center"/>
    </xf>
    <xf numFmtId="3" fontId="108" fillId="0" borderId="1" xfId="0" applyFont="1" applyBorder="1" applyAlignment="1">
      <alignment horizontal="center"/>
    </xf>
    <xf numFmtId="20" fontId="109" fillId="0" borderId="1" xfId="0" applyNumberFormat="1" applyFont="1" applyBorder="1">
      <alignment horizontal="left" vertical="center" wrapText="1"/>
    </xf>
    <xf numFmtId="165" fontId="109" fillId="0" borderId="1" xfId="0" applyNumberFormat="1" applyFont="1" applyBorder="1" applyAlignment="1">
      <alignment horizontal="center"/>
    </xf>
    <xf numFmtId="3" fontId="109" fillId="0" borderId="1" xfId="0" applyFont="1" applyBorder="1" applyAlignment="1">
      <alignment horizontal="center"/>
    </xf>
    <xf numFmtId="2" fontId="109" fillId="0" borderId="1" xfId="0" applyNumberFormat="1" applyFont="1" applyBorder="1" applyAlignment="1">
      <alignment horizontal="center"/>
    </xf>
    <xf numFmtId="3" fontId="109" fillId="0" borderId="1" xfId="0" applyFont="1" applyFill="1" applyBorder="1">
      <alignment horizontal="left" vertical="center" wrapText="1"/>
    </xf>
    <xf numFmtId="3" fontId="109" fillId="0" borderId="1" xfId="0" applyFont="1" applyBorder="1">
      <alignment horizontal="left" vertical="center" wrapText="1"/>
    </xf>
    <xf numFmtId="3" fontId="109" fillId="0" borderId="0" xfId="0" applyFont="1" applyBorder="1">
      <alignment horizontal="left" vertical="center" wrapText="1"/>
    </xf>
    <xf numFmtId="3" fontId="109" fillId="0" borderId="0" xfId="0" applyFont="1" applyAlignment="1">
      <alignment horizontal="left" vertical="center"/>
    </xf>
    <xf numFmtId="3" fontId="105" fillId="0" borderId="1" xfId="0" applyFont="1" applyBorder="1">
      <alignment horizontal="left" vertical="center" wrapText="1"/>
    </xf>
    <xf numFmtId="20" fontId="106" fillId="0" borderId="7" xfId="0" applyNumberFormat="1" applyFont="1" applyBorder="1" applyAlignment="1"/>
    <xf numFmtId="20" fontId="106" fillId="0" borderId="13" xfId="0" applyNumberFormat="1" applyFont="1" applyBorder="1" applyAlignment="1"/>
    <xf numFmtId="1" fontId="105" fillId="7" borderId="1" xfId="0" applyNumberFormat="1" applyFont="1" applyFill="1" applyBorder="1" applyAlignment="1"/>
    <xf numFmtId="3" fontId="110" fillId="7" borderId="1" xfId="0" applyFont="1" applyFill="1" applyBorder="1">
      <alignment horizontal="left" vertical="center" wrapText="1"/>
    </xf>
    <xf numFmtId="3" fontId="106" fillId="6" borderId="1" xfId="0" applyFont="1" applyFill="1" applyBorder="1">
      <alignment horizontal="left" vertical="center" wrapText="1"/>
    </xf>
    <xf numFmtId="3" fontId="106" fillId="9" borderId="1" xfId="0" applyFont="1" applyFill="1" applyBorder="1">
      <alignment horizontal="left" vertical="center" wrapText="1"/>
    </xf>
    <xf numFmtId="3" fontId="105" fillId="0" borderId="0" xfId="0" applyFont="1" applyBorder="1">
      <alignment horizontal="left" vertical="center" wrapText="1"/>
    </xf>
    <xf numFmtId="3" fontId="105" fillId="7" borderId="1" xfId="0" applyFont="1" applyFill="1" applyBorder="1" applyAlignment="1">
      <alignment horizontal="right" vertical="center"/>
    </xf>
    <xf numFmtId="3" fontId="109" fillId="0" borderId="0" xfId="0" applyFont="1" applyBorder="1" applyAlignment="1">
      <alignment horizontal="left" vertical="center"/>
    </xf>
    <xf numFmtId="170" fontId="106" fillId="0" borderId="1" xfId="0" applyNumberFormat="1" applyFont="1" applyBorder="1">
      <alignment horizontal="left" vertical="center" wrapText="1"/>
    </xf>
    <xf numFmtId="0" fontId="111" fillId="0" borderId="0" xfId="6" applyFont="1" applyBorder="1">
      <alignment horizontal="left" vertical="center" wrapText="1"/>
    </xf>
    <xf numFmtId="3" fontId="109" fillId="0" borderId="1" xfId="0" applyFont="1" applyBorder="1" applyAlignment="1">
      <alignment horizontal="center" vertical="center"/>
    </xf>
    <xf numFmtId="2" fontId="109" fillId="0" borderId="1" xfId="0" applyNumberFormat="1" applyFont="1" applyBorder="1" applyAlignment="1">
      <alignment horizontal="center" vertical="center"/>
    </xf>
    <xf numFmtId="3" fontId="105" fillId="7" borderId="0" xfId="0" applyFont="1" applyFill="1" applyBorder="1" applyAlignment="1">
      <alignment horizontal="right" vertical="center"/>
    </xf>
    <xf numFmtId="0" fontId="111" fillId="0" borderId="1" xfId="6" applyFont="1" applyBorder="1">
      <alignment horizontal="left" vertical="center" wrapText="1"/>
    </xf>
    <xf numFmtId="3" fontId="108" fillId="0" borderId="11" xfId="0" applyFont="1" applyFill="1" applyBorder="1" applyAlignment="1">
      <alignment horizontal="center"/>
    </xf>
    <xf numFmtId="3" fontId="105" fillId="7" borderId="1" xfId="0" applyFont="1" applyFill="1" applyBorder="1" applyAlignment="1">
      <alignment horizontal="right" vertical="center" wrapText="1"/>
    </xf>
    <xf numFmtId="3" fontId="106" fillId="0" borderId="13" xfId="0" applyFont="1" applyBorder="1">
      <alignment horizontal="left" vertical="center" wrapText="1"/>
    </xf>
    <xf numFmtId="3" fontId="112" fillId="0" borderId="13" xfId="0" applyFont="1" applyBorder="1">
      <alignment horizontal="left" vertical="center" wrapText="1"/>
    </xf>
    <xf numFmtId="3" fontId="113" fillId="0" borderId="13" xfId="0" applyFont="1" applyBorder="1">
      <alignment horizontal="left" vertical="center" wrapText="1"/>
    </xf>
    <xf numFmtId="3" fontId="105" fillId="7" borderId="1" xfId="0" applyFont="1" applyFill="1" applyBorder="1" applyAlignment="1">
      <alignment horizontal="right" wrapText="1"/>
    </xf>
    <xf numFmtId="3" fontId="105" fillId="7" borderId="0" xfId="0" applyFont="1" applyFill="1" applyAlignment="1">
      <alignment horizontal="right" vertical="center" wrapText="1"/>
    </xf>
    <xf numFmtId="3" fontId="105" fillId="7" borderId="1" xfId="0" applyFont="1" applyFill="1" applyBorder="1" applyAlignment="1">
      <alignment horizontal="center"/>
    </xf>
    <xf numFmtId="3" fontId="106" fillId="0" borderId="0" xfId="0" applyFont="1" applyBorder="1">
      <alignment horizontal="left" vertical="center" wrapText="1"/>
    </xf>
    <xf numFmtId="3" fontId="106" fillId="7" borderId="1" xfId="0" applyFont="1" applyFill="1" applyBorder="1">
      <alignment horizontal="left" vertical="center" wrapText="1"/>
    </xf>
    <xf numFmtId="14" fontId="106" fillId="0" borderId="1" xfId="0" applyNumberFormat="1" applyFont="1" applyBorder="1">
      <alignment horizontal="left" vertical="center" wrapText="1"/>
    </xf>
    <xf numFmtId="3" fontId="110" fillId="0" borderId="1" xfId="0" applyFont="1" applyBorder="1" applyAlignment="1">
      <alignment horizontal="center"/>
    </xf>
    <xf numFmtId="3" fontId="110" fillId="0" borderId="1" xfId="0" applyFont="1" applyFill="1" applyBorder="1" applyAlignment="1">
      <alignment horizontal="center"/>
    </xf>
    <xf numFmtId="3" fontId="106" fillId="0" borderId="3" xfId="0" applyFont="1" applyBorder="1">
      <alignment horizontal="left" vertical="center" wrapText="1"/>
    </xf>
    <xf numFmtId="3" fontId="106" fillId="8" borderId="1" xfId="0" applyFont="1" applyFill="1" applyBorder="1">
      <alignment horizontal="left" vertical="center" wrapText="1"/>
    </xf>
    <xf numFmtId="20" fontId="106" fillId="0" borderId="1" xfId="0" applyNumberFormat="1" applyFont="1" applyBorder="1" applyAlignment="1">
      <alignment horizontal="left"/>
    </xf>
    <xf numFmtId="3" fontId="106" fillId="0" borderId="1" xfId="0" applyFont="1" applyBorder="1" applyAlignment="1">
      <alignment horizontal="left"/>
    </xf>
    <xf numFmtId="3" fontId="117" fillId="0" borderId="1" xfId="0" applyNumberFormat="1" applyFont="1" applyBorder="1" applyAlignment="1">
      <alignment horizontal="center" vertical="center" wrapText="1"/>
    </xf>
    <xf numFmtId="3" fontId="119" fillId="0" borderId="1" xfId="0" applyFont="1" applyBorder="1" applyAlignment="1">
      <alignment horizontal="left"/>
    </xf>
    <xf numFmtId="3" fontId="106" fillId="8" borderId="1" xfId="0" applyFont="1" applyFill="1" applyBorder="1" applyAlignment="1">
      <alignment horizontal="left" vertical="top" wrapText="1"/>
    </xf>
    <xf numFmtId="3" fontId="106" fillId="0" borderId="1" xfId="0" applyFont="1" applyBorder="1" applyAlignment="1">
      <alignment vertical="top" wrapText="1"/>
    </xf>
    <xf numFmtId="3" fontId="106" fillId="0" borderId="1" xfId="0" applyFont="1" applyBorder="1" applyAlignment="1">
      <alignment horizontal="center" vertical="top" wrapText="1"/>
    </xf>
    <xf numFmtId="3" fontId="118" fillId="0" borderId="1" xfId="0" applyFont="1" applyBorder="1" applyAlignment="1">
      <alignment horizontal="left" vertical="center" wrapText="1"/>
    </xf>
    <xf numFmtId="3" fontId="106" fillId="8" borderId="2" xfId="0" applyFont="1" applyFill="1" applyBorder="1" applyAlignment="1">
      <alignment horizontal="right" vertical="top" wrapText="1"/>
    </xf>
    <xf numFmtId="3" fontId="105" fillId="0" borderId="2" xfId="0" applyFont="1" applyBorder="1" applyAlignment="1">
      <alignment horizontal="center" vertical="top" wrapText="1"/>
    </xf>
    <xf numFmtId="3" fontId="106" fillId="0" borderId="0" xfId="0" applyFont="1" applyBorder="1" applyAlignment="1">
      <alignment horizontal="center" vertical="top" wrapText="1"/>
    </xf>
    <xf numFmtId="3" fontId="105" fillId="7" borderId="2" xfId="0" applyFont="1" applyFill="1" applyBorder="1">
      <alignment horizontal="left" vertical="center" wrapText="1"/>
    </xf>
    <xf numFmtId="0" fontId="111" fillId="0" borderId="1" xfId="6" applyFont="1">
      <alignment horizontal="left" vertical="center" wrapText="1"/>
    </xf>
    <xf numFmtId="3" fontId="106" fillId="0" borderId="7" xfId="0" applyFont="1" applyBorder="1">
      <alignment horizontal="left" vertical="center" wrapText="1"/>
    </xf>
    <xf numFmtId="3" fontId="105" fillId="0" borderId="1" xfId="0" applyFont="1" applyFill="1" applyBorder="1" applyAlignment="1">
      <alignment horizontal="center"/>
    </xf>
    <xf numFmtId="3" fontId="105" fillId="0" borderId="1" xfId="0" applyFont="1" applyFill="1" applyBorder="1" applyAlignment="1">
      <alignment horizontal="center" vertical="center" wrapText="1"/>
    </xf>
    <xf numFmtId="2" fontId="106" fillId="0" borderId="1" xfId="0" applyNumberFormat="1" applyFont="1" applyBorder="1">
      <alignment horizontal="left" vertical="center" wrapText="1"/>
    </xf>
    <xf numFmtId="3" fontId="106" fillId="0" borderId="1" xfId="0" applyFont="1" applyBorder="1" applyAlignment="1">
      <alignment horizontal="center" vertical="center" wrapText="1"/>
    </xf>
    <xf numFmtId="3" fontId="106" fillId="0" borderId="0" xfId="0" applyFont="1" applyFill="1" applyBorder="1">
      <alignment horizontal="left" vertical="center" wrapText="1"/>
    </xf>
    <xf numFmtId="14" fontId="106" fillId="0" borderId="0" xfId="0" applyNumberFormat="1" applyFont="1">
      <alignment horizontal="left" vertical="center" wrapText="1"/>
    </xf>
    <xf numFmtId="3" fontId="105" fillId="7" borderId="5" xfId="0" applyFont="1" applyFill="1" applyBorder="1">
      <alignment horizontal="left" vertical="center" wrapText="1"/>
    </xf>
    <xf numFmtId="3" fontId="106" fillId="0" borderId="1" xfId="0" applyFont="1" applyBorder="1" applyAlignment="1">
      <alignment horizontal="center"/>
    </xf>
    <xf numFmtId="3" fontId="106" fillId="6" borderId="5" xfId="0" applyFont="1" applyFill="1" applyBorder="1">
      <alignment horizontal="left" vertical="center" wrapText="1"/>
    </xf>
    <xf numFmtId="3" fontId="106" fillId="0" borderId="0" xfId="0" applyFont="1" applyBorder="1" applyAlignment="1">
      <alignment horizontal="center"/>
    </xf>
    <xf numFmtId="3" fontId="106" fillId="0" borderId="1" xfId="0" applyFont="1" applyFill="1" applyBorder="1">
      <alignment horizontal="left" vertical="center" wrapText="1"/>
    </xf>
    <xf numFmtId="3" fontId="105" fillId="0" borderId="1" xfId="0" applyFont="1" applyFill="1" applyBorder="1">
      <alignment horizontal="left" vertical="center" wrapText="1"/>
    </xf>
    <xf numFmtId="3" fontId="105" fillId="0" borderId="0" xfId="0" applyFont="1" applyFill="1" applyBorder="1">
      <alignment horizontal="left" vertical="center" wrapText="1"/>
    </xf>
    <xf numFmtId="14" fontId="106" fillId="0" borderId="0" xfId="0" applyNumberFormat="1" applyFont="1" applyFill="1" applyBorder="1">
      <alignment horizontal="left" vertical="center" wrapText="1"/>
    </xf>
    <xf numFmtId="3" fontId="105" fillId="0" borderId="0" xfId="0" applyFont="1" applyFill="1" applyBorder="1" applyAlignment="1">
      <alignment horizontal="center"/>
    </xf>
    <xf numFmtId="3" fontId="106" fillId="0" borderId="0" xfId="0" applyFont="1" applyFill="1" applyBorder="1" applyAlignment="1">
      <alignment horizontal="center"/>
    </xf>
    <xf numFmtId="3" fontId="105" fillId="0" borderId="0" xfId="0" applyFont="1" applyFill="1" applyBorder="1" applyAlignment="1"/>
    <xf numFmtId="3" fontId="106" fillId="0" borderId="0" xfId="0" applyFont="1" applyFill="1" applyBorder="1" applyAlignment="1">
      <alignment vertical="center"/>
    </xf>
    <xf numFmtId="3" fontId="120" fillId="0" borderId="1" xfId="0" applyFont="1" applyBorder="1">
      <alignment horizontal="left" vertical="center" wrapText="1"/>
    </xf>
    <xf numFmtId="3" fontId="121" fillId="0" borderId="0" xfId="0" applyFont="1">
      <alignment horizontal="left" vertical="center" wrapText="1"/>
    </xf>
    <xf numFmtId="3" fontId="120" fillId="0" borderId="1" xfId="0" applyFont="1" applyBorder="1" applyAlignment="1">
      <alignment vertical="center"/>
    </xf>
    <xf numFmtId="3" fontId="121" fillId="0" borderId="0" xfId="0" applyFont="1" applyFill="1">
      <alignment horizontal="left" vertical="center" wrapText="1"/>
    </xf>
    <xf numFmtId="3" fontId="120" fillId="7" borderId="1" xfId="0" applyFont="1" applyFill="1" applyBorder="1">
      <alignment horizontal="left" vertical="center" wrapText="1"/>
    </xf>
    <xf numFmtId="3" fontId="122" fillId="9" borderId="1" xfId="0" applyFont="1" applyFill="1" applyBorder="1">
      <alignment horizontal="left" vertical="center" wrapText="1"/>
    </xf>
    <xf numFmtId="3" fontId="121" fillId="0" borderId="1" xfId="0" applyFont="1" applyBorder="1">
      <alignment horizontal="left" vertical="center" wrapText="1"/>
    </xf>
    <xf numFmtId="3" fontId="120" fillId="7" borderId="1" xfId="0" applyFont="1" applyFill="1" applyBorder="1" applyAlignment="1">
      <alignment horizontal="right" vertical="center" wrapText="1"/>
    </xf>
    <xf numFmtId="3" fontId="120" fillId="7" borderId="1" xfId="0" applyFont="1" applyFill="1" applyBorder="1" applyAlignment="1">
      <alignment horizontal="left" vertical="center" wrapText="1"/>
    </xf>
    <xf numFmtId="9" fontId="121" fillId="0" borderId="1" xfId="5" applyFont="1" applyBorder="1" applyAlignment="1">
      <alignment horizontal="left" vertical="center" wrapText="1"/>
    </xf>
    <xf numFmtId="3" fontId="123" fillId="0" borderId="1" xfId="0" applyFont="1" applyBorder="1" applyAlignment="1">
      <alignment horizontal="left" vertical="center"/>
    </xf>
    <xf numFmtId="3" fontId="122" fillId="9" borderId="1" xfId="0" applyFont="1" applyFill="1" applyBorder="1" applyAlignment="1">
      <alignment horizontal="left" vertical="center"/>
    </xf>
    <xf numFmtId="3" fontId="122" fillId="0" borderId="1" xfId="0" applyFont="1" applyFill="1" applyBorder="1">
      <alignment horizontal="left" vertical="center" wrapText="1"/>
    </xf>
    <xf numFmtId="3" fontId="121" fillId="0" borderId="1" xfId="0" applyFont="1" applyFill="1" applyBorder="1">
      <alignment horizontal="left" vertical="center" wrapText="1"/>
    </xf>
    <xf numFmtId="170" fontId="121" fillId="0" borderId="1" xfId="0" applyNumberFormat="1" applyFont="1" applyBorder="1">
      <alignment horizontal="left" vertical="center" wrapText="1"/>
    </xf>
    <xf numFmtId="9" fontId="121" fillId="0" borderId="1" xfId="5" applyFont="1" applyFill="1" applyBorder="1" applyAlignment="1">
      <alignment horizontal="left" vertical="center" wrapText="1"/>
    </xf>
    <xf numFmtId="9" fontId="123" fillId="0" borderId="1" xfId="5" applyFont="1" applyFill="1" applyBorder="1" applyAlignment="1">
      <alignment horizontal="left" vertical="center"/>
    </xf>
    <xf numFmtId="164" fontId="121" fillId="0" borderId="1" xfId="5" applyNumberFormat="1" applyFont="1" applyBorder="1" applyAlignment="1">
      <alignment horizontal="left" vertical="center" wrapText="1"/>
    </xf>
    <xf numFmtId="4" fontId="121" fillId="0" borderId="1" xfId="0" applyNumberFormat="1" applyFont="1" applyBorder="1">
      <alignment horizontal="left" vertical="center" wrapText="1"/>
    </xf>
    <xf numFmtId="3" fontId="124" fillId="7" borderId="1" xfId="0" applyFont="1" applyFill="1" applyBorder="1">
      <alignment horizontal="left" vertical="center" wrapText="1"/>
    </xf>
    <xf numFmtId="3" fontId="121" fillId="7" borderId="1" xfId="0" applyFont="1" applyFill="1" applyBorder="1">
      <alignment horizontal="left" vertical="center" wrapText="1"/>
    </xf>
    <xf numFmtId="164" fontId="125" fillId="7" borderId="1" xfId="0" applyNumberFormat="1" applyFont="1" applyFill="1" applyBorder="1">
      <alignment horizontal="left" vertical="center" wrapText="1"/>
    </xf>
    <xf numFmtId="164" fontId="124" fillId="7" borderId="1" xfId="0" applyNumberFormat="1" applyFont="1" applyFill="1" applyBorder="1">
      <alignment horizontal="left" vertical="center" wrapText="1"/>
    </xf>
    <xf numFmtId="3" fontId="121" fillId="0" borderId="8" xfId="0" applyFont="1" applyBorder="1">
      <alignment horizontal="left" vertical="center" wrapText="1"/>
    </xf>
    <xf numFmtId="3" fontId="122" fillId="7" borderId="7" xfId="0" applyFont="1" applyFill="1" applyBorder="1" applyAlignment="1"/>
    <xf numFmtId="3" fontId="122" fillId="7" borderId="13" xfId="0" applyFont="1" applyFill="1" applyBorder="1" applyAlignment="1"/>
    <xf numFmtId="3" fontId="122" fillId="7" borderId="5" xfId="0" applyFont="1" applyFill="1" applyBorder="1" applyAlignment="1"/>
    <xf numFmtId="3" fontId="122" fillId="0" borderId="1" xfId="0" applyFont="1" applyFill="1" applyBorder="1" applyAlignment="1"/>
    <xf numFmtId="3" fontId="120" fillId="0" borderId="1" xfId="0" applyFont="1" applyBorder="1" applyAlignment="1">
      <alignment vertical="top" wrapText="1"/>
    </xf>
    <xf numFmtId="14" fontId="120" fillId="0" borderId="1" xfId="0" applyNumberFormat="1" applyFont="1" applyBorder="1" applyAlignment="1">
      <alignment vertical="top" wrapText="1"/>
    </xf>
    <xf numFmtId="3" fontId="120" fillId="0" borderId="1" xfId="0" applyFont="1" applyFill="1" applyBorder="1" applyAlignment="1">
      <alignment vertical="top" wrapText="1"/>
    </xf>
    <xf numFmtId="1" fontId="122" fillId="0" borderId="1" xfId="0" applyNumberFormat="1" applyFont="1" applyFill="1" applyBorder="1" applyAlignment="1">
      <alignment vertical="top" wrapText="1"/>
    </xf>
    <xf numFmtId="3" fontId="122" fillId="0" borderId="1" xfId="0" applyFont="1" applyBorder="1" applyAlignment="1">
      <alignment vertical="top" wrapText="1"/>
    </xf>
    <xf numFmtId="3" fontId="122" fillId="0" borderId="1" xfId="0" applyFont="1" applyFill="1" applyBorder="1" applyAlignment="1">
      <alignment vertical="top" wrapText="1"/>
    </xf>
    <xf numFmtId="3" fontId="121" fillId="0" borderId="1" xfId="0" applyFont="1" applyBorder="1" applyAlignment="1">
      <alignment vertical="top" wrapText="1"/>
    </xf>
    <xf numFmtId="177" fontId="120" fillId="0" borderId="1" xfId="0" applyNumberFormat="1" applyFont="1" applyBorder="1" applyAlignment="1">
      <alignment vertical="top" wrapText="1"/>
    </xf>
    <xf numFmtId="1" fontId="120" fillId="0" borderId="1" xfId="0" applyNumberFormat="1" applyFont="1" applyFill="1" applyBorder="1" applyAlignment="1">
      <alignment vertical="top" wrapText="1"/>
    </xf>
    <xf numFmtId="177" fontId="121" fillId="0" borderId="1" xfId="0" applyNumberFormat="1" applyFont="1" applyBorder="1" applyAlignment="1">
      <alignment vertical="top" wrapText="1"/>
    </xf>
    <xf numFmtId="177" fontId="121" fillId="0" borderId="1" xfId="0" applyNumberFormat="1" applyFont="1" applyFill="1" applyBorder="1" applyAlignment="1">
      <alignment vertical="top" wrapText="1"/>
    </xf>
    <xf numFmtId="177" fontId="120" fillId="0" borderId="1" xfId="0" applyNumberFormat="1" applyFont="1" applyFill="1" applyBorder="1" applyAlignment="1">
      <alignment vertical="top" wrapText="1"/>
    </xf>
    <xf numFmtId="3" fontId="126" fillId="6" borderId="1" xfId="0" applyFont="1" applyFill="1" applyBorder="1" applyAlignment="1">
      <alignment vertical="center" wrapText="1"/>
    </xf>
    <xf numFmtId="3" fontId="122" fillId="9" borderId="1" xfId="0" applyFont="1" applyFill="1" applyBorder="1" applyAlignment="1">
      <alignment horizontal="left" wrapText="1"/>
    </xf>
    <xf numFmtId="3" fontId="121" fillId="9" borderId="1" xfId="0" applyFont="1" applyFill="1" applyBorder="1">
      <alignment horizontal="left" vertical="center" wrapText="1"/>
    </xf>
    <xf numFmtId="177" fontId="122" fillId="0" borderId="13" xfId="0" applyNumberFormat="1" applyFont="1" applyFill="1" applyBorder="1" applyAlignment="1">
      <alignment vertical="top"/>
    </xf>
    <xf numFmtId="177" fontId="122" fillId="0" borderId="5" xfId="0" applyNumberFormat="1" applyFont="1" applyFill="1" applyBorder="1" applyAlignment="1">
      <alignment vertical="top"/>
    </xf>
    <xf numFmtId="177" fontId="122" fillId="0" borderId="1" xfId="0" applyNumberFormat="1" applyFont="1" applyBorder="1" applyAlignment="1">
      <alignment vertical="top" wrapText="1"/>
    </xf>
    <xf numFmtId="3" fontId="121" fillId="0" borderId="1" xfId="0" applyFont="1" applyFill="1" applyBorder="1" applyAlignment="1">
      <alignment vertical="top" wrapText="1"/>
    </xf>
    <xf numFmtId="9" fontId="121" fillId="0" borderId="0" xfId="5" applyFont="1" applyAlignment="1">
      <alignment horizontal="left" vertical="center" wrapText="1"/>
    </xf>
    <xf numFmtId="177" fontId="122" fillId="7" borderId="7" xfId="0" applyNumberFormat="1" applyFont="1" applyFill="1" applyBorder="1" applyAlignment="1">
      <alignment vertical="top"/>
    </xf>
    <xf numFmtId="177" fontId="120" fillId="7" borderId="1" xfId="0" applyNumberFormat="1" applyFont="1" applyFill="1" applyBorder="1" applyAlignment="1">
      <alignment vertical="top" wrapText="1"/>
    </xf>
    <xf numFmtId="177" fontId="122" fillId="7" borderId="1" xfId="0" applyNumberFormat="1" applyFont="1" applyFill="1" applyBorder="1" applyAlignment="1">
      <alignment vertical="top"/>
    </xf>
    <xf numFmtId="177" fontId="122" fillId="0" borderId="1" xfId="0" applyNumberFormat="1" applyFont="1" applyFill="1" applyBorder="1" applyAlignment="1">
      <alignment vertical="top"/>
    </xf>
    <xf numFmtId="1" fontId="122" fillId="0" borderId="1" xfId="0" applyNumberFormat="1" applyFont="1" applyBorder="1" applyAlignment="1">
      <alignment vertical="top" wrapText="1"/>
    </xf>
    <xf numFmtId="1" fontId="120" fillId="0" borderId="1" xfId="0" applyNumberFormat="1" applyFont="1" applyBorder="1" applyAlignment="1">
      <alignment vertical="top" wrapText="1"/>
    </xf>
    <xf numFmtId="3" fontId="121" fillId="7" borderId="1" xfId="0" applyFont="1" applyFill="1" applyBorder="1" applyAlignment="1">
      <alignment vertical="top" wrapText="1"/>
    </xf>
    <xf numFmtId="1" fontId="120" fillId="7" borderId="1" xfId="0" applyNumberFormat="1" applyFont="1" applyFill="1" applyBorder="1" applyAlignment="1">
      <alignment vertical="top" wrapText="1"/>
    </xf>
    <xf numFmtId="177" fontId="122" fillId="7" borderId="1" xfId="0" applyNumberFormat="1" applyFont="1" applyFill="1" applyBorder="1" applyAlignment="1">
      <alignment vertical="top" wrapText="1"/>
    </xf>
    <xf numFmtId="3" fontId="120" fillId="7" borderId="0" xfId="0" applyFont="1" applyFill="1" applyBorder="1" applyAlignment="1">
      <alignment horizontal="right" vertical="center" wrapText="1"/>
    </xf>
    <xf numFmtId="3" fontId="121" fillId="0" borderId="1" xfId="0" applyFont="1" applyBorder="1" applyAlignment="1">
      <alignment vertical="center" wrapText="1"/>
    </xf>
    <xf numFmtId="3" fontId="121" fillId="0" borderId="0" xfId="0" applyFont="1" applyAlignment="1">
      <alignment vertical="top" wrapText="1"/>
    </xf>
    <xf numFmtId="3" fontId="121" fillId="0" borderId="7" xfId="0" applyFont="1" applyFill="1" applyBorder="1" applyAlignment="1">
      <alignment vertical="top" wrapText="1"/>
    </xf>
    <xf numFmtId="177" fontId="122" fillId="7" borderId="13" xfId="0" applyNumberFormat="1" applyFont="1" applyFill="1" applyBorder="1" applyAlignment="1">
      <alignment vertical="top"/>
    </xf>
    <xf numFmtId="177" fontId="122" fillId="7" borderId="5" xfId="0" applyNumberFormat="1" applyFont="1" applyFill="1" applyBorder="1" applyAlignment="1">
      <alignment vertical="top"/>
    </xf>
    <xf numFmtId="177" fontId="122" fillId="0" borderId="8" xfId="0" applyNumberFormat="1" applyFont="1" applyBorder="1" applyAlignment="1">
      <alignment vertical="top" wrapText="1"/>
    </xf>
    <xf numFmtId="177" fontId="122" fillId="0" borderId="1" xfId="0" applyNumberFormat="1" applyFont="1" applyFill="1" applyBorder="1" applyAlignment="1">
      <alignment vertical="top" wrapText="1"/>
    </xf>
    <xf numFmtId="0" fontId="120" fillId="0" borderId="1" xfId="0" applyNumberFormat="1" applyFont="1" applyBorder="1" applyAlignment="1">
      <alignment vertical="top" wrapText="1"/>
    </xf>
    <xf numFmtId="177" fontId="120" fillId="0" borderId="7" xfId="0" applyNumberFormat="1" applyFont="1" applyBorder="1" applyAlignment="1">
      <alignment vertical="top" wrapText="1"/>
    </xf>
    <xf numFmtId="3" fontId="121" fillId="0" borderId="11" xfId="0" applyFont="1" applyFill="1" applyBorder="1" applyAlignment="1">
      <alignment vertical="top" wrapText="1"/>
    </xf>
    <xf numFmtId="3" fontId="127" fillId="0" borderId="1" xfId="0" applyFont="1" applyBorder="1" applyAlignment="1">
      <alignment vertical="top" wrapText="1"/>
    </xf>
    <xf numFmtId="3" fontId="121" fillId="0" borderId="13" xfId="0" applyFont="1" applyFill="1" applyBorder="1" applyAlignment="1">
      <alignment vertical="top" wrapText="1"/>
    </xf>
    <xf numFmtId="3" fontId="121" fillId="0" borderId="5" xfId="0" applyFont="1" applyFill="1" applyBorder="1" applyAlignment="1">
      <alignment vertical="top" wrapText="1"/>
    </xf>
    <xf numFmtId="3" fontId="128" fillId="0" borderId="0" xfId="0" applyFont="1">
      <alignment horizontal="left" vertical="center" wrapText="1"/>
    </xf>
    <xf numFmtId="3" fontId="129" fillId="0" borderId="0" xfId="0" applyFont="1">
      <alignment horizontal="left" vertical="center" wrapText="1"/>
    </xf>
    <xf numFmtId="3" fontId="130" fillId="0" borderId="0" xfId="0" applyFont="1">
      <alignment horizontal="left" vertical="center" wrapText="1"/>
    </xf>
    <xf numFmtId="0" fontId="128" fillId="0" borderId="0" xfId="0" applyNumberFormat="1" applyFont="1" applyAlignment="1"/>
    <xf numFmtId="0" fontId="128" fillId="0" borderId="1" xfId="0" applyNumberFormat="1" applyFont="1" applyBorder="1" applyAlignment="1"/>
    <xf numFmtId="0" fontId="128" fillId="0" borderId="0" xfId="0" applyNumberFormat="1" applyFont="1" applyAlignment="1">
      <alignment horizontal="center" vertical="center" wrapText="1"/>
    </xf>
    <xf numFmtId="3" fontId="128" fillId="0" borderId="1" xfId="0" applyFont="1" applyBorder="1">
      <alignment horizontal="left" vertical="center" wrapText="1"/>
    </xf>
    <xf numFmtId="3" fontId="128" fillId="0" borderId="1" xfId="0" applyFont="1" applyFill="1" applyBorder="1">
      <alignment horizontal="left" vertical="center" wrapText="1"/>
    </xf>
    <xf numFmtId="3" fontId="128" fillId="0" borderId="14" xfId="0" applyFont="1" applyFill="1" applyBorder="1">
      <alignment horizontal="left" vertical="center" wrapText="1"/>
    </xf>
    <xf numFmtId="3" fontId="129" fillId="7" borderId="1" xfId="0" applyFont="1" applyFill="1" applyBorder="1">
      <alignment horizontal="left" vertical="center" wrapText="1"/>
    </xf>
    <xf numFmtId="3" fontId="129" fillId="7" borderId="1" xfId="0" applyFont="1" applyFill="1" applyBorder="1" applyAlignment="1">
      <alignment horizontal="center"/>
    </xf>
    <xf numFmtId="3" fontId="128" fillId="7" borderId="1" xfId="0" applyFont="1" applyFill="1" applyBorder="1">
      <alignment horizontal="left" vertical="center" wrapText="1"/>
    </xf>
    <xf numFmtId="3" fontId="128" fillId="7" borderId="1" xfId="0" applyFont="1" applyFill="1" applyBorder="1" applyAlignment="1">
      <alignment horizontal="left"/>
    </xf>
    <xf numFmtId="0" fontId="128" fillId="0" borderId="0" xfId="0" applyNumberFormat="1" applyFont="1" applyBorder="1" applyAlignment="1"/>
    <xf numFmtId="0" fontId="128" fillId="7" borderId="1" xfId="0" applyNumberFormat="1" applyFont="1" applyFill="1" applyBorder="1" applyAlignment="1"/>
    <xf numFmtId="0" fontId="130" fillId="7" borderId="1" xfId="0" applyNumberFormat="1" applyFont="1" applyFill="1" applyBorder="1" applyAlignment="1"/>
    <xf numFmtId="3" fontId="128" fillId="0" borderId="7" xfId="0" applyFont="1" applyBorder="1">
      <alignment horizontal="left" vertical="center" wrapText="1"/>
    </xf>
    <xf numFmtId="3" fontId="128" fillId="0" borderId="1" xfId="0" applyFont="1" applyBorder="1" applyAlignment="1">
      <alignment horizontal="center" vertical="center" wrapText="1"/>
    </xf>
    <xf numFmtId="3" fontId="128" fillId="0" borderId="1" xfId="0" applyFont="1" applyFill="1" applyBorder="1" applyAlignment="1">
      <alignment horizontal="center" vertical="center" wrapText="1"/>
    </xf>
    <xf numFmtId="182" fontId="128" fillId="0" borderId="1" xfId="0" applyNumberFormat="1" applyFont="1" applyBorder="1" applyAlignment="1">
      <alignment horizontal="center" vertical="center" wrapText="1"/>
    </xf>
    <xf numFmtId="3" fontId="129" fillId="0" borderId="1" xfId="0" applyFont="1" applyBorder="1" applyAlignment="1">
      <alignment horizontal="center"/>
    </xf>
    <xf numFmtId="174" fontId="130" fillId="0" borderId="1" xfId="0" applyNumberFormat="1" applyFont="1" applyBorder="1">
      <alignment horizontal="left" vertical="center" wrapText="1"/>
    </xf>
    <xf numFmtId="170" fontId="130" fillId="0" borderId="1" xfId="0" applyNumberFormat="1" applyFont="1" applyBorder="1" applyAlignment="1">
      <alignment horizontal="center"/>
    </xf>
    <xf numFmtId="170" fontId="130" fillId="0" borderId="1" xfId="0" applyNumberFormat="1" applyFont="1" applyBorder="1" applyAlignment="1">
      <alignment horizontal="center" vertical="center"/>
    </xf>
    <xf numFmtId="4" fontId="130" fillId="0" borderId="1" xfId="0" applyNumberFormat="1" applyFont="1" applyBorder="1" applyAlignment="1">
      <alignment horizontal="center" vertical="center"/>
    </xf>
    <xf numFmtId="170" fontId="130" fillId="6" borderId="1" xfId="0" applyNumberFormat="1" applyFont="1" applyFill="1" applyBorder="1">
      <alignment horizontal="left" vertical="center" wrapText="1"/>
    </xf>
    <xf numFmtId="170" fontId="130" fillId="0" borderId="1" xfId="0" applyNumberFormat="1" applyFont="1" applyBorder="1">
      <alignment horizontal="left" vertical="center" wrapText="1"/>
    </xf>
    <xf numFmtId="3" fontId="131" fillId="0" borderId="1" xfId="0" applyFont="1" applyBorder="1" applyAlignment="1">
      <alignment horizontal="left"/>
    </xf>
    <xf numFmtId="0" fontId="128" fillId="7" borderId="1" xfId="0" applyNumberFormat="1" applyFont="1" applyFill="1" applyBorder="1" applyAlignment="1">
      <alignment horizontal="center"/>
    </xf>
    <xf numFmtId="4" fontId="128" fillId="0" borderId="0" xfId="0" applyNumberFormat="1" applyFont="1">
      <alignment horizontal="left" vertical="center" wrapText="1"/>
    </xf>
    <xf numFmtId="0" fontId="132" fillId="7" borderId="1" xfId="0" applyNumberFormat="1" applyFont="1" applyFill="1" applyBorder="1" applyAlignment="1"/>
    <xf numFmtId="4" fontId="128" fillId="0" borderId="1" xfId="0" applyNumberFormat="1" applyFont="1" applyBorder="1" applyAlignment="1">
      <alignment horizontal="center" vertical="center" wrapText="1"/>
    </xf>
    <xf numFmtId="182" fontId="128" fillId="0" borderId="1" xfId="0" applyNumberFormat="1" applyFont="1" applyBorder="1" applyAlignment="1">
      <alignment horizontal="center" wrapText="1"/>
    </xf>
    <xf numFmtId="3" fontId="130" fillId="0" borderId="1" xfId="0" applyFont="1" applyBorder="1">
      <alignment horizontal="left" vertical="center" wrapText="1"/>
    </xf>
    <xf numFmtId="3" fontId="130" fillId="0" borderId="0" xfId="0" applyFont="1" applyBorder="1">
      <alignment horizontal="left" vertical="center" wrapText="1"/>
    </xf>
    <xf numFmtId="170" fontId="130" fillId="0" borderId="0" xfId="0" applyNumberFormat="1" applyFont="1">
      <alignment horizontal="left" vertical="center" wrapText="1"/>
    </xf>
    <xf numFmtId="0" fontId="128" fillId="0" borderId="7" xfId="0" applyNumberFormat="1" applyFont="1" applyBorder="1" applyAlignment="1"/>
    <xf numFmtId="0" fontId="128" fillId="0" borderId="1" xfId="0" applyNumberFormat="1" applyFont="1" applyBorder="1" applyAlignment="1">
      <alignment horizontal="center" vertical="center"/>
    </xf>
    <xf numFmtId="181" fontId="128" fillId="0" borderId="1" xfId="0" applyNumberFormat="1" applyFont="1" applyBorder="1" applyAlignment="1">
      <alignment horizontal="center" vertical="center"/>
    </xf>
    <xf numFmtId="2" fontId="128" fillId="0" borderId="1" xfId="0" applyNumberFormat="1" applyFont="1" applyBorder="1" applyAlignment="1">
      <alignment horizontal="center" vertical="center"/>
    </xf>
    <xf numFmtId="4" fontId="133" fillId="0" borderId="0" xfId="8" applyNumberFormat="1" applyFont="1" applyFill="1" applyAlignment="1">
      <alignment horizontal="left" vertical="center" wrapText="1"/>
    </xf>
    <xf numFmtId="0" fontId="128" fillId="0" borderId="0" xfId="0" applyNumberFormat="1" applyFont="1">
      <alignment horizontal="left" vertical="center" wrapText="1"/>
    </xf>
    <xf numFmtId="178" fontId="128" fillId="0" borderId="0" xfId="0" applyNumberFormat="1" applyFont="1">
      <alignment horizontal="left" vertical="center" wrapText="1"/>
    </xf>
    <xf numFmtId="4" fontId="130" fillId="0" borderId="0" xfId="0" applyNumberFormat="1" applyFont="1">
      <alignment horizontal="left" vertical="center" wrapText="1"/>
    </xf>
    <xf numFmtId="4" fontId="128" fillId="0" borderId="0" xfId="0" applyNumberFormat="1" applyFont="1" applyFill="1">
      <alignment horizontal="left" vertical="center" wrapText="1"/>
    </xf>
    <xf numFmtId="0" fontId="128" fillId="0" borderId="1" xfId="0" applyNumberFormat="1" applyFont="1" applyFill="1" applyBorder="1" applyAlignment="1">
      <alignment horizontal="center" vertical="center"/>
    </xf>
    <xf numFmtId="179" fontId="128" fillId="0" borderId="1" xfId="0" applyNumberFormat="1" applyFont="1" applyFill="1" applyBorder="1" applyAlignment="1">
      <alignment horizontal="center" vertical="center"/>
    </xf>
    <xf numFmtId="3" fontId="134" fillId="0" borderId="1" xfId="0" applyFont="1" applyBorder="1">
      <alignment horizontal="left" vertical="center" wrapText="1"/>
    </xf>
    <xf numFmtId="3" fontId="134" fillId="0" borderId="1" xfId="0" applyFont="1" applyBorder="1" applyAlignment="1">
      <alignment horizontal="left" wrapText="1"/>
    </xf>
    <xf numFmtId="0" fontId="128" fillId="0" borderId="1" xfId="0" applyNumberFormat="1" applyFont="1" applyFill="1" applyBorder="1" applyAlignment="1"/>
    <xf numFmtId="181" fontId="128" fillId="0" borderId="1" xfId="0" applyNumberFormat="1" applyFont="1" applyFill="1" applyBorder="1" applyAlignment="1">
      <alignment horizontal="center" vertical="center"/>
    </xf>
    <xf numFmtId="2" fontId="128" fillId="0" borderId="1" xfId="0" applyNumberFormat="1" applyFont="1" applyBorder="1" applyAlignment="1">
      <alignment horizontal="center" vertical="center" wrapText="1"/>
    </xf>
    <xf numFmtId="3" fontId="129" fillId="0" borderId="5" xfId="0" applyFont="1" applyBorder="1" applyAlignment="1">
      <alignment horizontal="center"/>
    </xf>
    <xf numFmtId="9" fontId="128" fillId="0" borderId="1" xfId="5" applyFont="1" applyBorder="1" applyAlignment="1">
      <alignment horizontal="left"/>
    </xf>
    <xf numFmtId="178" fontId="128" fillId="0" borderId="1" xfId="0" applyNumberFormat="1" applyFont="1" applyBorder="1" applyAlignment="1">
      <alignment horizontal="center" vertical="center" wrapText="1"/>
    </xf>
    <xf numFmtId="185" fontId="128" fillId="0" borderId="1" xfId="0" applyNumberFormat="1" applyFont="1" applyBorder="1" applyAlignment="1">
      <alignment horizontal="center" vertical="center" wrapText="1"/>
    </xf>
    <xf numFmtId="184" fontId="128" fillId="0" borderId="1" xfId="0" applyNumberFormat="1" applyFont="1" applyBorder="1">
      <alignment horizontal="left" vertical="center" wrapText="1"/>
    </xf>
    <xf numFmtId="170" fontId="128" fillId="0" borderId="1" xfId="0" applyNumberFormat="1" applyFont="1" applyBorder="1" applyAlignment="1">
      <alignment horizontal="center" vertical="center" wrapText="1"/>
    </xf>
    <xf numFmtId="170" fontId="130" fillId="0" borderId="10" xfId="0" applyNumberFormat="1" applyFont="1" applyFill="1" applyBorder="1" applyAlignment="1">
      <alignment horizontal="center"/>
    </xf>
    <xf numFmtId="178" fontId="128" fillId="0" borderId="1" xfId="0" applyNumberFormat="1" applyFont="1" applyFill="1" applyBorder="1" applyAlignment="1">
      <alignment horizontal="center" vertical="center"/>
    </xf>
    <xf numFmtId="3" fontId="128" fillId="7" borderId="1" xfId="0" applyFont="1" applyFill="1" applyBorder="1" applyAlignment="1">
      <alignment horizontal="center" vertical="center" wrapText="1"/>
    </xf>
    <xf numFmtId="20" fontId="130" fillId="0" borderId="1" xfId="0" applyNumberFormat="1" applyFont="1" applyBorder="1">
      <alignment horizontal="left" vertical="center" wrapText="1"/>
    </xf>
    <xf numFmtId="3" fontId="132" fillId="0" borderId="0" xfId="0" applyFont="1">
      <alignment horizontal="left" vertical="center" wrapText="1"/>
    </xf>
    <xf numFmtId="0" fontId="135" fillId="7" borderId="1" xfId="0" applyNumberFormat="1" applyFont="1" applyFill="1" applyBorder="1" applyAlignment="1"/>
    <xf numFmtId="9" fontId="128" fillId="0" borderId="1" xfId="5" applyNumberFormat="1" applyFont="1" applyBorder="1" applyAlignment="1">
      <alignment horizontal="center" vertical="center" wrapText="1"/>
    </xf>
    <xf numFmtId="183" fontId="128" fillId="0" borderId="1" xfId="5" applyNumberFormat="1" applyFont="1" applyBorder="1" applyAlignment="1">
      <alignment horizontal="center" vertical="center" wrapText="1"/>
    </xf>
    <xf numFmtId="0" fontId="128" fillId="7" borderId="7" xfId="0" applyNumberFormat="1" applyFont="1" applyFill="1" applyBorder="1" applyAlignment="1">
      <alignment vertical="center"/>
    </xf>
    <xf numFmtId="3" fontId="132" fillId="7" borderId="1" xfId="0" applyFont="1" applyFill="1" applyBorder="1">
      <alignment horizontal="left" vertical="center" wrapText="1"/>
    </xf>
    <xf numFmtId="3" fontId="134" fillId="7" borderId="1" xfId="0" applyFont="1" applyFill="1" applyBorder="1">
      <alignment horizontal="left" vertical="center" wrapText="1"/>
    </xf>
    <xf numFmtId="3" fontId="132" fillId="7" borderId="8" xfId="0" applyFont="1" applyFill="1" applyBorder="1" applyAlignment="1">
      <alignment vertical="center" wrapText="1"/>
    </xf>
    <xf numFmtId="170" fontId="130" fillId="0" borderId="1" xfId="0" applyNumberFormat="1" applyFont="1" applyBorder="1" applyAlignment="1">
      <alignment horizontal="center" vertical="center" wrapText="1"/>
    </xf>
    <xf numFmtId="4" fontId="130" fillId="0" borderId="1" xfId="0" applyNumberFormat="1" applyFont="1" applyBorder="1" applyAlignment="1">
      <alignment horizontal="center" vertical="center" wrapText="1"/>
    </xf>
    <xf numFmtId="0" fontId="128" fillId="0" borderId="7" xfId="0" applyNumberFormat="1" applyFont="1" applyBorder="1" applyAlignment="1">
      <alignment horizontal="center" vertical="center"/>
    </xf>
    <xf numFmtId="179" fontId="128" fillId="0" borderId="1" xfId="0" applyNumberFormat="1" applyFont="1" applyBorder="1" applyAlignment="1">
      <alignment horizontal="center" vertical="center"/>
    </xf>
    <xf numFmtId="3" fontId="129" fillId="0" borderId="5" xfId="0" applyFont="1" applyFill="1" applyBorder="1" applyAlignment="1">
      <alignment horizontal="center" vertical="center" wrapText="1"/>
    </xf>
    <xf numFmtId="3" fontId="129" fillId="0" borderId="1" xfId="0" applyFont="1" applyFill="1" applyBorder="1" applyAlignment="1">
      <alignment horizontal="center"/>
    </xf>
    <xf numFmtId="170" fontId="129" fillId="0" borderId="1" xfId="0" applyNumberFormat="1" applyFont="1" applyFill="1" applyBorder="1" applyAlignment="1">
      <alignment horizontal="center" vertical="center"/>
    </xf>
    <xf numFmtId="170" fontId="129" fillId="0" borderId="1" xfId="0" applyNumberFormat="1" applyFont="1" applyFill="1" applyBorder="1" applyAlignment="1">
      <alignment horizontal="center"/>
    </xf>
    <xf numFmtId="4" fontId="129" fillId="0" borderId="1" xfId="0" applyNumberFormat="1" applyFont="1" applyFill="1" applyBorder="1" applyAlignment="1">
      <alignment horizontal="center" vertical="center"/>
    </xf>
    <xf numFmtId="3" fontId="129" fillId="0" borderId="1" xfId="0" applyFont="1" applyFill="1" applyBorder="1">
      <alignment horizontal="left" vertical="center" wrapText="1"/>
    </xf>
    <xf numFmtId="179" fontId="128" fillId="0" borderId="1" xfId="0" applyNumberFormat="1" applyFont="1" applyBorder="1" applyAlignment="1">
      <alignment horizontal="center" vertical="center" wrapText="1"/>
    </xf>
    <xf numFmtId="3" fontId="129" fillId="0" borderId="5" xfId="0" applyFont="1" applyFill="1" applyBorder="1" applyAlignment="1">
      <alignment horizontal="center"/>
    </xf>
    <xf numFmtId="174" fontId="130" fillId="0" borderId="1" xfId="0" applyNumberFormat="1" applyFont="1" applyFill="1" applyBorder="1">
      <alignment horizontal="left" vertical="center" wrapText="1"/>
    </xf>
    <xf numFmtId="170" fontId="130" fillId="0" borderId="1" xfId="0" applyNumberFormat="1" applyFont="1" applyFill="1" applyBorder="1" applyAlignment="1">
      <alignment horizontal="center"/>
    </xf>
    <xf numFmtId="4" fontId="130" fillId="0" borderId="1" xfId="0" applyNumberFormat="1" applyFont="1" applyFill="1" applyBorder="1" applyAlignment="1">
      <alignment horizontal="center"/>
    </xf>
    <xf numFmtId="4" fontId="130" fillId="0" borderId="1" xfId="0" applyNumberFormat="1" applyFont="1" applyFill="1" applyBorder="1">
      <alignment horizontal="left" vertical="center" wrapText="1"/>
    </xf>
    <xf numFmtId="4" fontId="130" fillId="0" borderId="1" xfId="0" applyNumberFormat="1" applyFont="1" applyBorder="1" applyAlignment="1">
      <alignment horizontal="center"/>
    </xf>
    <xf numFmtId="179" fontId="128" fillId="0" borderId="7" xfId="0" applyNumberFormat="1" applyFont="1" applyBorder="1" applyAlignment="1">
      <alignment horizontal="center" vertical="center"/>
    </xf>
    <xf numFmtId="178" fontId="128" fillId="0" borderId="1" xfId="0" applyNumberFormat="1" applyFont="1" applyBorder="1" applyAlignment="1">
      <alignment horizontal="center" vertical="center"/>
    </xf>
    <xf numFmtId="183" fontId="128" fillId="0" borderId="1" xfId="5" applyNumberFormat="1" applyFont="1" applyBorder="1" applyAlignment="1">
      <alignment horizontal="left" vertical="center" wrapText="1"/>
    </xf>
    <xf numFmtId="3" fontId="128" fillId="0" borderId="0" xfId="0" applyFont="1" applyBorder="1">
      <alignment horizontal="left" vertical="center" wrapText="1"/>
    </xf>
    <xf numFmtId="3" fontId="131" fillId="0" borderId="0" xfId="0" applyFont="1" applyBorder="1" applyAlignment="1">
      <alignment horizontal="left"/>
    </xf>
    <xf numFmtId="0" fontId="136" fillId="0" borderId="2" xfId="0" applyNumberFormat="1" applyFont="1" applyBorder="1" applyAlignment="1">
      <alignment horizontal="center" vertical="center"/>
    </xf>
    <xf numFmtId="0" fontId="136" fillId="0" borderId="2" xfId="0" applyNumberFormat="1" applyFont="1" applyFill="1" applyBorder="1" applyAlignment="1">
      <alignment horizontal="center" vertical="center"/>
    </xf>
    <xf numFmtId="0" fontId="136" fillId="0" borderId="2" xfId="0" applyNumberFormat="1" applyFont="1" applyBorder="1" applyAlignment="1">
      <alignment horizontal="center" vertical="center" wrapText="1"/>
    </xf>
    <xf numFmtId="0" fontId="137" fillId="0" borderId="1" xfId="0" applyNumberFormat="1" applyFont="1" applyBorder="1" applyAlignment="1"/>
    <xf numFmtId="0" fontId="137" fillId="0" borderId="1" xfId="0" applyNumberFormat="1" applyFont="1" applyBorder="1" applyAlignment="1">
      <alignment horizontal="center"/>
    </xf>
    <xf numFmtId="0" fontId="137" fillId="0" borderId="1" xfId="0" applyNumberFormat="1" applyFont="1" applyFill="1" applyBorder="1" applyAlignment="1"/>
    <xf numFmtId="0" fontId="137" fillId="0" borderId="1" xfId="0" applyNumberFormat="1" applyFont="1" applyFill="1" applyBorder="1" applyAlignment="1">
      <alignment horizontal="center"/>
    </xf>
    <xf numFmtId="0" fontId="128" fillId="0" borderId="0" xfId="0" applyNumberFormat="1" applyFont="1" applyFill="1" applyBorder="1" applyAlignment="1">
      <alignment vertical="center"/>
    </xf>
    <xf numFmtId="0" fontId="128" fillId="7" borderId="2" xfId="0" applyNumberFormat="1" applyFont="1" applyFill="1" applyBorder="1" applyAlignment="1">
      <alignment horizontal="center" vertical="center"/>
    </xf>
    <xf numFmtId="0" fontId="128" fillId="7" borderId="1" xfId="0" applyNumberFormat="1" applyFont="1" applyFill="1" applyBorder="1" applyAlignment="1">
      <alignment horizontal="center" vertical="center"/>
    </xf>
    <xf numFmtId="2" fontId="128" fillId="0" borderId="1" xfId="0" applyNumberFormat="1" applyFont="1" applyFill="1" applyBorder="1" applyAlignment="1">
      <alignment horizontal="center" vertical="center"/>
    </xf>
    <xf numFmtId="4" fontId="128" fillId="0" borderId="1" xfId="0" applyNumberFormat="1" applyFont="1" applyBorder="1">
      <alignment horizontal="left" vertical="center" wrapText="1"/>
    </xf>
    <xf numFmtId="0" fontId="128" fillId="7" borderId="7" xfId="0" applyNumberFormat="1" applyFont="1" applyFill="1" applyBorder="1" applyAlignment="1"/>
    <xf numFmtId="170" fontId="130" fillId="0" borderId="1" xfId="0" applyNumberFormat="1" applyFont="1" applyBorder="1" applyAlignment="1">
      <alignment vertical="center"/>
    </xf>
    <xf numFmtId="4" fontId="130" fillId="0" borderId="1" xfId="0" applyNumberFormat="1" applyFont="1" applyBorder="1" applyAlignment="1">
      <alignment vertical="center"/>
    </xf>
    <xf numFmtId="4" fontId="130" fillId="6" borderId="1" xfId="0" applyNumberFormat="1" applyFont="1" applyFill="1" applyBorder="1">
      <alignment horizontal="left" vertical="center" wrapText="1"/>
    </xf>
    <xf numFmtId="4" fontId="130" fillId="0" borderId="1" xfId="0" applyNumberFormat="1" applyFont="1" applyBorder="1">
      <alignment horizontal="left" vertical="center" wrapText="1"/>
    </xf>
    <xf numFmtId="4" fontId="128" fillId="0" borderId="1" xfId="0" applyNumberFormat="1" applyFont="1" applyFill="1" applyBorder="1" applyAlignment="1">
      <alignment horizontal="center" vertical="center" wrapText="1"/>
    </xf>
    <xf numFmtId="0" fontId="128" fillId="0" borderId="0" xfId="0" applyNumberFormat="1" applyFont="1" applyFill="1" applyBorder="1" applyAlignment="1"/>
    <xf numFmtId="0" fontId="128" fillId="7" borderId="2" xfId="0" applyNumberFormat="1" applyFont="1" applyFill="1" applyBorder="1">
      <alignment horizontal="left" vertical="center" wrapText="1"/>
    </xf>
    <xf numFmtId="9" fontId="128" fillId="0" borderId="1" xfId="5" applyFont="1" applyBorder="1" applyAlignment="1">
      <alignment horizontal="center" vertical="center" wrapText="1"/>
    </xf>
    <xf numFmtId="180" fontId="130" fillId="0" borderId="1" xfId="0" applyNumberFormat="1" applyFont="1" applyBorder="1" applyAlignment="1">
      <alignment vertical="center"/>
    </xf>
    <xf numFmtId="4" fontId="130" fillId="0" borderId="1" xfId="0" applyNumberFormat="1" applyFont="1" applyBorder="1" applyAlignment="1">
      <alignment vertical="center" wrapText="1"/>
    </xf>
    <xf numFmtId="170" fontId="130" fillId="0" borderId="1" xfId="0" applyNumberFormat="1" applyFont="1" applyBorder="1" applyAlignment="1">
      <alignment vertical="center" wrapText="1"/>
    </xf>
    <xf numFmtId="183" fontId="128" fillId="0" borderId="1" xfId="0" applyNumberFormat="1" applyFont="1" applyBorder="1" applyAlignment="1">
      <alignment horizontal="center" vertical="center" wrapText="1"/>
    </xf>
    <xf numFmtId="180" fontId="130" fillId="0" borderId="1" xfId="0" applyNumberFormat="1" applyFont="1" applyBorder="1" applyAlignment="1">
      <alignment vertical="center" wrapText="1"/>
    </xf>
    <xf numFmtId="170" fontId="128" fillId="0" borderId="0" xfId="0" applyNumberFormat="1" applyFont="1" applyAlignment="1">
      <alignment horizontal="center" vertical="center" wrapText="1"/>
    </xf>
    <xf numFmtId="170" fontId="128" fillId="0" borderId="0" xfId="0" applyNumberFormat="1" applyFont="1">
      <alignment horizontal="left" vertical="center" wrapText="1"/>
    </xf>
    <xf numFmtId="0" fontId="128" fillId="0" borderId="1" xfId="0" applyNumberFormat="1" applyFont="1" applyBorder="1" applyAlignment="1">
      <alignment vertical="center"/>
    </xf>
    <xf numFmtId="180" fontId="130" fillId="0" borderId="1" xfId="0" applyNumberFormat="1" applyFont="1" applyBorder="1" applyAlignment="1">
      <alignment horizontal="center" vertical="center"/>
    </xf>
    <xf numFmtId="170" fontId="130" fillId="0" borderId="1" xfId="0" applyNumberFormat="1" applyFont="1" applyFill="1" applyBorder="1">
      <alignment horizontal="left" vertical="center" wrapText="1"/>
    </xf>
    <xf numFmtId="0" fontId="128" fillId="7" borderId="8" xfId="0" applyNumberFormat="1" applyFont="1" applyFill="1" applyBorder="1" applyAlignment="1">
      <alignment vertical="center"/>
    </xf>
    <xf numFmtId="164" fontId="128" fillId="0" borderId="1" xfId="0" applyNumberFormat="1" applyFont="1" applyBorder="1" applyAlignment="1"/>
    <xf numFmtId="2" fontId="128" fillId="0" borderId="1" xfId="5" applyNumberFormat="1" applyFont="1" applyBorder="1"/>
    <xf numFmtId="164" fontId="128" fillId="7" borderId="1" xfId="0" applyNumberFormat="1" applyFont="1" applyFill="1" applyBorder="1" applyAlignment="1"/>
    <xf numFmtId="164" fontId="128" fillId="0" borderId="1" xfId="0" applyNumberFormat="1" applyFont="1" applyBorder="1">
      <alignment horizontal="left" vertical="center" wrapText="1"/>
    </xf>
    <xf numFmtId="180" fontId="130" fillId="0" borderId="1" xfId="0" applyNumberFormat="1" applyFont="1" applyBorder="1" applyAlignment="1">
      <alignment horizontal="center" vertical="center" wrapText="1"/>
    </xf>
    <xf numFmtId="4" fontId="128" fillId="0" borderId="1" xfId="0" applyNumberFormat="1" applyFont="1" applyFill="1" applyBorder="1">
      <alignment horizontal="left" vertical="center" wrapText="1"/>
    </xf>
    <xf numFmtId="4" fontId="130" fillId="0" borderId="1" xfId="0" applyNumberFormat="1" applyFont="1" applyFill="1" applyBorder="1" applyAlignment="1">
      <alignment horizontal="center" vertical="center" wrapText="1"/>
    </xf>
    <xf numFmtId="170" fontId="130" fillId="0" borderId="1" xfId="0" applyNumberFormat="1" applyFont="1" applyFill="1" applyBorder="1" applyAlignment="1">
      <alignment horizontal="center" vertical="center" wrapText="1"/>
    </xf>
    <xf numFmtId="3" fontId="129" fillId="0" borderId="0" xfId="0" applyFont="1" applyFill="1" applyBorder="1">
      <alignment horizontal="left" vertical="center" wrapText="1"/>
    </xf>
    <xf numFmtId="3" fontId="130" fillId="0" borderId="1" xfId="0" applyFont="1" applyFill="1" applyBorder="1">
      <alignment horizontal="left" vertical="center" wrapText="1"/>
    </xf>
    <xf numFmtId="180" fontId="130" fillId="0" borderId="1" xfId="0" applyNumberFormat="1" applyFont="1" applyFill="1" applyBorder="1" applyAlignment="1">
      <alignment horizontal="center" vertical="center" wrapText="1"/>
    </xf>
    <xf numFmtId="3" fontId="130" fillId="0" borderId="0" xfId="0" applyFont="1" applyFill="1" applyBorder="1">
      <alignment horizontal="left" vertical="center" wrapText="1"/>
    </xf>
    <xf numFmtId="3" fontId="138" fillId="0" borderId="1" xfId="0" applyFont="1" applyBorder="1" applyAlignment="1">
      <alignment horizontal="center" vertical="center" wrapText="1"/>
    </xf>
    <xf numFmtId="180" fontId="130" fillId="0" borderId="1" xfId="0" applyNumberFormat="1" applyFont="1" applyBorder="1" applyAlignment="1">
      <alignment horizontal="center"/>
    </xf>
    <xf numFmtId="3" fontId="22" fillId="9" borderId="1" xfId="0" applyFont="1" applyFill="1" applyBorder="1">
      <alignment horizontal="left" vertical="center" wrapText="1"/>
    </xf>
    <xf numFmtId="170" fontId="4" fillId="0" borderId="1" xfId="0" applyNumberFormat="1" applyFont="1" applyBorder="1">
      <alignment horizontal="left" vertical="center" wrapText="1"/>
    </xf>
    <xf numFmtId="0" fontId="83" fillId="0" borderId="0" xfId="0" applyNumberFormat="1" applyFont="1" applyBorder="1">
      <alignment horizontal="left" vertical="center" wrapText="1"/>
    </xf>
    <xf numFmtId="0" fontId="139" fillId="0" borderId="0" xfId="71"/>
    <xf numFmtId="0" fontId="4" fillId="0" borderId="0" xfId="71" applyFont="1"/>
    <xf numFmtId="0" fontId="4" fillId="0" borderId="0" xfId="71" applyFont="1" applyFill="1"/>
    <xf numFmtId="0" fontId="139" fillId="0" borderId="0" xfId="71"/>
    <xf numFmtId="0" fontId="4" fillId="0" borderId="0" xfId="71" applyFont="1"/>
    <xf numFmtId="0" fontId="4" fillId="0" borderId="0" xfId="71" applyFont="1" applyFill="1"/>
    <xf numFmtId="0" fontId="4" fillId="0" borderId="0" xfId="71" applyFont="1"/>
    <xf numFmtId="14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Font="1" applyFill="1"/>
    <xf numFmtId="0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0" fontId="4" fillId="0" borderId="0" xfId="71" applyNumberFormat="1" applyFont="1" applyFill="1" applyAlignment="1">
      <alignment horizontal="left"/>
    </xf>
    <xf numFmtId="2" fontId="4" fillId="0" borderId="0" xfId="71" applyNumberFormat="1" applyFont="1"/>
    <xf numFmtId="3" fontId="7" fillId="0" borderId="0" xfId="0" applyFont="1" applyAlignment="1">
      <alignment horizontal="center"/>
    </xf>
    <xf numFmtId="3" fontId="13" fillId="0" borderId="0" xfId="0" applyFont="1" applyAlignment="1">
      <alignment horizontal="center"/>
    </xf>
    <xf numFmtId="2" fontId="4" fillId="0" borderId="0" xfId="0" applyNumberFormat="1" applyFont="1" applyAlignment="1"/>
    <xf numFmtId="0" fontId="139" fillId="0" borderId="0" xfId="71"/>
    <xf numFmtId="0" fontId="4" fillId="0" borderId="0" xfId="71" applyFont="1"/>
    <xf numFmtId="0" fontId="4" fillId="0" borderId="0" xfId="71" applyFont="1" applyFill="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Font="1" applyFill="1"/>
    <xf numFmtId="175" fontId="4" fillId="0" borderId="0" xfId="71" applyNumberFormat="1" applyFont="1" applyFill="1" applyBorder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Font="1" applyFill="1"/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39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Font="1" applyFill="1"/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39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Font="1" applyFill="1"/>
    <xf numFmtId="0" fontId="4" fillId="0" borderId="0" xfId="71" applyFont="1"/>
    <xf numFmtId="14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Font="1" applyFill="1"/>
    <xf numFmtId="0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0" fontId="4" fillId="0" borderId="0" xfId="71" applyNumberFormat="1" applyFont="1" applyFill="1" applyAlignment="1">
      <alignment horizontal="left"/>
    </xf>
    <xf numFmtId="2" fontId="4" fillId="0" borderId="0" xfId="71" applyNumberFormat="1" applyFont="1"/>
    <xf numFmtId="0" fontId="139" fillId="0" borderId="0" xfId="71"/>
    <xf numFmtId="0" fontId="4" fillId="0" borderId="0" xfId="71" applyFont="1"/>
    <xf numFmtId="0" fontId="4" fillId="0" borderId="0" xfId="71" applyFont="1" applyFill="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Font="1" applyFill="1"/>
    <xf numFmtId="175" fontId="4" fillId="0" borderId="0" xfId="71" applyNumberFormat="1" applyFont="1" applyFill="1" applyBorder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39" fillId="0" borderId="0" xfId="71"/>
    <xf numFmtId="0" fontId="4" fillId="0" borderId="0" xfId="71" applyFont="1"/>
    <xf numFmtId="14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/>
    <xf numFmtId="0" fontId="4" fillId="0" borderId="0" xfId="71" applyFont="1" applyFill="1"/>
    <xf numFmtId="0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3" fontId="4" fillId="0" borderId="0" xfId="0" applyFont="1" applyFill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164" fontId="4" fillId="0" borderId="0" xfId="0" applyNumberFormat="1" applyFont="1" applyFill="1" applyAlignment="1"/>
    <xf numFmtId="164" fontId="4" fillId="0" borderId="0" xfId="0" applyNumberFormat="1" applyFont="1" applyFill="1" applyAlignment="1">
      <alignment horizontal="left"/>
    </xf>
    <xf numFmtId="0" fontId="139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Font="1" applyFill="1"/>
    <xf numFmtId="0" fontId="4" fillId="0" borderId="0" xfId="71" applyNumberFormat="1" applyFont="1" applyFill="1" applyBorder="1" applyAlignment="1">
      <alignment horizontal="left"/>
    </xf>
    <xf numFmtId="0" fontId="139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Font="1" applyFill="1"/>
    <xf numFmtId="0" fontId="4" fillId="0" borderId="0" xfId="71" applyNumberFormat="1" applyFont="1" applyFill="1"/>
    <xf numFmtId="0" fontId="139" fillId="0" borderId="0" xfId="71"/>
    <xf numFmtId="0" fontId="4" fillId="0" borderId="0" xfId="71" applyFont="1"/>
    <xf numFmtId="14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/>
    <xf numFmtId="0" fontId="4" fillId="0" borderId="0" xfId="71" applyFont="1" applyFill="1"/>
    <xf numFmtId="0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2" fontId="39" fillId="0" borderId="0" xfId="0" applyNumberFormat="1" applyFont="1" applyBorder="1" applyAlignment="1">
      <alignment horizontal="center" vertical="center" wrapText="1"/>
    </xf>
    <xf numFmtId="3" fontId="78" fillId="0" borderId="0" xfId="0" applyFont="1" applyFill="1" applyBorder="1">
      <alignment horizontal="left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170" fontId="5" fillId="0" borderId="5" xfId="0" applyNumberFormat="1" applyFont="1" applyBorder="1" applyAlignment="1">
      <alignment horizontal="center" vertical="center" wrapText="1"/>
    </xf>
    <xf numFmtId="170" fontId="5" fillId="0" borderId="5" xfId="0" applyNumberFormat="1" applyFont="1" applyBorder="1" applyAlignment="1">
      <alignment horizontal="center" wrapText="1"/>
    </xf>
    <xf numFmtId="170" fontId="5" fillId="0" borderId="5" xfId="0" applyNumberFormat="1" applyFont="1" applyBorder="1">
      <alignment horizontal="left" vertical="center" wrapText="1"/>
    </xf>
    <xf numFmtId="3" fontId="0" fillId="0" borderId="1" xfId="0" applyBorder="1" applyAlignment="1">
      <alignment horizontal="center" vertical="center" wrapText="1"/>
    </xf>
    <xf numFmtId="3" fontId="24" fillId="7" borderId="1" xfId="0" applyFont="1" applyFill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/>
    </xf>
    <xf numFmtId="170" fontId="5" fillId="0" borderId="10" xfId="0" applyNumberFormat="1" applyFont="1" applyFill="1" applyBorder="1" applyAlignment="1">
      <alignment horizontal="center"/>
    </xf>
    <xf numFmtId="170" fontId="5" fillId="7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0" fontId="0" fillId="0" borderId="0" xfId="0" applyNumberForma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1" xfId="71" applyNumberFormat="1" applyFont="1" applyBorder="1"/>
    <xf numFmtId="0" fontId="4" fillId="0" borderId="1" xfId="9" applyNumberFormat="1" applyFont="1" applyBorder="1"/>
    <xf numFmtId="164" fontId="4" fillId="0" borderId="1" xfId="9" applyNumberFormat="1" applyFont="1" applyFill="1" applyBorder="1" applyAlignment="1">
      <alignment horizontal="right"/>
    </xf>
    <xf numFmtId="3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9" fillId="0" borderId="0" xfId="3" applyNumberFormat="1" applyFont="1" applyFill="1" applyBorder="1" applyAlignment="1">
      <alignment horizontal="center"/>
    </xf>
    <xf numFmtId="3" fontId="0" fillId="0" borderId="0" xfId="0" applyAlignment="1">
      <alignment horizontal="center" vertical="center" wrapText="1"/>
    </xf>
    <xf numFmtId="0" fontId="4" fillId="0" borderId="1" xfId="7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9" fillId="0" borderId="1" xfId="3" applyNumberFormat="1" applyFont="1" applyFill="1" applyBorder="1" applyAlignment="1">
      <alignment horizontal="center" vertical="center"/>
    </xf>
    <xf numFmtId="0" fontId="4" fillId="0" borderId="0" xfId="9"/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2" fontId="25" fillId="0" borderId="1" xfId="0" applyNumberFormat="1" applyFont="1" applyBorder="1">
      <alignment horizontal="left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14" fontId="9" fillId="0" borderId="0" xfId="9" applyNumberFormat="1" applyFont="1" applyAlignment="1">
      <alignment horizontal="right"/>
    </xf>
    <xf numFmtId="1" fontId="22" fillId="7" borderId="1" xfId="1" applyNumberFormat="1" applyFont="1" applyFill="1" applyBorder="1" applyAlignment="1">
      <alignment horizontal="center" vertical="center"/>
    </xf>
    <xf numFmtId="180" fontId="25" fillId="0" borderId="1" xfId="0" applyNumberFormat="1" applyFont="1" applyFill="1" applyBorder="1" applyAlignment="1">
      <alignment horizontal="center" vertical="center"/>
    </xf>
    <xf numFmtId="14" fontId="22" fillId="7" borderId="1" xfId="0" applyNumberFormat="1" applyFont="1" applyFill="1" applyBorder="1">
      <alignment horizontal="left" vertical="center" wrapText="1"/>
    </xf>
    <xf numFmtId="3" fontId="5" fillId="2" borderId="0" xfId="0" applyFont="1" applyFill="1" applyAlignment="1">
      <alignment horizontal="center"/>
    </xf>
    <xf numFmtId="0" fontId="4" fillId="0" borderId="0" xfId="9" applyFont="1"/>
    <xf numFmtId="14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Font="1" applyFill="1"/>
    <xf numFmtId="0" fontId="4" fillId="0" borderId="0" xfId="9" applyNumberFormat="1" applyFont="1" applyFill="1" applyBorder="1" applyAlignment="1">
      <alignment horizontal="left"/>
    </xf>
    <xf numFmtId="0" fontId="4" fillId="0" borderId="0" xfId="9" applyNumberFormat="1" applyFont="1" applyFill="1"/>
    <xf numFmtId="0" fontId="4" fillId="0" borderId="0" xfId="9" applyNumberFormat="1" applyFont="1" applyFill="1" applyAlignment="1">
      <alignment horizontal="left"/>
    </xf>
    <xf numFmtId="2" fontId="4" fillId="0" borderId="0" xfId="9" applyNumberFormat="1" applyFont="1"/>
    <xf numFmtId="1" fontId="31" fillId="0" borderId="1" xfId="0" applyNumberFormat="1" applyFont="1" applyBorder="1" applyAlignment="1">
      <alignment horizontal="center" vertical="center"/>
    </xf>
    <xf numFmtId="170" fontId="0" fillId="0" borderId="1" xfId="0" applyNumberFormat="1" applyFill="1" applyBorder="1" applyAlignment="1">
      <alignment horizontal="center" vertical="center" wrapText="1"/>
    </xf>
    <xf numFmtId="0" fontId="4" fillId="0" borderId="0" xfId="0" applyNumberFormat="1" applyFont="1">
      <alignment horizontal="left" vertical="center" wrapText="1"/>
    </xf>
    <xf numFmtId="164" fontId="48" fillId="0" borderId="1" xfId="0" applyNumberFormat="1" applyFont="1" applyBorder="1" applyAlignment="1">
      <alignment horizontal="center" vertical="center" wrapText="1"/>
    </xf>
    <xf numFmtId="1" fontId="48" fillId="0" borderId="1" xfId="0" applyNumberFormat="1" applyFont="1" applyBorder="1" applyAlignment="1">
      <alignment horizontal="center" vertical="center" wrapText="1"/>
    </xf>
    <xf numFmtId="3" fontId="48" fillId="0" borderId="1" xfId="0" applyFont="1" applyBorder="1" applyAlignment="1">
      <alignment horizontal="center" vertical="center" wrapText="1"/>
    </xf>
    <xf numFmtId="0" fontId="48" fillId="0" borderId="1" xfId="71" applyNumberFormat="1" applyFont="1" applyBorder="1" applyAlignment="1">
      <alignment horizontal="center" vertical="center"/>
    </xf>
    <xf numFmtId="0" fontId="48" fillId="0" borderId="1" xfId="0" applyNumberFormat="1" applyFont="1" applyBorder="1" applyAlignment="1">
      <alignment horizontal="center" vertical="center"/>
    </xf>
    <xf numFmtId="0" fontId="48" fillId="0" borderId="1" xfId="9" applyNumberFormat="1" applyFont="1" applyBorder="1" applyAlignment="1">
      <alignment horizontal="center" vertical="center"/>
    </xf>
    <xf numFmtId="3" fontId="48" fillId="7" borderId="1" xfId="0" applyFont="1" applyFill="1" applyBorder="1" applyAlignment="1">
      <alignment horizontal="center" vertical="center" wrapText="1"/>
    </xf>
    <xf numFmtId="1" fontId="48" fillId="7" borderId="1" xfId="0" applyNumberFormat="1" applyFont="1" applyFill="1" applyBorder="1" applyAlignment="1">
      <alignment horizontal="center" vertical="center" wrapText="1"/>
    </xf>
    <xf numFmtId="3" fontId="48" fillId="7" borderId="1" xfId="0" applyFont="1" applyFill="1" applyBorder="1" applyAlignment="1">
      <alignment horizontal="center" vertical="center"/>
    </xf>
    <xf numFmtId="3" fontId="13" fillId="0" borderId="1" xfId="0" applyFont="1" applyFill="1" applyBorder="1" applyAlignment="1">
      <alignment horizontal="center" vertical="center" wrapText="1"/>
    </xf>
    <xf numFmtId="3" fontId="4" fillId="0" borderId="1" xfId="0" applyFont="1" applyFill="1" applyBorder="1" applyAlignment="1">
      <alignment horizontal="center"/>
    </xf>
    <xf numFmtId="3" fontId="12" fillId="0" borderId="1" xfId="0" applyFont="1" applyFill="1" applyBorder="1" applyAlignment="1">
      <alignment wrapText="1"/>
    </xf>
    <xf numFmtId="3" fontId="12" fillId="0" borderId="1" xfId="0" applyFont="1" applyFill="1" applyBorder="1" applyAlignment="1">
      <alignment vertical="top" wrapText="1"/>
    </xf>
    <xf numFmtId="3" fontId="24" fillId="0" borderId="1" xfId="0" applyFont="1" applyFill="1" applyBorder="1">
      <alignment horizontal="left" vertical="center" wrapText="1"/>
    </xf>
    <xf numFmtId="1" fontId="37" fillId="0" borderId="1" xfId="0" applyNumberFormat="1" applyFont="1" applyFill="1" applyBorder="1">
      <alignment horizontal="left" vertical="center" wrapText="1"/>
    </xf>
    <xf numFmtId="3" fontId="13" fillId="0" borderId="1" xfId="0" applyFont="1" applyFill="1" applyBorder="1" applyAlignment="1">
      <alignment wrapText="1"/>
    </xf>
    <xf numFmtId="3" fontId="13" fillId="15" borderId="1" xfId="0" applyFont="1" applyFill="1" applyBorder="1" applyAlignment="1">
      <alignment wrapText="1"/>
    </xf>
    <xf numFmtId="3" fontId="140" fillId="58" borderId="50" xfId="0" applyFont="1" applyFill="1" applyBorder="1" applyAlignment="1">
      <alignment horizontal="center" vertical="center" wrapText="1"/>
    </xf>
    <xf numFmtId="3" fontId="140" fillId="58" borderId="51" xfId="0" applyFont="1" applyFill="1" applyBorder="1" applyAlignment="1">
      <alignment horizontal="center" vertical="center" wrapText="1"/>
    </xf>
    <xf numFmtId="3" fontId="141" fillId="17" borderId="52" xfId="0" applyFont="1" applyFill="1" applyBorder="1" applyAlignment="1">
      <alignment horizontal="left" vertical="center" wrapText="1"/>
    </xf>
    <xf numFmtId="14" fontId="141" fillId="17" borderId="40" xfId="0" applyNumberFormat="1" applyFont="1" applyFill="1" applyBorder="1" applyAlignment="1">
      <alignment horizontal="left" vertical="center" wrapText="1"/>
    </xf>
    <xf numFmtId="164" fontId="83" fillId="0" borderId="0" xfId="0" applyNumberFormat="1" applyFont="1" applyAlignment="1">
      <alignment horizontal="center" vertical="center" wrapText="1"/>
    </xf>
    <xf numFmtId="164" fontId="84" fillId="0" borderId="0" xfId="0" applyNumberFormat="1" applyFont="1" applyAlignment="1">
      <alignment horizontal="center" vertical="center" wrapText="1"/>
    </xf>
    <xf numFmtId="3" fontId="88" fillId="58" borderId="50" xfId="0" applyFont="1" applyFill="1" applyBorder="1" applyAlignment="1">
      <alignment horizontal="center" vertical="center" wrapText="1"/>
    </xf>
    <xf numFmtId="3" fontId="88" fillId="58" borderId="53" xfId="0" applyFont="1" applyFill="1" applyBorder="1" applyAlignment="1">
      <alignment horizontal="center" vertical="center" wrapText="1"/>
    </xf>
    <xf numFmtId="164" fontId="91" fillId="0" borderId="1" xfId="0" applyNumberFormat="1" applyFont="1" applyBorder="1" applyAlignment="1">
      <alignment horizontal="center" vertical="center" wrapText="1"/>
    </xf>
    <xf numFmtId="164" fontId="92" fillId="0" borderId="1" xfId="0" applyNumberFormat="1" applyFont="1" applyBorder="1" applyAlignment="1">
      <alignment horizontal="center" vertical="center" wrapText="1"/>
    </xf>
    <xf numFmtId="3" fontId="22" fillId="7" borderId="7" xfId="0" applyFont="1" applyFill="1" applyBorder="1" applyAlignment="1">
      <alignment horizontal="left" vertical="center" wrapText="1"/>
    </xf>
    <xf numFmtId="3" fontId="22" fillId="7" borderId="1" xfId="0" applyFont="1" applyFill="1" applyBorder="1" applyAlignment="1">
      <alignment horizontal="left" vertical="center" wrapText="1"/>
    </xf>
    <xf numFmtId="14" fontId="0" fillId="7" borderId="0" xfId="0" applyNumberFormat="1" applyFill="1">
      <alignment horizontal="left" vertical="center" wrapText="1"/>
    </xf>
    <xf numFmtId="1" fontId="0" fillId="0" borderId="0" xfId="5" applyNumberFormat="1" applyFont="1" applyAlignment="1">
      <alignment horizontal="center" vertical="center" wrapText="1"/>
    </xf>
    <xf numFmtId="3" fontId="22" fillId="7" borderId="1" xfId="0" applyFont="1" applyFill="1" applyBorder="1" applyAlignment="1">
      <alignment horizontal="left" vertical="center" wrapText="1"/>
    </xf>
    <xf numFmtId="3" fontId="0" fillId="0" borderId="19" xfId="0" applyBorder="1" applyAlignment="1">
      <alignment horizontal="right" vertical="center" wrapText="1"/>
    </xf>
    <xf numFmtId="170" fontId="0" fillId="0" borderId="19" xfId="0" applyNumberFormat="1" applyBorder="1" applyAlignment="1">
      <alignment horizontal="right" vertical="center" wrapText="1"/>
    </xf>
    <xf numFmtId="164" fontId="16" fillId="7" borderId="5" xfId="0" applyNumberFormat="1" applyFont="1" applyFill="1" applyBorder="1">
      <alignment horizontal="left" vertical="center" wrapText="1"/>
    </xf>
    <xf numFmtId="164" fontId="16" fillId="7" borderId="1" xfId="0" applyNumberFormat="1" applyFont="1" applyFill="1" applyBorder="1">
      <alignment horizontal="left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164" fontId="16" fillId="7" borderId="1" xfId="0" applyNumberFormat="1" applyFont="1" applyFill="1" applyBorder="1" applyAlignment="1">
      <alignment horizontal="center" vertical="center" wrapText="1"/>
    </xf>
    <xf numFmtId="164" fontId="16" fillId="7" borderId="5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16" fillId="7" borderId="5" xfId="0" applyNumberFormat="1" applyFont="1" applyFill="1" applyBorder="1" applyAlignment="1">
      <alignment horizontal="center" vertical="center" wrapText="1"/>
    </xf>
    <xf numFmtId="2" fontId="16" fillId="7" borderId="1" xfId="0" applyNumberFormat="1" applyFont="1" applyFill="1" applyBorder="1" applyAlignment="1">
      <alignment horizontal="center" vertical="center" wrapText="1"/>
    </xf>
    <xf numFmtId="177" fontId="76" fillId="0" borderId="0" xfId="0" applyNumberFormat="1" applyFont="1" applyFill="1" applyBorder="1" applyAlignment="1">
      <alignment horizontal="left" vertical="center"/>
    </xf>
    <xf numFmtId="4" fontId="39" fillId="0" borderId="1" xfId="0" applyNumberFormat="1" applyFont="1" applyBorder="1" applyAlignment="1">
      <alignment horizontal="center" vertical="center" wrapText="1"/>
    </xf>
    <xf numFmtId="14" fontId="5" fillId="7" borderId="5" xfId="0" applyNumberFormat="1" applyFont="1" applyFill="1" applyBorder="1" applyAlignment="1">
      <alignment wrapText="1"/>
    </xf>
    <xf numFmtId="14" fontId="5" fillId="7" borderId="1" xfId="0" applyNumberFormat="1" applyFont="1" applyFill="1" applyBorder="1" applyAlignment="1">
      <alignment wrapText="1"/>
    </xf>
    <xf numFmtId="2" fontId="14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1" fontId="5" fillId="7" borderId="2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1" fontId="5" fillId="7" borderId="7" xfId="0" applyNumberFormat="1" applyFont="1" applyFill="1" applyBorder="1" applyAlignment="1">
      <alignment horizontal="center" vertical="center" wrapText="1"/>
    </xf>
    <xf numFmtId="1" fontId="5" fillId="7" borderId="2" xfId="0" applyNumberFormat="1" applyFont="1" applyFill="1" applyBorder="1">
      <alignment horizontal="left" vertical="center" wrapText="1"/>
    </xf>
    <xf numFmtId="1" fontId="5" fillId="7" borderId="1" xfId="0" applyNumberFormat="1" applyFont="1" applyFill="1" applyBorder="1">
      <alignment horizontal="left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174" fontId="25" fillId="0" borderId="1" xfId="0" applyNumberFormat="1" applyFont="1" applyBorder="1">
      <alignment horizontal="left" vertical="center" wrapText="1"/>
    </xf>
    <xf numFmtId="14" fontId="25" fillId="7" borderId="1" xfId="0" applyNumberFormat="1" applyFont="1" applyFill="1" applyBorder="1">
      <alignment horizontal="left" vertical="center" wrapText="1"/>
    </xf>
    <xf numFmtId="177" fontId="37" fillId="0" borderId="1" xfId="71" applyNumberFormat="1" applyFont="1" applyBorder="1" applyAlignment="1">
      <alignment horizontal="center" vertical="center"/>
    </xf>
    <xf numFmtId="177" fontId="37" fillId="0" borderId="1" xfId="0" applyNumberFormat="1" applyFont="1" applyBorder="1" applyAlignment="1">
      <alignment horizontal="center" vertical="center"/>
    </xf>
    <xf numFmtId="177" fontId="37" fillId="0" borderId="1" xfId="9" applyNumberFormat="1" applyFont="1" applyBorder="1" applyAlignment="1">
      <alignment horizontal="center" vertical="center"/>
    </xf>
    <xf numFmtId="3" fontId="39" fillId="0" borderId="1" xfId="0" applyFont="1" applyFill="1" applyBorder="1" applyAlignment="1">
      <alignment horizontal="center" wrapText="1"/>
    </xf>
    <xf numFmtId="3" fontId="37" fillId="7" borderId="1" xfId="0" applyFont="1" applyFill="1" applyBorder="1" applyAlignment="1">
      <alignment wrapText="1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20" fontId="31" fillId="0" borderId="5" xfId="0" applyNumberFormat="1" applyFont="1" applyFill="1" applyBorder="1" applyAlignment="1">
      <alignment horizontal="center" vertical="center"/>
    </xf>
    <xf numFmtId="20" fontId="31" fillId="0" borderId="5" xfId="0" applyNumberFormat="1" applyFont="1" applyBorder="1" applyAlignment="1">
      <alignment horizontal="center" vertical="center"/>
    </xf>
    <xf numFmtId="20" fontId="31" fillId="0" borderId="5" xfId="0" applyNumberFormat="1" applyFont="1" applyBorder="1" applyAlignment="1">
      <alignment horizontal="center" vertical="center" wrapText="1"/>
    </xf>
    <xf numFmtId="20" fontId="23" fillId="0" borderId="5" xfId="6" applyNumberFormat="1" applyBorder="1" applyAlignment="1">
      <alignment horizontal="center" vertical="center" wrapText="1"/>
    </xf>
    <xf numFmtId="3" fontId="22" fillId="7" borderId="8" xfId="0" applyFont="1" applyFill="1" applyBorder="1" applyAlignment="1">
      <alignment vertical="center" wrapText="1"/>
    </xf>
    <xf numFmtId="3" fontId="22" fillId="7" borderId="10" xfId="0" applyFont="1" applyFill="1" applyBorder="1" applyAlignment="1">
      <alignment vertical="center" wrapText="1"/>
    </xf>
    <xf numFmtId="3" fontId="22" fillId="7" borderId="2" xfId="0" applyFont="1" applyFill="1" applyBorder="1" applyAlignment="1">
      <alignment vertical="center" wrapText="1"/>
    </xf>
    <xf numFmtId="0" fontId="4" fillId="0" borderId="0" xfId="9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4" fillId="0" borderId="0" xfId="9" applyNumberFormat="1" applyFont="1" applyAlignment="1">
      <alignment horizontal="center" vertical="center"/>
    </xf>
    <xf numFmtId="3" fontId="39" fillId="0" borderId="7" xfId="0" applyFont="1" applyBorder="1" applyAlignment="1">
      <alignment vertical="top" wrapText="1"/>
    </xf>
    <xf numFmtId="3" fontId="39" fillId="0" borderId="7" xfId="0" applyFont="1" applyBorder="1" applyAlignment="1">
      <alignment horizontal="left" vertical="top" wrapText="1"/>
    </xf>
    <xf numFmtId="14" fontId="39" fillId="0" borderId="7" xfId="0" applyNumberFormat="1" applyFont="1" applyBorder="1" applyAlignment="1">
      <alignment horizontal="left" vertical="center"/>
    </xf>
    <xf numFmtId="3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19" fillId="0" borderId="1" xfId="3" applyNumberFormat="1" applyFont="1" applyFill="1" applyBorder="1" applyAlignment="1">
      <alignment horizontal="center" vertical="center"/>
    </xf>
    <xf numFmtId="0" fontId="4" fillId="0" borderId="1" xfId="9" applyNumberFormat="1" applyFont="1" applyFill="1" applyBorder="1" applyAlignment="1">
      <alignment horizontal="center" vertical="center"/>
    </xf>
    <xf numFmtId="3" fontId="22" fillId="7" borderId="1" xfId="0" applyFont="1" applyFill="1" applyBorder="1" applyAlignment="1">
      <alignment vertical="center" wrapText="1"/>
    </xf>
    <xf numFmtId="0" fontId="4" fillId="0" borderId="0" xfId="9" applyFont="1"/>
    <xf numFmtId="14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ill="1" applyBorder="1" applyAlignment="1">
      <alignment horizontal="left"/>
    </xf>
    <xf numFmtId="0" fontId="4" fillId="0" borderId="0" xfId="9" applyNumberFormat="1" applyFont="1"/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164" fontId="4" fillId="0" borderId="0" xfId="9" applyNumberFormat="1" applyFont="1" applyAlignment="1">
      <alignment horizontal="left"/>
    </xf>
    <xf numFmtId="0" fontId="4" fillId="0" borderId="0" xfId="9" applyFill="1"/>
    <xf numFmtId="0" fontId="4" fillId="0" borderId="0" xfId="9" applyFont="1" applyFill="1"/>
    <xf numFmtId="0" fontId="4" fillId="0" borderId="0" xfId="9" applyNumberFormat="1" applyFont="1" applyFill="1" applyBorder="1" applyAlignment="1">
      <alignment horizontal="right"/>
    </xf>
    <xf numFmtId="164" fontId="4" fillId="0" borderId="0" xfId="9" applyNumberFormat="1" applyFont="1" applyFill="1" applyBorder="1" applyAlignment="1">
      <alignment horizontal="left"/>
    </xf>
    <xf numFmtId="0" fontId="4" fillId="0" borderId="0" xfId="9" applyFont="1"/>
    <xf numFmtId="14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/>
    <xf numFmtId="0" fontId="4" fillId="0" borderId="0" xfId="9" applyNumberFormat="1" applyFont="1" applyAlignment="1">
      <alignment horizontal="left"/>
    </xf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0" fontId="4" fillId="0" borderId="0" xfId="9" applyNumberFormat="1" applyFont="1" applyFill="1"/>
    <xf numFmtId="0" fontId="4" fillId="0" borderId="0" xfId="42" applyFont="1" applyAlignment="1">
      <alignment horizontal="center" vertical="center"/>
    </xf>
    <xf numFmtId="0" fontId="4" fillId="0" borderId="0" xfId="9" applyFont="1" applyAlignment="1">
      <alignment horizontal="center" vertical="center"/>
    </xf>
    <xf numFmtId="1" fontId="4" fillId="0" borderId="0" xfId="9" applyNumberFormat="1" applyFont="1" applyAlignment="1">
      <alignment horizontal="center" vertical="center"/>
    </xf>
    <xf numFmtId="0" fontId="4" fillId="0" borderId="0" xfId="42" applyNumberFormat="1" applyFont="1" applyFill="1" applyBorder="1" applyAlignment="1">
      <alignment horizontal="center" vertical="center"/>
    </xf>
    <xf numFmtId="0" fontId="4" fillId="0" borderId="0" xfId="42" applyFont="1" applyFill="1" applyAlignment="1">
      <alignment horizontal="center" vertical="center"/>
    </xf>
    <xf numFmtId="0" fontId="4" fillId="0" borderId="0" xfId="42" applyNumberFormat="1" applyFont="1" applyFill="1" applyAlignment="1">
      <alignment horizontal="center" vertical="center"/>
    </xf>
    <xf numFmtId="164" fontId="4" fillId="0" borderId="0" xfId="9" applyNumberFormat="1" applyFont="1" applyFill="1" applyBorder="1" applyAlignment="1">
      <alignment horizontal="center" vertical="center"/>
    </xf>
    <xf numFmtId="0" fontId="4" fillId="0" borderId="0" xfId="71" applyNumberFormat="1" applyFont="1" applyAlignment="1">
      <alignment horizontal="center" vertical="center"/>
    </xf>
    <xf numFmtId="0" fontId="19" fillId="0" borderId="0" xfId="3" applyNumberFormat="1" applyFont="1" applyFill="1" applyBorder="1" applyAlignment="1">
      <alignment horizontal="center" vertical="center"/>
    </xf>
    <xf numFmtId="4" fontId="78" fillId="0" borderId="0" xfId="0" applyNumberFormat="1" applyFont="1" applyFill="1" applyBorder="1">
      <alignment horizontal="left" vertical="center" wrapText="1"/>
    </xf>
    <xf numFmtId="14" fontId="78" fillId="0" borderId="0" xfId="0" applyNumberFormat="1" applyFont="1" applyFill="1" applyBorder="1">
      <alignment horizontal="left" vertical="center" wrapText="1"/>
    </xf>
    <xf numFmtId="3" fontId="144" fillId="0" borderId="0" xfId="0" applyFont="1" applyFill="1" applyBorder="1">
      <alignment horizontal="left" vertical="center" wrapText="1"/>
    </xf>
    <xf numFmtId="3" fontId="144" fillId="0" borderId="0" xfId="0" applyFont="1" applyFill="1" applyBorder="1" applyAlignment="1">
      <alignment horizontal="center"/>
    </xf>
    <xf numFmtId="20" fontId="78" fillId="0" borderId="0" xfId="0" applyNumberFormat="1" applyFont="1" applyFill="1" applyBorder="1">
      <alignment horizontal="left" vertical="center" wrapText="1"/>
    </xf>
    <xf numFmtId="1" fontId="78" fillId="0" borderId="0" xfId="0" applyNumberFormat="1" applyFont="1" applyFill="1" applyBorder="1" applyAlignment="1">
      <alignment horizontal="center"/>
    </xf>
    <xf numFmtId="4" fontId="78" fillId="0" borderId="0" xfId="0" applyNumberFormat="1" applyFont="1" applyFill="1" applyBorder="1" applyAlignment="1">
      <alignment horizontal="center"/>
    </xf>
    <xf numFmtId="2" fontId="78" fillId="0" borderId="0" xfId="0" applyNumberFormat="1" applyFont="1" applyFill="1" applyBorder="1" applyAlignment="1">
      <alignment horizontal="center"/>
    </xf>
    <xf numFmtId="2" fontId="78" fillId="0" borderId="0" xfId="0" applyNumberFormat="1" applyFont="1" applyFill="1" applyBorder="1">
      <alignment horizontal="left" vertical="center" wrapText="1"/>
    </xf>
    <xf numFmtId="164" fontId="78" fillId="0" borderId="0" xfId="0" applyNumberFormat="1" applyFont="1" applyFill="1" applyBorder="1">
      <alignment horizontal="left" vertical="center" wrapText="1"/>
    </xf>
    <xf numFmtId="14" fontId="4" fillId="0" borderId="0" xfId="0" applyNumberFormat="1" applyFont="1" applyFill="1" applyBorder="1" applyAlignment="1">
      <alignment horizontal="right"/>
    </xf>
    <xf numFmtId="3" fontId="40" fillId="0" borderId="0" xfId="0" applyFont="1" applyFill="1" applyBorder="1" applyAlignment="1">
      <alignment horizontal="center" wrapText="1"/>
    </xf>
    <xf numFmtId="3" fontId="31" fillId="0" borderId="0" xfId="0" applyFont="1" applyFill="1" applyBorder="1" applyAlignment="1">
      <alignment horizontal="left" vertical="center" wrapText="1"/>
    </xf>
    <xf numFmtId="3" fontId="24" fillId="0" borderId="0" xfId="0" applyFont="1" applyFill="1" applyBorder="1" applyAlignment="1">
      <alignment horizontal="center" vertical="center" wrapText="1"/>
    </xf>
    <xf numFmtId="3" fontId="0" fillId="0" borderId="0" xfId="0" applyFill="1" applyBorder="1" applyAlignment="1">
      <alignment horizontal="left" vertical="top" wrapText="1"/>
    </xf>
    <xf numFmtId="177" fontId="4" fillId="0" borderId="0" xfId="0" applyNumberFormat="1" applyFont="1" applyFill="1" applyBorder="1">
      <alignment horizontal="left" vertical="center" wrapText="1"/>
    </xf>
    <xf numFmtId="2" fontId="4" fillId="0" borderId="0" xfId="0" applyNumberFormat="1" applyFont="1" applyFill="1" applyBorder="1" applyAlignment="1">
      <alignment horizontal="right"/>
    </xf>
    <xf numFmtId="3" fontId="4" fillId="0" borderId="0" xfId="0" applyFont="1" applyFill="1" applyBorder="1">
      <alignment horizontal="left" vertical="center" wrapText="1"/>
    </xf>
    <xf numFmtId="177" fontId="0" fillId="0" borderId="0" xfId="0" applyNumberFormat="1" applyFill="1" applyBorder="1">
      <alignment horizontal="left" vertical="center" wrapText="1"/>
    </xf>
    <xf numFmtId="0" fontId="76" fillId="0" borderId="16" xfId="1" applyNumberFormat="1" applyFont="1" applyBorder="1" applyAlignment="1">
      <alignment horizontal="center" vertical="center" wrapText="1"/>
    </xf>
    <xf numFmtId="170" fontId="25" fillId="0" borderId="0" xfId="0" applyNumberFormat="1" applyFont="1" applyAlignment="1">
      <alignment horizontal="center" vertical="center" wrapText="1"/>
    </xf>
    <xf numFmtId="14" fontId="22" fillId="0" borderId="0" xfId="0" applyNumberFormat="1" applyFont="1" applyFill="1" applyBorder="1" applyAlignment="1">
      <alignment vertical="center"/>
    </xf>
    <xf numFmtId="9" fontId="31" fillId="0" borderId="1" xfId="0" applyNumberFormat="1" applyFont="1" applyBorder="1" applyAlignment="1">
      <alignment horizontal="center" vertical="center"/>
    </xf>
    <xf numFmtId="3" fontId="31" fillId="0" borderId="0" xfId="0" applyFont="1" applyAlignment="1">
      <alignment horizontal="center" vertical="center" wrapText="1"/>
    </xf>
    <xf numFmtId="0" fontId="31" fillId="0" borderId="1" xfId="0" applyNumberFormat="1" applyFont="1" applyBorder="1" applyAlignment="1">
      <alignment horizontal="center" vertical="center" wrapText="1"/>
    </xf>
    <xf numFmtId="170" fontId="31" fillId="0" borderId="1" xfId="0" applyNumberFormat="1" applyFont="1" applyBorder="1" applyAlignment="1">
      <alignment horizontal="left" vertical="top" wrapText="1"/>
    </xf>
    <xf numFmtId="170" fontId="31" fillId="0" borderId="1" xfId="0" applyNumberFormat="1" applyFont="1" applyBorder="1">
      <alignment horizontal="left" vertical="center" wrapText="1"/>
    </xf>
    <xf numFmtId="3" fontId="13" fillId="7" borderId="1" xfId="0" applyFont="1" applyFill="1" applyBorder="1" applyAlignment="1">
      <alignment horizontal="center" wrapText="1"/>
    </xf>
    <xf numFmtId="9" fontId="31" fillId="0" borderId="1" xfId="0" applyNumberFormat="1" applyFont="1" applyBorder="1" applyAlignment="1">
      <alignment horizontal="center" vertical="center" wrapText="1"/>
    </xf>
    <xf numFmtId="14" fontId="39" fillId="0" borderId="1" xfId="0" applyNumberFormat="1" applyFont="1" applyBorder="1">
      <alignment horizontal="left" vertical="center" wrapText="1"/>
    </xf>
    <xf numFmtId="9" fontId="23" fillId="0" borderId="10" xfId="5" applyFont="1" applyFill="1" applyBorder="1" applyAlignment="1">
      <alignment horizontal="left"/>
    </xf>
    <xf numFmtId="0" fontId="145" fillId="0" borderId="0" xfId="9" applyFont="1" applyBorder="1"/>
    <xf numFmtId="170" fontId="23" fillId="0" borderId="1" xfId="0" applyNumberFormat="1" applyFont="1" applyBorder="1" applyAlignment="1">
      <alignment horizontal="center"/>
    </xf>
    <xf numFmtId="3" fontId="28" fillId="7" borderId="1" xfId="0" applyFont="1" applyFill="1" applyBorder="1">
      <alignment horizontal="left" vertical="center" wrapText="1"/>
    </xf>
    <xf numFmtId="3" fontId="28" fillId="7" borderId="1" xfId="0" applyFont="1" applyFill="1" applyBorder="1" applyAlignment="1">
      <alignment horizontal="center"/>
    </xf>
    <xf numFmtId="3" fontId="25" fillId="7" borderId="1" xfId="0" applyFont="1" applyFill="1" applyBorder="1" applyAlignment="1">
      <alignment horizontal="center" wrapText="1"/>
    </xf>
    <xf numFmtId="3" fontId="25" fillId="0" borderId="8" xfId="0" applyFont="1" applyBorder="1" applyAlignment="1">
      <alignment horizontal="center" vertical="center" wrapText="1"/>
    </xf>
    <xf numFmtId="3" fontId="0" fillId="7" borderId="1" xfId="0" applyFill="1" applyBorder="1" applyAlignment="1">
      <alignment horizontal="center" vertical="center" wrapText="1"/>
    </xf>
    <xf numFmtId="3" fontId="25" fillId="0" borderId="1" xfId="0" applyFont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3" fontId="22" fillId="7" borderId="1" xfId="0" applyFont="1" applyFill="1" applyBorder="1" applyAlignment="1">
      <alignment horizontal="left" vertical="center" wrapText="1"/>
    </xf>
    <xf numFmtId="0" fontId="34" fillId="0" borderId="1" xfId="0" applyNumberFormat="1" applyFont="1" applyFill="1" applyBorder="1">
      <alignment horizontal="left" vertical="center" wrapText="1"/>
    </xf>
    <xf numFmtId="3" fontId="9" fillId="0" borderId="1" xfId="0" applyFont="1" applyFill="1" applyBorder="1">
      <alignment horizontal="left" vertical="center" wrapText="1"/>
    </xf>
    <xf numFmtId="3" fontId="9" fillId="0" borderId="1" xfId="0" applyFont="1" applyFill="1" applyBorder="1" applyAlignment="1">
      <alignment horizontal="center" vertical="center" wrapText="1"/>
    </xf>
    <xf numFmtId="3" fontId="0" fillId="0" borderId="1" xfId="0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Fill="1" applyBorder="1">
      <alignment horizontal="left" vertical="center" wrapText="1"/>
    </xf>
    <xf numFmtId="3" fontId="0" fillId="7" borderId="1" xfId="0" applyFill="1" applyBorder="1" applyAlignment="1">
      <alignment horizontal="center" wrapText="1"/>
    </xf>
    <xf numFmtId="0" fontId="0" fillId="7" borderId="1" xfId="0" applyNumberFormat="1" applyFill="1" applyBorder="1" applyAlignment="1">
      <alignment horizontal="center" wrapText="1"/>
    </xf>
    <xf numFmtId="3" fontId="0" fillId="0" borderId="1" xfId="0" applyBorder="1" applyAlignment="1">
      <alignment horizontal="center" wrapText="1"/>
    </xf>
    <xf numFmtId="9" fontId="0" fillId="0" borderId="1" xfId="56" applyFont="1" applyBorder="1" applyAlignment="1">
      <alignment horizontal="center" wrapText="1"/>
    </xf>
    <xf numFmtId="9" fontId="0" fillId="0" borderId="1" xfId="56" applyFont="1" applyBorder="1" applyAlignment="1">
      <alignment horizontal="center" vertical="center" wrapText="1"/>
    </xf>
    <xf numFmtId="9" fontId="0" fillId="0" borderId="1" xfId="56" applyFont="1" applyFill="1" applyBorder="1" applyAlignment="1">
      <alignment horizontal="center" vertical="center" wrapText="1"/>
    </xf>
    <xf numFmtId="0" fontId="0" fillId="7" borderId="10" xfId="0" applyNumberFormat="1" applyFill="1" applyBorder="1" applyAlignment="1">
      <alignment horizontal="center" wrapText="1"/>
    </xf>
    <xf numFmtId="3" fontId="0" fillId="0" borderId="10" xfId="0" applyFill="1" applyBorder="1" applyAlignment="1">
      <alignment horizontal="center" wrapText="1"/>
    </xf>
    <xf numFmtId="9" fontId="0" fillId="0" borderId="10" xfId="56" applyFont="1" applyFill="1" applyBorder="1" applyAlignment="1">
      <alignment horizontal="center" wrapText="1"/>
    </xf>
    <xf numFmtId="3" fontId="25" fillId="0" borderId="0" xfId="0" applyFont="1" applyBorder="1" applyAlignment="1">
      <alignment horizontal="left" vertical="center"/>
    </xf>
    <xf numFmtId="3" fontId="37" fillId="16" borderId="1" xfId="0" applyFont="1" applyFill="1" applyBorder="1" applyAlignment="1">
      <alignment horizontal="center" vertical="center" wrapText="1"/>
    </xf>
    <xf numFmtId="3" fontId="37" fillId="7" borderId="1" xfId="0" applyFont="1" applyFill="1" applyBorder="1" applyAlignment="1">
      <alignment horizontal="center" vertical="center" wrapText="1"/>
    </xf>
    <xf numFmtId="3" fontId="25" fillId="0" borderId="5" xfId="0" applyFont="1" applyBorder="1" applyAlignment="1">
      <alignment horizontal="center" vertical="center"/>
    </xf>
    <xf numFmtId="183" fontId="25" fillId="0" borderId="1" xfId="56" applyNumberFormat="1" applyFont="1" applyBorder="1" applyAlignment="1">
      <alignment horizontal="center" vertical="center" wrapText="1"/>
    </xf>
    <xf numFmtId="9" fontId="25" fillId="0" borderId="1" xfId="56" applyFont="1" applyBorder="1" applyAlignment="1">
      <alignment horizontal="center" vertical="center" wrapText="1"/>
    </xf>
    <xf numFmtId="3" fontId="25" fillId="0" borderId="1" xfId="0" applyFont="1" applyBorder="1" applyAlignment="1">
      <alignment horizontal="center" vertical="center"/>
    </xf>
    <xf numFmtId="165" fontId="22" fillId="7" borderId="1" xfId="0" applyNumberFormat="1" applyFont="1" applyFill="1" applyBorder="1" applyAlignment="1">
      <alignment horizontal="left" vertical="top" wrapText="1"/>
    </xf>
    <xf numFmtId="3" fontId="9" fillId="7" borderId="0" xfId="0" applyFont="1" applyFill="1">
      <alignment horizontal="left" vertical="center" wrapText="1"/>
    </xf>
    <xf numFmtId="9" fontId="0" fillId="0" borderId="1" xfId="56" applyFont="1" applyBorder="1" applyAlignment="1">
      <alignment horizontal="left" vertical="center" wrapText="1"/>
    </xf>
    <xf numFmtId="177" fontId="37" fillId="0" borderId="1" xfId="71" applyNumberFormat="1" applyFont="1" applyFill="1" applyBorder="1" applyAlignment="1">
      <alignment horizontal="center" vertical="center"/>
    </xf>
    <xf numFmtId="0" fontId="4" fillId="0" borderId="0" xfId="71" applyFont="1"/>
    <xf numFmtId="14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Font="1" applyFill="1"/>
    <xf numFmtId="0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0" fontId="4" fillId="0" borderId="0" xfId="71" applyNumberFormat="1" applyFont="1" applyFill="1" applyAlignment="1">
      <alignment horizontal="left"/>
    </xf>
    <xf numFmtId="2" fontId="4" fillId="0" borderId="0" xfId="71" applyNumberFormat="1" applyFont="1"/>
    <xf numFmtId="3" fontId="0" fillId="0" borderId="1" xfId="0" applyFont="1" applyBorder="1">
      <alignment horizontal="left" vertical="center" wrapText="1"/>
    </xf>
    <xf numFmtId="186" fontId="121" fillId="0" borderId="1" xfId="0" applyNumberFormat="1" applyFont="1" applyBorder="1">
      <alignment horizontal="left" vertical="center" wrapText="1"/>
    </xf>
    <xf numFmtId="3" fontId="121" fillId="0" borderId="1" xfId="0" applyNumberFormat="1" applyFont="1" applyBorder="1">
      <alignment horizontal="left" vertical="center" wrapText="1"/>
    </xf>
    <xf numFmtId="170" fontId="121" fillId="0" borderId="0" xfId="0" applyNumberFormat="1" applyFont="1">
      <alignment horizontal="left" vertical="center" wrapText="1"/>
    </xf>
    <xf numFmtId="14" fontId="25" fillId="0" borderId="0" xfId="0" applyNumberFormat="1" applyFont="1" applyFill="1">
      <alignment horizontal="left" vertical="center" wrapText="1"/>
    </xf>
    <xf numFmtId="3" fontId="120" fillId="0" borderId="1" xfId="0" applyFont="1" applyFill="1" applyBorder="1">
      <alignment horizontal="left" vertical="center" wrapText="1"/>
    </xf>
    <xf numFmtId="14" fontId="121" fillId="0" borderId="1" xfId="0" applyNumberFormat="1" applyFont="1" applyBorder="1">
      <alignment horizontal="left" vertical="center" wrapText="1"/>
    </xf>
    <xf numFmtId="2" fontId="121" fillId="0" borderId="1" xfId="5" applyNumberFormat="1" applyFont="1" applyBorder="1" applyAlignment="1">
      <alignment horizontal="left" vertical="center" wrapText="1"/>
    </xf>
    <xf numFmtId="3" fontId="13" fillId="7" borderId="1" xfId="0" applyFont="1" applyFill="1" applyBorder="1" applyAlignment="1">
      <alignment horizontal="right" vertical="center"/>
    </xf>
    <xf numFmtId="3" fontId="13" fillId="7" borderId="1" xfId="0" applyFont="1" applyFill="1" applyBorder="1" applyAlignment="1">
      <alignment horizontal="right" vertical="center" wrapText="1"/>
    </xf>
    <xf numFmtId="14" fontId="25" fillId="0" borderId="1" xfId="0" applyNumberFormat="1" applyFont="1" applyFill="1" applyBorder="1">
      <alignment horizontal="left" vertical="center" wrapText="1"/>
    </xf>
    <xf numFmtId="3" fontId="15" fillId="7" borderId="1" xfId="0" applyFont="1" applyFill="1" applyBorder="1" applyAlignment="1">
      <alignment horizontal="left" vertical="center" wrapText="1"/>
    </xf>
    <xf numFmtId="3" fontId="15" fillId="7" borderId="8" xfId="0" applyFont="1" applyFill="1" applyBorder="1">
      <alignment horizontal="left" vertical="center" wrapText="1"/>
    </xf>
    <xf numFmtId="3" fontId="25" fillId="0" borderId="1" xfId="0" applyFont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3" fontId="25" fillId="0" borderId="1" xfId="0" applyFont="1" applyBorder="1" applyAlignment="1">
      <alignment horizontal="left" vertical="center"/>
    </xf>
    <xf numFmtId="3" fontId="107" fillId="7" borderId="1" xfId="0" applyFont="1" applyFill="1" applyBorder="1">
      <alignment horizontal="left" vertical="center" wrapText="1"/>
    </xf>
    <xf numFmtId="14" fontId="25" fillId="0" borderId="1" xfId="0" applyNumberFormat="1" applyFont="1" applyBorder="1">
      <alignment horizontal="left" vertical="center" wrapText="1"/>
    </xf>
    <xf numFmtId="186" fontId="25" fillId="0" borderId="7" xfId="0" applyNumberFormat="1" applyFont="1" applyBorder="1">
      <alignment horizontal="left" vertical="center" wrapText="1"/>
    </xf>
    <xf numFmtId="186" fontId="25" fillId="0" borderId="11" xfId="0" applyNumberFormat="1" applyFont="1" applyBorder="1">
      <alignment horizontal="left" vertical="center" wrapText="1"/>
    </xf>
    <xf numFmtId="3" fontId="25" fillId="0" borderId="11" xfId="0" applyFont="1" applyBorder="1">
      <alignment horizontal="left" vertical="center" wrapText="1"/>
    </xf>
    <xf numFmtId="4" fontId="25" fillId="0" borderId="11" xfId="0" applyNumberFormat="1" applyFont="1" applyBorder="1">
      <alignment horizontal="left" vertical="center" wrapText="1"/>
    </xf>
    <xf numFmtId="170" fontId="25" fillId="0" borderId="11" xfId="0" applyNumberFormat="1" applyFont="1" applyBorder="1">
      <alignment horizontal="left" vertical="center" wrapText="1"/>
    </xf>
    <xf numFmtId="170" fontId="25" fillId="7" borderId="1" xfId="0" applyNumberFormat="1" applyFont="1" applyFill="1" applyBorder="1">
      <alignment horizontal="left" vertical="center" wrapText="1"/>
    </xf>
    <xf numFmtId="4" fontId="25" fillId="0" borderId="7" xfId="0" applyNumberFormat="1" applyFont="1" applyFill="1" applyBorder="1">
      <alignment horizontal="left" vertical="center" wrapText="1"/>
    </xf>
    <xf numFmtId="170" fontId="25" fillId="0" borderId="7" xfId="0" applyNumberFormat="1" applyFont="1" applyFill="1" applyBorder="1">
      <alignment horizontal="left" vertical="center" wrapText="1"/>
    </xf>
    <xf numFmtId="170" fontId="23" fillId="0" borderId="1" xfId="0" applyNumberFormat="1" applyFont="1" applyBorder="1">
      <alignment horizontal="left" vertical="center" wrapText="1"/>
    </xf>
    <xf numFmtId="3" fontId="23" fillId="7" borderId="1" xfId="0" applyFont="1" applyFill="1" applyBorder="1">
      <alignment horizontal="left" vertical="center" wrapText="1"/>
    </xf>
    <xf numFmtId="164" fontId="13" fillId="7" borderId="1" xfId="0" applyNumberFormat="1" applyFont="1" applyFill="1" applyBorder="1">
      <alignment horizontal="left" vertical="center" wrapText="1"/>
    </xf>
    <xf numFmtId="4" fontId="23" fillId="0" borderId="1" xfId="0" applyNumberFormat="1" applyFont="1" applyBorder="1">
      <alignment horizontal="left" vertical="center" wrapText="1"/>
    </xf>
    <xf numFmtId="164" fontId="15" fillId="7" borderId="1" xfId="0" applyNumberFormat="1" applyFont="1" applyFill="1" applyBorder="1">
      <alignment horizontal="left" vertical="center" wrapText="1"/>
    </xf>
    <xf numFmtId="3" fontId="23" fillId="0" borderId="8" xfId="0" applyFont="1" applyBorder="1">
      <alignment horizontal="left" vertical="center" wrapText="1"/>
    </xf>
    <xf numFmtId="3" fontId="0" fillId="7" borderId="10" xfId="0" applyFont="1" applyFill="1" applyBorder="1">
      <alignment horizontal="left" vertical="center" wrapText="1"/>
    </xf>
    <xf numFmtId="170" fontId="0" fillId="0" borderId="1" xfId="0" applyNumberFormat="1" applyFont="1" applyBorder="1">
      <alignment horizontal="left" vertical="center" wrapText="1"/>
    </xf>
    <xf numFmtId="16" fontId="25" fillId="0" borderId="1" xfId="0" applyNumberFormat="1" applyFont="1" applyBorder="1">
      <alignment horizontal="left" vertical="center" wrapText="1"/>
    </xf>
    <xf numFmtId="9" fontId="0" fillId="0" borderId="1" xfId="5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3" fontId="0" fillId="7" borderId="1" xfId="0" applyFont="1" applyFill="1" applyBorder="1">
      <alignment horizontal="left" vertical="center" wrapText="1"/>
    </xf>
    <xf numFmtId="170" fontId="4" fillId="0" borderId="1" xfId="0" applyNumberFormat="1" applyFont="1" applyBorder="1" applyAlignment="1">
      <alignment horizontal="left" vertical="center" wrapText="1"/>
    </xf>
    <xf numFmtId="0" fontId="128" fillId="7" borderId="1" xfId="0" applyNumberFormat="1" applyFont="1" applyFill="1" applyBorder="1" applyAlignment="1">
      <alignment horizontal="center" vertical="center"/>
    </xf>
    <xf numFmtId="3" fontId="0" fillId="0" borderId="1" xfId="0" applyFont="1" applyFill="1" applyBorder="1">
      <alignment horizontal="left" vertical="center" wrapText="1"/>
    </xf>
    <xf numFmtId="3" fontId="0" fillId="0" borderId="1" xfId="0" applyFont="1" applyBorder="1" applyAlignment="1">
      <alignment vertical="center" wrapText="1"/>
    </xf>
    <xf numFmtId="0" fontId="4" fillId="0" borderId="0" xfId="0" applyNumberFormat="1" applyFont="1" applyBorder="1" applyAlignment="1"/>
    <xf numFmtId="0" fontId="0" fillId="0" borderId="1" xfId="0" applyNumberFormat="1" applyFont="1" applyFill="1" applyBorder="1" applyAlignment="1"/>
    <xf numFmtId="3" fontId="128" fillId="0" borderId="10" xfId="0" applyFont="1" applyBorder="1" applyAlignment="1">
      <alignment vertical="center" wrapText="1"/>
    </xf>
    <xf numFmtId="3" fontId="128" fillId="0" borderId="2" xfId="0" applyFont="1" applyBorder="1" applyAlignment="1">
      <alignment vertical="center" wrapText="1"/>
    </xf>
    <xf numFmtId="0" fontId="128" fillId="0" borderId="10" xfId="0" applyNumberFormat="1" applyFont="1" applyBorder="1" applyAlignment="1">
      <alignment vertical="center"/>
    </xf>
    <xf numFmtId="0" fontId="128" fillId="0" borderId="2" xfId="0" applyNumberFormat="1" applyFont="1" applyBorder="1" applyAlignment="1">
      <alignment vertical="center"/>
    </xf>
    <xf numFmtId="0" fontId="0" fillId="7" borderId="10" xfId="0" applyNumberFormat="1" applyFont="1" applyFill="1" applyBorder="1" applyAlignment="1">
      <alignment horizontal="center" vertical="center"/>
    </xf>
    <xf numFmtId="14" fontId="128" fillId="0" borderId="0" xfId="0" applyNumberFormat="1" applyFont="1">
      <alignment horizontal="left" vertical="center" wrapText="1"/>
    </xf>
    <xf numFmtId="3" fontId="0" fillId="0" borderId="13" xfId="0" applyFont="1" applyBorder="1" applyAlignment="1">
      <alignment vertical="center" wrapText="1"/>
    </xf>
    <xf numFmtId="184" fontId="128" fillId="0" borderId="13" xfId="0" applyNumberFormat="1" applyFont="1" applyBorder="1" applyAlignment="1">
      <alignment vertical="center" wrapText="1"/>
    </xf>
    <xf numFmtId="184" fontId="0" fillId="0" borderId="1" xfId="0" applyNumberFormat="1" applyFont="1" applyBorder="1">
      <alignment horizontal="left" vertical="center" wrapText="1"/>
    </xf>
    <xf numFmtId="184" fontId="0" fillId="0" borderId="1" xfId="0" applyNumberFormat="1" applyFont="1" applyBorder="1" applyAlignment="1">
      <alignment vertical="center" wrapText="1"/>
    </xf>
    <xf numFmtId="170" fontId="128" fillId="0" borderId="13" xfId="0" applyNumberFormat="1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/>
    </xf>
    <xf numFmtId="4" fontId="128" fillId="0" borderId="7" xfId="0" applyNumberFormat="1" applyFont="1" applyBorder="1">
      <alignment horizontal="left" vertical="center" wrapText="1"/>
    </xf>
    <xf numFmtId="0" fontId="0" fillId="7" borderId="1" xfId="0" applyNumberFormat="1" applyFont="1" applyFill="1" applyBorder="1" applyAlignment="1">
      <alignment vertical="center"/>
    </xf>
    <xf numFmtId="0" fontId="0" fillId="7" borderId="1" xfId="0" applyNumberFormat="1" applyFont="1" applyFill="1" applyBorder="1" applyAlignment="1"/>
    <xf numFmtId="2" fontId="128" fillId="0" borderId="2" xfId="0" applyNumberFormat="1" applyFont="1" applyBorder="1" applyAlignment="1">
      <alignment horizontal="center" vertical="center"/>
    </xf>
    <xf numFmtId="2" fontId="128" fillId="0" borderId="2" xfId="0" applyNumberFormat="1" applyFont="1" applyFill="1" applyBorder="1" applyAlignment="1">
      <alignment horizontal="center" vertical="center"/>
    </xf>
    <xf numFmtId="4" fontId="128" fillId="0" borderId="2" xfId="0" applyNumberFormat="1" applyFont="1" applyBorder="1">
      <alignment horizontal="left" vertical="center" wrapText="1"/>
    </xf>
    <xf numFmtId="4" fontId="128" fillId="0" borderId="2" xfId="0" applyNumberFormat="1" applyFont="1" applyBorder="1" applyAlignment="1">
      <alignment horizontal="center" vertical="center" wrapText="1"/>
    </xf>
    <xf numFmtId="0" fontId="0" fillId="7" borderId="1" xfId="0" applyNumberFormat="1" applyFont="1" applyFill="1" applyBorder="1" applyAlignment="1">
      <alignment horizontal="center" vertical="center"/>
    </xf>
    <xf numFmtId="4" fontId="128" fillId="0" borderId="6" xfId="0" applyNumberFormat="1" applyFont="1" applyBorder="1">
      <alignment horizontal="left" vertical="center" wrapText="1"/>
    </xf>
    <xf numFmtId="0" fontId="24" fillId="7" borderId="1" xfId="0" applyNumberFormat="1" applyFont="1" applyFill="1" applyBorder="1" applyAlignment="1"/>
    <xf numFmtId="0" fontId="128" fillId="7" borderId="4" xfId="0" applyNumberFormat="1" applyFont="1" applyFill="1" applyBorder="1">
      <alignment horizontal="left" vertical="center" wrapText="1"/>
    </xf>
    <xf numFmtId="183" fontId="128" fillId="0" borderId="7" xfId="5" applyNumberFormat="1" applyFont="1" applyBorder="1" applyAlignment="1">
      <alignment horizontal="left" vertical="center" wrapText="1"/>
    </xf>
    <xf numFmtId="0" fontId="0" fillId="7" borderId="1" xfId="0" applyNumberFormat="1" applyFont="1" applyFill="1" applyBorder="1">
      <alignment horizontal="left" vertical="center" wrapText="1"/>
    </xf>
    <xf numFmtId="0" fontId="139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39" fillId="0" borderId="0" xfId="71" applyFill="1"/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Font="1" applyFill="1"/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0" fontId="4" fillId="0" borderId="0" xfId="71" applyNumberFormat="1" applyFont="1" applyFill="1" applyAlignment="1">
      <alignment horizontal="left"/>
    </xf>
    <xf numFmtId="2" fontId="4" fillId="0" borderId="0" xfId="71" applyNumberFormat="1" applyFont="1"/>
    <xf numFmtId="0" fontId="139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39" fillId="0" borderId="0" xfId="71" applyFill="1"/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0" fontId="4" fillId="0" borderId="0" xfId="71" applyNumberFormat="1" applyFont="1" applyFill="1" applyAlignment="1">
      <alignment horizontal="left"/>
    </xf>
    <xf numFmtId="2" fontId="4" fillId="0" borderId="0" xfId="71" applyNumberFormat="1" applyFont="1"/>
    <xf numFmtId="0" fontId="139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39" fillId="0" borderId="0" xfId="71" applyFill="1"/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0" fontId="4" fillId="0" borderId="0" xfId="71" applyNumberFormat="1" applyFont="1" applyFill="1" applyAlignment="1">
      <alignment horizontal="left"/>
    </xf>
    <xf numFmtId="2" fontId="4" fillId="0" borderId="0" xfId="71" applyNumberFormat="1" applyFont="1"/>
    <xf numFmtId="0" fontId="139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39" fillId="0" borderId="0" xfId="71" applyFill="1"/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0" fontId="4" fillId="0" borderId="0" xfId="71" applyNumberFormat="1" applyFont="1" applyFill="1" applyAlignment="1">
      <alignment horizontal="left"/>
    </xf>
    <xf numFmtId="2" fontId="4" fillId="0" borderId="0" xfId="71" applyNumberFormat="1" applyFont="1"/>
    <xf numFmtId="0" fontId="139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39" fillId="0" borderId="0" xfId="71" applyFill="1"/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39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Font="1" applyFill="1"/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0" fontId="4" fillId="0" borderId="0" xfId="71" applyNumberFormat="1" applyFont="1" applyFill="1" applyAlignment="1">
      <alignment horizontal="left"/>
    </xf>
    <xf numFmtId="2" fontId="4" fillId="0" borderId="0" xfId="71" applyNumberFormat="1" applyFont="1"/>
    <xf numFmtId="0" fontId="139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39" fillId="0" borderId="0" xfId="71" applyFill="1"/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139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39" fillId="0" borderId="0" xfId="71" applyFill="1"/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139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39" fillId="0" borderId="0" xfId="71" applyFill="1"/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139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Font="1" applyFill="1"/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2" fontId="4" fillId="0" borderId="0" xfId="71" applyNumberFormat="1" applyFont="1"/>
    <xf numFmtId="164" fontId="4" fillId="0" borderId="0" xfId="71" applyNumberFormat="1" applyFont="1" applyFill="1"/>
    <xf numFmtId="164" fontId="4" fillId="0" borderId="0" xfId="71" applyNumberFormat="1" applyFont="1" applyFill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2" fontId="4" fillId="0" borderId="0" xfId="71" applyNumberFormat="1" applyFont="1"/>
    <xf numFmtId="164" fontId="4" fillId="0" borderId="0" xfId="71" applyNumberFormat="1" applyFont="1" applyFill="1"/>
    <xf numFmtId="164" fontId="4" fillId="0" borderId="0" xfId="71" applyNumberFormat="1" applyFont="1" applyFill="1" applyAlignment="1">
      <alignment horizontal="left"/>
    </xf>
    <xf numFmtId="0" fontId="4" fillId="0" borderId="0" xfId="71" applyFont="1"/>
    <xf numFmtId="14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0" fontId="4" fillId="0" borderId="0" xfId="71" applyNumberFormat="1" applyFont="1" applyFill="1" applyAlignment="1">
      <alignment horizontal="left"/>
    </xf>
    <xf numFmtId="2" fontId="4" fillId="0" borderId="0" xfId="71" applyNumberFormat="1" applyFont="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0" fontId="4" fillId="0" borderId="0" xfId="71" applyNumberFormat="1" applyFont="1" applyFill="1" applyAlignment="1">
      <alignment horizontal="left"/>
    </xf>
    <xf numFmtId="2" fontId="4" fillId="0" borderId="0" xfId="71" applyNumberFormat="1" applyFont="1"/>
    <xf numFmtId="3" fontId="24" fillId="7" borderId="1" xfId="0" applyFont="1" applyFill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0" fontId="15" fillId="0" borderId="0" xfId="42" applyFont="1"/>
    <xf numFmtId="14" fontId="15" fillId="0" borderId="0" xfId="42" applyNumberFormat="1" applyFont="1"/>
    <xf numFmtId="0" fontId="139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39" fillId="0" borderId="0" xfId="71" applyFill="1"/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0" fontId="4" fillId="0" borderId="0" xfId="71" applyNumberFormat="1" applyFont="1" applyFill="1" applyAlignment="1">
      <alignment horizontal="left"/>
    </xf>
    <xf numFmtId="0" fontId="4" fillId="0" borderId="0" xfId="7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4" fillId="0" borderId="0" xfId="7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0" fontId="4" fillId="0" borderId="0" xfId="71" applyNumberFormat="1" applyFont="1" applyFill="1" applyAlignment="1">
      <alignment horizontal="left"/>
    </xf>
    <xf numFmtId="2" fontId="4" fillId="0" borderId="0" xfId="71" applyNumberFormat="1" applyFont="1"/>
    <xf numFmtId="0" fontId="139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39" fillId="0" borderId="0" xfId="71" applyFill="1"/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139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39" fillId="0" borderId="0" xfId="71" applyFill="1"/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0" fontId="4" fillId="0" borderId="0" xfId="71" applyNumberFormat="1" applyFont="1" applyFill="1" applyAlignment="1">
      <alignment horizontal="left"/>
    </xf>
    <xf numFmtId="2" fontId="4" fillId="0" borderId="0" xfId="71" applyNumberFormat="1" applyFont="1"/>
    <xf numFmtId="0" fontId="15" fillId="0" borderId="0" xfId="42" applyNumberFormat="1" applyFont="1"/>
    <xf numFmtId="49" fontId="15" fillId="0" borderId="0" xfId="42" applyNumberFormat="1" applyFont="1"/>
    <xf numFmtId="165" fontId="15" fillId="0" borderId="0" xfId="42" applyNumberFormat="1" applyFont="1"/>
    <xf numFmtId="0" fontId="4" fillId="0" borderId="0" xfId="9"/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0" fontId="4" fillId="0" borderId="0" xfId="9" applyNumberFormat="1" applyFont="1" applyFill="1"/>
    <xf numFmtId="0" fontId="4" fillId="0" borderId="0" xfId="9" applyNumberFormat="1" applyFont="1" applyFill="1" applyAlignment="1">
      <alignment horizontal="left"/>
    </xf>
    <xf numFmtId="2" fontId="4" fillId="0" borderId="0" xfId="9" applyNumberFormat="1" applyFont="1"/>
    <xf numFmtId="0" fontId="4" fillId="0" borderId="0" xfId="9"/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ill="1"/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9" applyNumberFormat="1" applyFont="1" applyFill="1" applyBorder="1" applyAlignment="1">
      <alignment horizontal="right"/>
    </xf>
    <xf numFmtId="0" fontId="4" fillId="0" borderId="0" xfId="9" applyNumberFormat="1" applyFont="1" applyFill="1" applyBorder="1" applyAlignment="1">
      <alignment horizontal="right"/>
    </xf>
    <xf numFmtId="164" fontId="4" fillId="0" borderId="0" xfId="9" applyNumberFormat="1" applyFont="1" applyFill="1" applyBorder="1" applyAlignment="1">
      <alignment horizontal="left"/>
    </xf>
    <xf numFmtId="0" fontId="4" fillId="0" borderId="0" xfId="9" applyNumberFormat="1" applyFont="1" applyFill="1"/>
    <xf numFmtId="0" fontId="4" fillId="0" borderId="0" xfId="9" applyNumberFormat="1" applyFont="1" applyFill="1" applyAlignment="1">
      <alignment horizontal="left"/>
    </xf>
    <xf numFmtId="3" fontId="15" fillId="0" borderId="0" xfId="0" applyFont="1" applyAlignment="1"/>
    <xf numFmtId="14" fontId="15" fillId="0" borderId="0" xfId="0" applyNumberFormat="1" applyFont="1" applyAlignment="1"/>
    <xf numFmtId="0" fontId="15" fillId="0" borderId="0" xfId="0" applyNumberFormat="1" applyFont="1" applyAlignment="1"/>
    <xf numFmtId="49" fontId="15" fillId="0" borderId="0" xfId="0" applyNumberFormat="1" applyFont="1" applyAlignment="1"/>
    <xf numFmtId="165" fontId="15" fillId="0" borderId="0" xfId="0" applyNumberFormat="1" applyFont="1" applyAlignment="1"/>
    <xf numFmtId="0" fontId="4" fillId="0" borderId="0" xfId="9"/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ill="1"/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9" applyNumberFormat="1" applyFont="1" applyFill="1" applyBorder="1" applyAlignment="1">
      <alignment horizontal="right"/>
    </xf>
    <xf numFmtId="0" fontId="4" fillId="0" borderId="0" xfId="9" applyNumberFormat="1" applyFont="1" applyFill="1" applyBorder="1" applyAlignment="1">
      <alignment horizontal="right"/>
    </xf>
    <xf numFmtId="164" fontId="4" fillId="0" borderId="0" xfId="9" applyNumberFormat="1" applyFont="1" applyFill="1" applyBorder="1" applyAlignment="1">
      <alignment horizontal="left"/>
    </xf>
    <xf numFmtId="0" fontId="4" fillId="0" borderId="0" xfId="9" applyNumberFormat="1" applyFont="1" applyFill="1"/>
    <xf numFmtId="0" fontId="4" fillId="0" borderId="0" xfId="9" applyNumberFormat="1" applyFont="1" applyFill="1" applyAlignment="1">
      <alignment horizontal="left"/>
    </xf>
    <xf numFmtId="0" fontId="4" fillId="0" borderId="0" xfId="9"/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/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0" fontId="4" fillId="0" borderId="0" xfId="9" applyNumberFormat="1" applyFont="1" applyFill="1"/>
    <xf numFmtId="0" fontId="4" fillId="0" borderId="0" xfId="9" applyNumberFormat="1" applyFont="1" applyFill="1" applyAlignment="1">
      <alignment horizontal="left"/>
    </xf>
    <xf numFmtId="2" fontId="4" fillId="0" borderId="0" xfId="9" applyNumberFormat="1" applyFont="1"/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0" fontId="4" fillId="0" borderId="0" xfId="9" applyNumberFormat="1" applyFont="1" applyFill="1"/>
    <xf numFmtId="0" fontId="4" fillId="0" borderId="0" xfId="9" applyNumberFormat="1" applyFont="1" applyFill="1" applyAlignment="1">
      <alignment horizontal="left"/>
    </xf>
    <xf numFmtId="2" fontId="4" fillId="0" borderId="0" xfId="9" applyNumberFormat="1" applyFont="1"/>
    <xf numFmtId="0" fontId="4" fillId="0" borderId="0" xfId="9" applyFont="1"/>
    <xf numFmtId="14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164" fontId="4" fillId="0" borderId="0" xfId="9" applyNumberFormat="1" applyFont="1"/>
    <xf numFmtId="0" fontId="4" fillId="0" borderId="0" xfId="9" applyFill="1" applyBorder="1" applyAlignment="1">
      <alignment horizontal="left"/>
    </xf>
    <xf numFmtId="0" fontId="4" fillId="0" borderId="0" xfId="9" applyNumberFormat="1" applyFont="1"/>
    <xf numFmtId="0" fontId="4" fillId="0" borderId="0" xfId="9" applyNumberFormat="1" applyFont="1" applyAlignment="1">
      <alignment horizontal="left"/>
    </xf>
    <xf numFmtId="0" fontId="4" fillId="0" borderId="0" xfId="9" applyFill="1"/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9" applyNumberFormat="1" applyFont="1" applyFill="1" applyBorder="1" applyAlignment="1">
      <alignment horizontal="right"/>
    </xf>
    <xf numFmtId="0" fontId="4" fillId="0" borderId="0" xfId="9" applyNumberFormat="1" applyFont="1" applyFill="1" applyBorder="1" applyAlignment="1">
      <alignment horizontal="right"/>
    </xf>
    <xf numFmtId="164" fontId="4" fillId="0" borderId="0" xfId="9" applyNumberFormat="1" applyFont="1" applyAlignment="1">
      <alignment horizontal="left"/>
    </xf>
    <xf numFmtId="164" fontId="4" fillId="0" borderId="0" xfId="9" applyNumberFormat="1" applyFont="1" applyFill="1" applyBorder="1" applyAlignment="1">
      <alignment horizontal="left"/>
    </xf>
    <xf numFmtId="0" fontId="4" fillId="0" borderId="0" xfId="9" applyNumberFormat="1" applyFont="1" applyFill="1"/>
    <xf numFmtId="0" fontId="4" fillId="0" borderId="0" xfId="9" applyFont="1"/>
    <xf numFmtId="14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/>
    <xf numFmtId="0" fontId="4" fillId="0" borderId="0" xfId="9" applyNumberFormat="1" applyFont="1" applyAlignment="1">
      <alignment horizontal="left"/>
    </xf>
    <xf numFmtId="0" fontId="4" fillId="0" borderId="0" xfId="9" applyFill="1"/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9" applyNumberFormat="1" applyFont="1" applyFill="1" applyBorder="1" applyAlignment="1">
      <alignment horizontal="right"/>
    </xf>
    <xf numFmtId="0" fontId="4" fillId="0" borderId="0" xfId="9" applyNumberFormat="1" applyFont="1" applyFill="1" applyBorder="1" applyAlignment="1">
      <alignment horizontal="right"/>
    </xf>
    <xf numFmtId="164" fontId="4" fillId="0" borderId="0" xfId="9" applyNumberFormat="1" applyFont="1" applyFill="1" applyBorder="1" applyAlignment="1">
      <alignment horizontal="left"/>
    </xf>
    <xf numFmtId="0" fontId="4" fillId="0" borderId="0" xfId="9" applyNumberFormat="1" applyFont="1" applyFill="1"/>
    <xf numFmtId="0" fontId="4" fillId="0" borderId="0" xfId="9" applyFont="1"/>
    <xf numFmtId="14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/>
    <xf numFmtId="0" fontId="4" fillId="0" borderId="0" xfId="9" applyNumberFormat="1" applyFont="1" applyAlignment="1">
      <alignment horizontal="left"/>
    </xf>
    <xf numFmtId="0" fontId="4" fillId="0" borderId="0" xfId="9" applyFill="1"/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9" applyNumberFormat="1" applyFont="1" applyFill="1" applyBorder="1" applyAlignment="1">
      <alignment horizontal="right"/>
    </xf>
    <xf numFmtId="0" fontId="4" fillId="0" borderId="0" xfId="9" applyNumberFormat="1" applyFont="1" applyFill="1" applyBorder="1" applyAlignment="1">
      <alignment horizontal="right"/>
    </xf>
    <xf numFmtId="164" fontId="4" fillId="0" borderId="0" xfId="9" applyNumberFormat="1" applyFont="1" applyFill="1" applyBorder="1" applyAlignment="1">
      <alignment horizontal="left"/>
    </xf>
    <xf numFmtId="0" fontId="4" fillId="0" borderId="0" xfId="9" applyNumberFormat="1" applyFont="1" applyFill="1"/>
    <xf numFmtId="0" fontId="4" fillId="0" borderId="0" xfId="9" applyFont="1"/>
    <xf numFmtId="14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/>
    <xf numFmtId="0" fontId="4" fillId="0" borderId="0" xfId="9" applyNumberFormat="1" applyFont="1" applyAlignment="1">
      <alignment horizontal="left"/>
    </xf>
    <xf numFmtId="0" fontId="4" fillId="0" borderId="0" xfId="9" applyFill="1"/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9" applyNumberFormat="1" applyFont="1" applyFill="1" applyBorder="1" applyAlignment="1">
      <alignment horizontal="right"/>
    </xf>
    <xf numFmtId="0" fontId="4" fillId="0" borderId="0" xfId="9" applyNumberFormat="1" applyFont="1" applyFill="1" applyBorder="1" applyAlignment="1">
      <alignment horizontal="right"/>
    </xf>
    <xf numFmtId="164" fontId="4" fillId="0" borderId="0" xfId="9" applyNumberFormat="1" applyFont="1" applyFill="1" applyBorder="1" applyAlignment="1">
      <alignment horizontal="left"/>
    </xf>
    <xf numFmtId="0" fontId="4" fillId="0" borderId="0" xfId="9" applyNumberFormat="1" applyFont="1" applyFill="1"/>
    <xf numFmtId="0" fontId="4" fillId="0" borderId="0" xfId="9" applyFont="1"/>
    <xf numFmtId="14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/>
    <xf numFmtId="0" fontId="4" fillId="0" borderId="0" xfId="9" applyNumberFormat="1" applyFont="1" applyAlignment="1">
      <alignment horizontal="left"/>
    </xf>
    <xf numFmtId="0" fontId="4" fillId="0" borderId="0" xfId="9" applyFill="1"/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9" applyNumberFormat="1" applyFont="1" applyFill="1" applyBorder="1" applyAlignment="1">
      <alignment horizontal="right"/>
    </xf>
    <xf numFmtId="0" fontId="4" fillId="0" borderId="0" xfId="9" applyNumberFormat="1" applyFont="1" applyFill="1" applyBorder="1" applyAlignment="1">
      <alignment horizontal="right"/>
    </xf>
    <xf numFmtId="164" fontId="4" fillId="0" borderId="0" xfId="9" applyNumberFormat="1" applyFont="1" applyFill="1" applyBorder="1" applyAlignment="1">
      <alignment horizontal="left"/>
    </xf>
    <xf numFmtId="0" fontId="4" fillId="0" borderId="0" xfId="9" applyNumberFormat="1" applyFont="1" applyFill="1"/>
    <xf numFmtId="0" fontId="4" fillId="0" borderId="0" xfId="9" applyFont="1"/>
    <xf numFmtId="14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/>
    <xf numFmtId="0" fontId="4" fillId="0" borderId="0" xfId="9" applyNumberFormat="1" applyFont="1" applyAlignment="1">
      <alignment horizontal="left"/>
    </xf>
    <xf numFmtId="0" fontId="4" fillId="0" borderId="0" xfId="9" applyFill="1"/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9" applyNumberFormat="1" applyFont="1" applyFill="1" applyBorder="1" applyAlignment="1">
      <alignment horizontal="right"/>
    </xf>
    <xf numFmtId="0" fontId="4" fillId="0" borderId="0" xfId="9" applyNumberFormat="1" applyFont="1" applyFill="1" applyBorder="1" applyAlignment="1">
      <alignment horizontal="right"/>
    </xf>
    <xf numFmtId="164" fontId="4" fillId="0" borderId="0" xfId="9" applyNumberFormat="1" applyFont="1" applyFill="1" applyBorder="1" applyAlignment="1">
      <alignment horizontal="left"/>
    </xf>
    <xf numFmtId="0" fontId="4" fillId="0" borderId="0" xfId="9" applyNumberFormat="1" applyFont="1" applyFill="1"/>
    <xf numFmtId="0" fontId="4" fillId="0" borderId="0" xfId="9"/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/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/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3" fontId="0" fillId="0" borderId="1" xfId="0" applyBorder="1" applyAlignment="1">
      <alignment horizontal="center" vertical="center" wrapText="1"/>
    </xf>
    <xf numFmtId="0" fontId="139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39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Font="1" applyFill="1"/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14" fontId="10" fillId="0" borderId="0" xfId="0" applyNumberFormat="1" applyFont="1" applyAlignment="1"/>
    <xf numFmtId="14" fontId="4" fillId="0" borderId="0" xfId="9" applyNumberFormat="1" applyFont="1" applyFill="1"/>
    <xf numFmtId="0" fontId="10" fillId="0" borderId="0" xfId="71" applyNumberFormat="1" applyFont="1" applyFill="1" applyBorder="1" applyAlignment="1">
      <alignment horizontal="left"/>
    </xf>
    <xf numFmtId="0" fontId="10" fillId="0" borderId="0" xfId="71" applyFont="1"/>
    <xf numFmtId="14" fontId="4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/>
    <xf numFmtId="1" fontId="4" fillId="0" borderId="0" xfId="0" applyNumberFormat="1" applyFont="1" applyFill="1" applyAlignment="1"/>
    <xf numFmtId="14" fontId="4" fillId="0" borderId="0" xfId="0" applyNumberFormat="1" applyFont="1" applyFill="1" applyAlignment="1"/>
    <xf numFmtId="1" fontId="0" fillId="0" borderId="0" xfId="0" applyNumberFormat="1" applyFill="1" applyAlignment="1"/>
    <xf numFmtId="14" fontId="0" fillId="0" borderId="0" xfId="0" applyNumberFormat="1" applyFill="1" applyAlignment="1"/>
    <xf numFmtId="14" fontId="4" fillId="0" borderId="0" xfId="9" applyNumberFormat="1" applyFont="1" applyFill="1" applyAlignment="1">
      <alignment horizontal="right"/>
    </xf>
    <xf numFmtId="1" fontId="4" fillId="0" borderId="0" xfId="9" applyNumberFormat="1" applyFill="1" applyBorder="1" applyAlignment="1">
      <alignment horizontal="center" vertical="center"/>
    </xf>
    <xf numFmtId="1" fontId="4" fillId="0" borderId="0" xfId="9" applyNumberFormat="1" applyFont="1" applyFill="1" applyAlignment="1">
      <alignment horizontal="center" vertical="center"/>
    </xf>
    <xf numFmtId="0" fontId="4" fillId="0" borderId="0" xfId="9" applyNumberFormat="1" applyFont="1" applyFill="1" applyAlignment="1">
      <alignment horizontal="center" vertical="center"/>
    </xf>
    <xf numFmtId="0" fontId="4" fillId="0" borderId="0" xfId="9" applyNumberFormat="1" applyFont="1" applyFill="1" applyBorder="1" applyAlignment="1">
      <alignment horizontal="center" vertical="center"/>
    </xf>
    <xf numFmtId="0" fontId="4" fillId="0" borderId="0" xfId="9" applyFont="1" applyFill="1" applyAlignment="1">
      <alignment horizontal="center" vertical="center"/>
    </xf>
    <xf numFmtId="1" fontId="4" fillId="0" borderId="0" xfId="9" applyNumberFormat="1" applyFont="1" applyFill="1" applyBorder="1" applyAlignment="1">
      <alignment horizontal="right"/>
    </xf>
    <xf numFmtId="1" fontId="24" fillId="7" borderId="2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3" fontId="24" fillId="0" borderId="7" xfId="0" applyFont="1" applyBorder="1">
      <alignment horizontal="left" vertical="center" wrapText="1"/>
    </xf>
    <xf numFmtId="3" fontId="24" fillId="0" borderId="1" xfId="0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left"/>
    </xf>
    <xf numFmtId="3" fontId="38" fillId="0" borderId="0" xfId="0" applyFont="1" applyAlignment="1"/>
    <xf numFmtId="164" fontId="4" fillId="0" borderId="1" xfId="0" applyNumberFormat="1" applyFont="1" applyFill="1" applyBorder="1" applyAlignment="1">
      <alignment horizontal="right"/>
    </xf>
    <xf numFmtId="164" fontId="4" fillId="0" borderId="1" xfId="71" applyNumberFormat="1" applyFont="1" applyFill="1" applyBorder="1" applyAlignment="1">
      <alignment horizontal="right"/>
    </xf>
    <xf numFmtId="3" fontId="5" fillId="7" borderId="7" xfId="0" applyFont="1" applyFill="1" applyBorder="1">
      <alignment horizontal="left" vertical="center" wrapText="1"/>
    </xf>
    <xf numFmtId="3" fontId="0" fillId="7" borderId="7" xfId="0" applyFill="1" applyBorder="1" applyAlignment="1">
      <alignment horizontal="left" vertical="center"/>
    </xf>
    <xf numFmtId="0" fontId="4" fillId="7" borderId="1" xfId="71" applyNumberFormat="1" applyFont="1" applyFill="1" applyBorder="1"/>
    <xf numFmtId="0" fontId="4" fillId="7" borderId="1" xfId="9" applyNumberFormat="1" applyFont="1" applyFill="1" applyBorder="1"/>
    <xf numFmtId="0" fontId="4" fillId="0" borderId="1" xfId="71" applyNumberFormat="1" applyFont="1" applyFill="1" applyBorder="1"/>
    <xf numFmtId="164" fontId="4" fillId="7" borderId="1" xfId="71" applyNumberFormat="1" applyFont="1" applyFill="1" applyBorder="1" applyAlignment="1">
      <alignment horizontal="right"/>
    </xf>
    <xf numFmtId="177" fontId="39" fillId="0" borderId="0" xfId="0" applyNumberFormat="1" applyFont="1">
      <alignment horizontal="left" vertical="center" wrapText="1"/>
    </xf>
    <xf numFmtId="165" fontId="37" fillId="2" borderId="1" xfId="0" applyNumberFormat="1" applyFont="1" applyFill="1" applyBorder="1" applyAlignment="1">
      <alignment horizontal="left" vertical="top" wrapText="1"/>
    </xf>
    <xf numFmtId="164" fontId="37" fillId="2" borderId="1" xfId="0" applyNumberFormat="1" applyFont="1" applyFill="1" applyBorder="1" applyAlignment="1">
      <alignment horizontal="left" vertical="top" wrapText="1"/>
    </xf>
    <xf numFmtId="164" fontId="37" fillId="2" borderId="0" xfId="0" applyNumberFormat="1" applyFont="1" applyFill="1" applyBorder="1" applyAlignment="1">
      <alignment horizontal="left" vertical="top" wrapText="1"/>
    </xf>
    <xf numFmtId="15" fontId="76" fillId="10" borderId="7" xfId="0" applyNumberFormat="1" applyFont="1" applyFill="1" applyBorder="1">
      <alignment horizontal="left" vertical="center" wrapText="1"/>
    </xf>
    <xf numFmtId="165" fontId="37" fillId="2" borderId="7" xfId="0" applyNumberFormat="1" applyFont="1" applyFill="1" applyBorder="1" applyAlignment="1">
      <alignment horizontal="left" vertical="top" wrapText="1"/>
    </xf>
    <xf numFmtId="164" fontId="37" fillId="2" borderId="7" xfId="0" applyNumberFormat="1" applyFont="1" applyFill="1" applyBorder="1" applyAlignment="1">
      <alignment horizontal="left" vertical="top" wrapText="1"/>
    </xf>
    <xf numFmtId="3" fontId="38" fillId="0" borderId="1" xfId="0" applyFont="1" applyBorder="1">
      <alignment horizontal="left" vertical="center" wrapText="1"/>
    </xf>
    <xf numFmtId="3" fontId="5" fillId="2" borderId="0" xfId="0" applyFont="1" applyFill="1" applyAlignment="1">
      <alignment horizontal="center"/>
    </xf>
    <xf numFmtId="3" fontId="0" fillId="0" borderId="1" xfId="0" applyBorder="1" applyAlignment="1">
      <alignment horizontal="center" vertical="center" wrapText="1"/>
    </xf>
    <xf numFmtId="187" fontId="89" fillId="17" borderId="50" xfId="0" applyNumberFormat="1" applyFont="1" applyFill="1" applyBorder="1" applyAlignment="1">
      <alignment horizontal="left" vertical="center" wrapText="1"/>
    </xf>
    <xf numFmtId="187" fontId="89" fillId="17" borderId="39" xfId="0" applyNumberFormat="1" applyFont="1" applyFill="1" applyBorder="1" applyAlignment="1">
      <alignment horizontal="left" vertical="center" wrapText="1"/>
    </xf>
    <xf numFmtId="187" fontId="89" fillId="17" borderId="40" xfId="0" applyNumberFormat="1" applyFont="1" applyFill="1" applyBorder="1" applyAlignment="1">
      <alignment horizontal="left" vertical="center" wrapText="1"/>
    </xf>
    <xf numFmtId="3" fontId="146" fillId="0" borderId="18" xfId="0" applyFont="1" applyBorder="1" applyAlignment="1">
      <alignment horizontal="center" vertical="center" wrapText="1"/>
    </xf>
    <xf numFmtId="3" fontId="146" fillId="0" borderId="19" xfId="0" applyFont="1" applyBorder="1" applyAlignment="1">
      <alignment horizontal="center" vertical="center" wrapText="1"/>
    </xf>
    <xf numFmtId="3" fontId="146" fillId="0" borderId="16" xfId="0" applyFont="1" applyBorder="1" applyAlignment="1">
      <alignment horizontal="center" vertical="center" wrapText="1"/>
    </xf>
    <xf numFmtId="3" fontId="147" fillId="0" borderId="16" xfId="0" applyFont="1" applyBorder="1" applyAlignment="1">
      <alignment horizontal="center" vertical="center"/>
    </xf>
    <xf numFmtId="3" fontId="147" fillId="0" borderId="16" xfId="0" applyFont="1" applyBorder="1" applyAlignment="1">
      <alignment horizontal="center" vertical="center" wrapText="1"/>
    </xf>
    <xf numFmtId="170" fontId="84" fillId="0" borderId="0" xfId="0" applyNumberFormat="1" applyFont="1">
      <alignment horizontal="left" vertical="center" wrapText="1"/>
    </xf>
    <xf numFmtId="164" fontId="149" fillId="0" borderId="16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3" fontId="31" fillId="7" borderId="24" xfId="0" applyFont="1" applyFill="1" applyBorder="1" applyAlignment="1">
      <alignment wrapText="1"/>
    </xf>
    <xf numFmtId="174" fontId="31" fillId="0" borderId="5" xfId="0" applyNumberFormat="1" applyFont="1" applyFill="1" applyBorder="1" applyAlignment="1">
      <alignment horizontal="center" vertical="center"/>
    </xf>
    <xf numFmtId="174" fontId="31" fillId="7" borderId="5" xfId="0" applyNumberFormat="1" applyFont="1" applyFill="1" applyBorder="1" applyAlignment="1">
      <alignment horizontal="center" vertical="center" wrapText="1"/>
    </xf>
    <xf numFmtId="9" fontId="31" fillId="7" borderId="1" xfId="0" applyNumberFormat="1" applyFont="1" applyFill="1" applyBorder="1" applyAlignment="1">
      <alignment horizontal="center" vertical="center" wrapText="1"/>
    </xf>
    <xf numFmtId="1" fontId="31" fillId="0" borderId="1" xfId="5" applyNumberFormat="1" applyFont="1" applyFill="1" applyBorder="1" applyAlignment="1">
      <alignment horizontal="center" vertical="center" wrapText="1"/>
    </xf>
    <xf numFmtId="3" fontId="31" fillId="0" borderId="1" xfId="0" applyFont="1" applyFill="1" applyBorder="1" applyAlignment="1">
      <alignment horizontal="center" vertical="center" wrapText="1"/>
    </xf>
    <xf numFmtId="174" fontId="31" fillId="0" borderId="15" xfId="0" applyNumberFormat="1" applyFont="1" applyFill="1" applyBorder="1" applyAlignment="1">
      <alignment horizontal="center" vertical="center"/>
    </xf>
    <xf numFmtId="2" fontId="31" fillId="0" borderId="2" xfId="0" applyNumberFormat="1" applyFont="1" applyFill="1" applyBorder="1" applyAlignment="1">
      <alignment horizontal="center" vertical="center"/>
    </xf>
    <xf numFmtId="1" fontId="31" fillId="0" borderId="6" xfId="0" applyNumberFormat="1" applyFont="1" applyFill="1" applyBorder="1" applyAlignment="1">
      <alignment horizontal="center" vertical="center"/>
    </xf>
    <xf numFmtId="1" fontId="31" fillId="0" borderId="2" xfId="5" applyNumberFormat="1" applyFont="1" applyFill="1" applyBorder="1" applyAlignment="1">
      <alignment horizontal="center" vertical="center"/>
    </xf>
    <xf numFmtId="3" fontId="31" fillId="0" borderId="2" xfId="0" applyFont="1" applyBorder="1" applyAlignment="1">
      <alignment horizontal="center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74" fontId="31" fillId="0" borderId="5" xfId="0" applyNumberFormat="1" applyFont="1" applyBorder="1" applyAlignment="1">
      <alignment horizontal="center" vertical="center"/>
    </xf>
    <xf numFmtId="1" fontId="31" fillId="0" borderId="7" xfId="0" applyNumberFormat="1" applyFont="1" applyBorder="1" applyAlignment="1">
      <alignment horizontal="center" vertical="center"/>
    </xf>
    <xf numFmtId="174" fontId="31" fillId="7" borderId="5" xfId="0" applyNumberFormat="1" applyFont="1" applyFill="1" applyBorder="1" applyAlignment="1">
      <alignment horizontal="center" vertical="center"/>
    </xf>
    <xf numFmtId="2" fontId="31" fillId="7" borderId="1" xfId="0" applyNumberFormat="1" applyFon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 wrapText="1"/>
    </xf>
    <xf numFmtId="1" fontId="31" fillId="7" borderId="7" xfId="0" applyNumberFormat="1" applyFont="1" applyFill="1" applyBorder="1" applyAlignment="1">
      <alignment horizontal="center" vertical="center"/>
    </xf>
    <xf numFmtId="1" fontId="31" fillId="7" borderId="1" xfId="5" applyNumberFormat="1" applyFont="1" applyFill="1" applyBorder="1" applyAlignment="1">
      <alignment horizontal="center" vertical="center"/>
    </xf>
    <xf numFmtId="174" fontId="31" fillId="7" borderId="23" xfId="0" applyNumberFormat="1" applyFont="1" applyFill="1" applyBorder="1" applyAlignment="1">
      <alignment horizontal="center" vertical="center"/>
    </xf>
    <xf numFmtId="2" fontId="31" fillId="7" borderId="8" xfId="0" applyNumberFormat="1" applyFont="1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 wrapText="1"/>
    </xf>
    <xf numFmtId="1" fontId="31" fillId="7" borderId="8" xfId="0" applyNumberFormat="1" applyFont="1" applyFill="1" applyBorder="1" applyAlignment="1">
      <alignment horizontal="center" vertical="center"/>
    </xf>
    <xf numFmtId="1" fontId="31" fillId="7" borderId="8" xfId="5" applyNumberFormat="1" applyFont="1" applyFill="1" applyBorder="1" applyAlignment="1">
      <alignment horizontal="center" vertical="center"/>
    </xf>
    <xf numFmtId="3" fontId="31" fillId="7" borderId="8" xfId="0" applyFont="1" applyFill="1" applyBorder="1" applyAlignment="1">
      <alignment horizontal="center" vertical="center" wrapText="1"/>
    </xf>
    <xf numFmtId="174" fontId="31" fillId="7" borderId="1" xfId="0" applyNumberFormat="1" applyFont="1" applyFill="1" applyBorder="1" applyAlignment="1">
      <alignment horizontal="center" vertical="center"/>
    </xf>
    <xf numFmtId="1" fontId="31" fillId="7" borderId="1" xfId="0" applyNumberFormat="1" applyFont="1" applyFill="1" applyBorder="1" applyAlignment="1">
      <alignment horizontal="center" vertical="center"/>
    </xf>
    <xf numFmtId="9" fontId="31" fillId="0" borderId="2" xfId="5" applyNumberFormat="1" applyFont="1" applyFill="1" applyBorder="1" applyAlignment="1">
      <alignment horizontal="center" vertical="center"/>
    </xf>
    <xf numFmtId="9" fontId="31" fillId="7" borderId="1" xfId="0" applyNumberFormat="1" applyFont="1" applyFill="1" applyBorder="1" applyAlignment="1">
      <alignment horizontal="center" vertical="center"/>
    </xf>
    <xf numFmtId="9" fontId="31" fillId="7" borderId="8" xfId="0" applyNumberFormat="1" applyFont="1" applyFill="1" applyBorder="1" applyAlignment="1">
      <alignment horizontal="center" vertical="center"/>
    </xf>
    <xf numFmtId="14" fontId="4" fillId="0" borderId="0" xfId="9" applyNumberFormat="1" applyFill="1" applyBorder="1" applyAlignment="1">
      <alignment horizontal="left"/>
    </xf>
    <xf numFmtId="14" fontId="4" fillId="0" borderId="0" xfId="9" applyNumberFormat="1" applyFont="1" applyAlignment="1">
      <alignment horizontal="left"/>
    </xf>
    <xf numFmtId="1" fontId="4" fillId="0" borderId="1" xfId="9" applyNumberFormat="1" applyFill="1" applyBorder="1" applyAlignment="1">
      <alignment horizontal="center" vertical="center"/>
    </xf>
    <xf numFmtId="0" fontId="4" fillId="0" borderId="1" xfId="9" applyFont="1" applyBorder="1" applyAlignment="1">
      <alignment horizontal="center" vertical="center"/>
    </xf>
    <xf numFmtId="1" fontId="4" fillId="0" borderId="1" xfId="9" applyNumberFormat="1" applyFont="1" applyFill="1" applyBorder="1" applyAlignment="1">
      <alignment horizontal="center" vertical="center"/>
    </xf>
    <xf numFmtId="14" fontId="37" fillId="7" borderId="1" xfId="0" applyNumberFormat="1" applyFont="1" applyFill="1" applyBorder="1">
      <alignment horizontal="left" vertical="center" wrapText="1"/>
    </xf>
    <xf numFmtId="3" fontId="37" fillId="7" borderId="1" xfId="0" applyFont="1" applyFill="1" applyBorder="1" applyAlignment="1">
      <alignment horizontal="center" vertical="center"/>
    </xf>
    <xf numFmtId="177" fontId="38" fillId="0" borderId="1" xfId="0" applyNumberFormat="1" applyFont="1" applyFill="1" applyBorder="1" applyAlignment="1"/>
    <xf numFmtId="3" fontId="38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64" fontId="23" fillId="0" borderId="1" xfId="9" applyNumberFormat="1" applyFont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23" fillId="0" borderId="1" xfId="71" applyNumberFormat="1" applyFont="1" applyFill="1" applyBorder="1" applyAlignment="1">
      <alignment horizontal="center" vertical="center"/>
    </xf>
    <xf numFmtId="164" fontId="23" fillId="0" borderId="1" xfId="9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/>
    <xf numFmtId="0" fontId="0" fillId="0" borderId="1" xfId="71" applyNumberFormat="1" applyFont="1" applyBorder="1"/>
    <xf numFmtId="0" fontId="0" fillId="0" borderId="1" xfId="71" applyNumberFormat="1" applyFont="1" applyFill="1" applyBorder="1"/>
    <xf numFmtId="0" fontId="0" fillId="0" borderId="1" xfId="9" applyNumberFormat="1" applyFont="1" applyBorder="1"/>
    <xf numFmtId="164" fontId="23" fillId="0" borderId="1" xfId="0" applyNumberFormat="1" applyFont="1" applyBorder="1">
      <alignment horizontal="left" vertical="center" wrapText="1"/>
    </xf>
    <xf numFmtId="164" fontId="23" fillId="0" borderId="1" xfId="0" applyNumberFormat="1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 wrapText="1"/>
    </xf>
    <xf numFmtId="3" fontId="150" fillId="0" borderId="0" xfId="0" applyFont="1">
      <alignment horizontal="left" vertical="center" wrapText="1"/>
    </xf>
    <xf numFmtId="9" fontId="0" fillId="0" borderId="1" xfId="0" applyNumberFormat="1" applyBorder="1" applyAlignment="1">
      <alignment horizontal="center" vertical="center" wrapText="1"/>
    </xf>
    <xf numFmtId="3" fontId="76" fillId="16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center" vertical="center" wrapText="1"/>
    </xf>
    <xf numFmtId="3" fontId="25" fillId="0" borderId="1" xfId="0" applyFont="1" applyFill="1" applyBorder="1" applyAlignment="1">
      <alignment horizontal="center" vertical="center" wrapText="1"/>
    </xf>
    <xf numFmtId="3" fontId="25" fillId="0" borderId="1" xfId="0" applyFont="1" applyFill="1" applyBorder="1" applyAlignment="1">
      <alignment horizontal="left" vertical="top" wrapText="1"/>
    </xf>
    <xf numFmtId="3" fontId="25" fillId="0" borderId="1" xfId="0" applyFont="1" applyFill="1" applyBorder="1" applyAlignment="1">
      <alignment horizontal="left" wrapText="1"/>
    </xf>
    <xf numFmtId="1" fontId="0" fillId="0" borderId="1" xfId="0" applyNumberFormat="1" applyFont="1" applyFill="1" applyBorder="1" applyAlignment="1">
      <alignment horizontal="center" vertical="center" wrapText="1"/>
    </xf>
    <xf numFmtId="3" fontId="39" fillId="0" borderId="1" xfId="0" applyFont="1" applyFill="1" applyBorder="1" applyAlignment="1">
      <alignment horizontal="left" wrapText="1"/>
    </xf>
    <xf numFmtId="1" fontId="0" fillId="7" borderId="1" xfId="0" applyNumberFormat="1" applyFill="1" applyBorder="1">
      <alignment horizontal="left" vertical="center" wrapText="1"/>
    </xf>
    <xf numFmtId="164" fontId="13" fillId="7" borderId="1" xfId="0" applyNumberFormat="1" applyFont="1" applyFill="1" applyBorder="1" applyAlignment="1">
      <alignment horizontal="center"/>
    </xf>
    <xf numFmtId="3" fontId="0" fillId="0" borderId="1" xfId="0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3" fontId="22" fillId="7" borderId="1" xfId="0" applyFont="1" applyFill="1" applyBorder="1" applyAlignment="1">
      <alignment horizontal="left" vertical="center" wrapText="1"/>
    </xf>
    <xf numFmtId="170" fontId="0" fillId="0" borderId="5" xfId="0" applyNumberFormat="1" applyBorder="1" applyAlignment="1">
      <alignment horizontal="center" vertical="center" wrapText="1"/>
    </xf>
    <xf numFmtId="14" fontId="5" fillId="7" borderId="7" xfId="0" applyNumberFormat="1" applyFont="1" applyFill="1" applyBorder="1" applyAlignment="1">
      <alignment horizontal="center" vertical="center" wrapText="1"/>
    </xf>
    <xf numFmtId="14" fontId="5" fillId="7" borderId="7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14" fontId="24" fillId="0" borderId="0" xfId="0" applyNumberFormat="1" applyFont="1" applyAlignment="1">
      <alignment horizontal="center" vertical="center" wrapText="1"/>
    </xf>
    <xf numFmtId="3" fontId="22" fillId="7" borderId="3" xfId="0" applyFont="1" applyFill="1" applyBorder="1" applyAlignment="1">
      <alignment horizontal="left" vertical="center" wrapText="1"/>
    </xf>
    <xf numFmtId="3" fontId="22" fillId="7" borderId="1" xfId="0" applyFont="1" applyFill="1" applyBorder="1" applyAlignment="1">
      <alignment horizontal="left" vertical="center" wrapText="1"/>
    </xf>
    <xf numFmtId="3" fontId="106" fillId="0" borderId="1" xfId="0" applyFont="1" applyBorder="1" applyAlignment="1">
      <alignment horizontal="center" vertical="center" wrapText="1"/>
    </xf>
    <xf numFmtId="3" fontId="118" fillId="0" borderId="1" xfId="0" applyFont="1" applyBorder="1" applyAlignment="1">
      <alignment horizontal="left" vertical="center" wrapText="1"/>
    </xf>
    <xf numFmtId="3" fontId="4" fillId="0" borderId="1" xfId="0" applyFont="1" applyFill="1" applyBorder="1">
      <alignment horizontal="left" vertical="center" wrapText="1"/>
    </xf>
    <xf numFmtId="177" fontId="25" fillId="0" borderId="0" xfId="0" applyNumberFormat="1" applyFont="1">
      <alignment horizontal="left" vertical="center" wrapText="1"/>
    </xf>
    <xf numFmtId="177" fontId="22" fillId="7" borderId="1" xfId="0" applyNumberFormat="1" applyFont="1" applyFill="1" applyBorder="1">
      <alignment horizontal="left" vertical="center" wrapText="1"/>
    </xf>
    <xf numFmtId="177" fontId="37" fillId="7" borderId="1" xfId="0" applyNumberFormat="1" applyFont="1" applyFill="1" applyBorder="1">
      <alignment horizontal="left" vertical="center" wrapText="1"/>
    </xf>
    <xf numFmtId="3" fontId="25" fillId="0" borderId="0" xfId="0" applyFont="1" applyFill="1" applyBorder="1" applyAlignment="1">
      <alignment horizontal="center"/>
    </xf>
    <xf numFmtId="3" fontId="0" fillId="0" borderId="0" xfId="0" applyFont="1" applyFill="1" applyBorder="1" applyAlignment="1">
      <alignment horizontal="center"/>
    </xf>
    <xf numFmtId="177" fontId="39" fillId="0" borderId="1" xfId="0" applyNumberFormat="1" applyFont="1" applyBorder="1">
      <alignment horizontal="left" vertical="center" wrapText="1"/>
    </xf>
    <xf numFmtId="164" fontId="4" fillId="0" borderId="1" xfId="9" applyNumberFormat="1" applyFont="1" applyFill="1" applyBorder="1" applyAlignment="1">
      <alignment horizontal="center" vertical="center"/>
    </xf>
    <xf numFmtId="3" fontId="25" fillId="7" borderId="1" xfId="0" applyFont="1" applyFill="1" applyBorder="1" applyAlignment="1"/>
    <xf numFmtId="3" fontId="25" fillId="7" borderId="23" xfId="0" applyFont="1" applyFill="1" applyBorder="1" applyAlignment="1"/>
    <xf numFmtId="2" fontId="25" fillId="7" borderId="8" xfId="0" applyNumberFormat="1" applyFont="1" applyFill="1" applyBorder="1" applyAlignment="1"/>
    <xf numFmtId="2" fontId="151" fillId="7" borderId="8" xfId="0" applyNumberFormat="1" applyFont="1" applyFill="1" applyBorder="1" applyAlignment="1">
      <alignment wrapText="1"/>
    </xf>
    <xf numFmtId="165" fontId="25" fillId="7" borderId="24" xfId="0" applyNumberFormat="1" applyFont="1" applyFill="1" applyBorder="1" applyAlignment="1"/>
    <xf numFmtId="3" fontId="25" fillId="7" borderId="1" xfId="0" applyFont="1" applyFill="1" applyBorder="1" applyAlignment="1">
      <alignment wrapText="1"/>
    </xf>
    <xf numFmtId="187" fontId="4" fillId="0" borderId="0" xfId="0" applyNumberFormat="1" applyFont="1" applyAlignment="1">
      <alignment horizontal="left"/>
    </xf>
    <xf numFmtId="3" fontId="22" fillId="7" borderId="13" xfId="0" applyFont="1" applyFill="1" applyBorder="1" applyAlignment="1">
      <alignment horizontal="left" vertical="center" wrapText="1"/>
    </xf>
    <xf numFmtId="3" fontId="22" fillId="7" borderId="23" xfId="0" applyFont="1" applyFill="1" applyBorder="1" applyAlignment="1">
      <alignment vertical="center" wrapText="1"/>
    </xf>
    <xf numFmtId="3" fontId="22" fillId="7" borderId="14" xfId="0" applyFont="1" applyFill="1" applyBorder="1" applyAlignment="1">
      <alignment vertical="center" wrapText="1"/>
    </xf>
    <xf numFmtId="3" fontId="22" fillId="7" borderId="15" xfId="0" applyFont="1" applyFill="1" applyBorder="1" applyAlignment="1">
      <alignment vertical="center" wrapText="1"/>
    </xf>
    <xf numFmtId="3" fontId="22" fillId="7" borderId="5" xfId="0" applyFont="1" applyFill="1" applyBorder="1" applyAlignment="1">
      <alignment horizontal="left" vertical="center" wrapText="1"/>
    </xf>
    <xf numFmtId="1" fontId="4" fillId="0" borderId="1" xfId="71" applyNumberFormat="1" applyFont="1" applyBorder="1" applyAlignment="1">
      <alignment horizontal="center" vertical="center"/>
    </xf>
    <xf numFmtId="3" fontId="22" fillId="7" borderId="3" xfId="0" applyFont="1" applyFill="1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 vertical="center" wrapText="1"/>
    </xf>
    <xf numFmtId="164" fontId="4" fillId="0" borderId="0" xfId="9" applyNumberFormat="1" applyFont="1" applyAlignment="1">
      <alignment horizontal="center" vertical="center"/>
    </xf>
    <xf numFmtId="1" fontId="19" fillId="0" borderId="0" xfId="3" applyNumberFormat="1" applyFont="1" applyFill="1" applyBorder="1" applyAlignment="1">
      <alignment horizontal="center" vertical="center"/>
    </xf>
    <xf numFmtId="0" fontId="4" fillId="0" borderId="1" xfId="42" applyFont="1" applyBorder="1" applyAlignment="1">
      <alignment horizontal="center" vertical="center"/>
    </xf>
    <xf numFmtId="0" fontId="4" fillId="0" borderId="1" xfId="42" applyNumberFormat="1" applyFont="1" applyFill="1" applyBorder="1" applyAlignment="1">
      <alignment horizontal="center" vertical="center"/>
    </xf>
    <xf numFmtId="170" fontId="31" fillId="0" borderId="1" xfId="0" applyNumberFormat="1" applyFont="1" applyBorder="1" applyAlignment="1">
      <alignment horizontal="left" vertical="top"/>
    </xf>
    <xf numFmtId="3" fontId="106" fillId="0" borderId="2" xfId="0" applyFont="1" applyBorder="1" applyAlignment="1">
      <alignment horizontal="center" vertical="top" wrapText="1"/>
    </xf>
    <xf numFmtId="3" fontId="4" fillId="8" borderId="1" xfId="0" applyFont="1" applyFill="1" applyBorder="1" applyAlignment="1">
      <alignment horizontal="left" vertical="top" wrapText="1"/>
    </xf>
    <xf numFmtId="3" fontId="4" fillId="8" borderId="2" xfId="0" applyFont="1" applyFill="1" applyBorder="1" applyAlignment="1">
      <alignment horizontal="right" vertical="top" wrapText="1"/>
    </xf>
    <xf numFmtId="3" fontId="106" fillId="7" borderId="1" xfId="0" applyFont="1" applyFill="1" applyBorder="1" applyAlignment="1">
      <alignment horizontal="left" vertical="top" wrapText="1"/>
    </xf>
    <xf numFmtId="3" fontId="4" fillId="7" borderId="1" xfId="0" applyFont="1" applyFill="1" applyBorder="1" applyAlignment="1">
      <alignment horizontal="right" vertical="center" wrapText="1"/>
    </xf>
    <xf numFmtId="3" fontId="9" fillId="7" borderId="1" xfId="0" applyFont="1" applyFill="1" applyBorder="1" applyAlignment="1">
      <alignment horizontal="left" vertical="center" wrapText="1"/>
    </xf>
    <xf numFmtId="3" fontId="5" fillId="7" borderId="1" xfId="0" applyFont="1" applyFill="1" applyBorder="1" applyAlignment="1">
      <alignment vertical="center" wrapText="1"/>
    </xf>
    <xf numFmtId="3" fontId="5" fillId="7" borderId="2" xfId="0" applyFont="1" applyFill="1" applyBorder="1">
      <alignment horizontal="left" vertical="center" wrapText="1"/>
    </xf>
    <xf numFmtId="3" fontId="5" fillId="0" borderId="2" xfId="0" applyFont="1" applyBorder="1" applyAlignment="1">
      <alignment horizontal="center" vertical="top" wrapText="1"/>
    </xf>
    <xf numFmtId="170" fontId="106" fillId="0" borderId="1" xfId="0" applyNumberFormat="1" applyFont="1" applyFill="1" applyBorder="1">
      <alignment horizontal="left" vertical="center" wrapText="1"/>
    </xf>
    <xf numFmtId="3" fontId="114" fillId="0" borderId="1" xfId="0" applyFont="1" applyFill="1" applyBorder="1">
      <alignment horizontal="left" vertical="center" wrapText="1"/>
    </xf>
    <xf numFmtId="170" fontId="114" fillId="0" borderId="1" xfId="0" applyNumberFormat="1" applyFont="1" applyFill="1" applyBorder="1">
      <alignment horizontal="left" vertical="center" wrapText="1"/>
    </xf>
    <xf numFmtId="3" fontId="4" fillId="7" borderId="0" xfId="0" applyFont="1" applyFill="1">
      <alignment horizontal="left" vertical="center" wrapText="1"/>
    </xf>
    <xf numFmtId="3" fontId="109" fillId="0" borderId="0" xfId="0" applyFont="1" applyFill="1" applyBorder="1">
      <alignment horizontal="left" vertical="center" wrapText="1"/>
    </xf>
    <xf numFmtId="0" fontId="5" fillId="0" borderId="0" xfId="9" applyFont="1" applyAlignment="1">
      <alignment horizontal="right"/>
    </xf>
    <xf numFmtId="49" fontId="4" fillId="0" borderId="0" xfId="9" applyNumberFormat="1" applyAlignment="1">
      <alignment horizontal="left"/>
    </xf>
    <xf numFmtId="15" fontId="4" fillId="0" borderId="0" xfId="9" applyNumberFormat="1" applyAlignment="1">
      <alignment horizontal="left"/>
    </xf>
    <xf numFmtId="3" fontId="4" fillId="0" borderId="0" xfId="9" applyNumberFormat="1" applyAlignment="1">
      <alignment horizontal="right"/>
    </xf>
    <xf numFmtId="164" fontId="4" fillId="0" borderId="0" xfId="9" applyNumberFormat="1" applyAlignment="1">
      <alignment horizontal="right"/>
    </xf>
    <xf numFmtId="0" fontId="5" fillId="0" borderId="0" xfId="9" applyFont="1"/>
    <xf numFmtId="0" fontId="5" fillId="0" borderId="0" xfId="9" applyFont="1" applyAlignment="1">
      <alignment horizontal="left"/>
    </xf>
    <xf numFmtId="0" fontId="4" fillId="0" borderId="0" xfId="9" applyAlignment="1">
      <alignment horizontal="fill"/>
    </xf>
    <xf numFmtId="3" fontId="4" fillId="0" borderId="0" xfId="9" applyNumberFormat="1"/>
    <xf numFmtId="164" fontId="4" fillId="0" borderId="0" xfId="9" applyNumberFormat="1"/>
    <xf numFmtId="0" fontId="16" fillId="0" borderId="0" xfId="9" applyFont="1"/>
    <xf numFmtId="0" fontId="4" fillId="0" borderId="0" xfId="9" applyAlignment="1">
      <alignment horizontal="left"/>
    </xf>
    <xf numFmtId="0" fontId="25" fillId="0" borderId="1" xfId="9" applyFont="1" applyBorder="1"/>
    <xf numFmtId="3" fontId="25" fillId="0" borderId="1" xfId="0" applyFont="1" applyBorder="1" applyAlignment="1"/>
    <xf numFmtId="3" fontId="25" fillId="0" borderId="0" xfId="9" applyNumberFormat="1" applyFont="1"/>
    <xf numFmtId="9" fontId="83" fillId="0" borderId="0" xfId="5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right"/>
    </xf>
    <xf numFmtId="3" fontId="24" fillId="7" borderId="7" xfId="0" applyFont="1" applyFill="1" applyBorder="1" applyAlignment="1">
      <alignment horizontal="center"/>
    </xf>
    <xf numFmtId="3" fontId="24" fillId="7" borderId="5" xfId="0" applyFont="1" applyFill="1" applyBorder="1" applyAlignment="1">
      <alignment horizontal="center"/>
    </xf>
    <xf numFmtId="3" fontId="24" fillId="7" borderId="1" xfId="0" applyFont="1" applyFill="1" applyBorder="1" applyAlignment="1">
      <alignment horizontal="center"/>
    </xf>
    <xf numFmtId="3" fontId="23" fillId="7" borderId="1" xfId="0" applyFont="1" applyFill="1" applyBorder="1" applyAlignment="1">
      <alignment horizontal="center"/>
    </xf>
    <xf numFmtId="3" fontId="28" fillId="0" borderId="0" xfId="0" applyFont="1" applyAlignment="1">
      <alignment horizontal="center"/>
    </xf>
    <xf numFmtId="3" fontId="24" fillId="0" borderId="8" xfId="0" applyFont="1" applyFill="1" applyBorder="1" applyAlignment="1">
      <alignment horizontal="center" vertical="top" wrapText="1"/>
    </xf>
    <xf numFmtId="3" fontId="24" fillId="0" borderId="10" xfId="0" applyFont="1" applyFill="1" applyBorder="1" applyAlignment="1">
      <alignment horizontal="center" vertical="top" wrapText="1"/>
    </xf>
    <xf numFmtId="3" fontId="29" fillId="0" borderId="11" xfId="0" applyFont="1" applyBorder="1" applyAlignment="1">
      <alignment horizontal="center"/>
    </xf>
    <xf numFmtId="3" fontId="12" fillId="0" borderId="8" xfId="0" applyFont="1" applyBorder="1" applyAlignment="1">
      <alignment horizontal="left" vertical="top" wrapText="1"/>
    </xf>
    <xf numFmtId="3" fontId="12" fillId="0" borderId="10" xfId="0" applyFont="1" applyBorder="1" applyAlignment="1">
      <alignment horizontal="left" vertical="top" wrapText="1"/>
    </xf>
    <xf numFmtId="3" fontId="12" fillId="0" borderId="2" xfId="0" applyFont="1" applyBorder="1" applyAlignment="1">
      <alignment horizontal="left" vertical="top" wrapText="1"/>
    </xf>
    <xf numFmtId="3" fontId="12" fillId="0" borderId="8" xfId="0" applyFont="1" applyFill="1" applyBorder="1" applyAlignment="1">
      <alignment vertical="top" wrapText="1"/>
    </xf>
    <xf numFmtId="3" fontId="12" fillId="0" borderId="10" xfId="0" applyFont="1" applyFill="1" applyBorder="1" applyAlignment="1">
      <alignment vertical="top" wrapText="1"/>
    </xf>
    <xf numFmtId="3" fontId="12" fillId="0" borderId="2" xfId="0" applyFont="1" applyFill="1" applyBorder="1" applyAlignment="1">
      <alignment vertical="top" wrapText="1"/>
    </xf>
    <xf numFmtId="3" fontId="12" fillId="0" borderId="8" xfId="0" applyFont="1" applyBorder="1" applyAlignment="1">
      <alignment vertical="top" wrapText="1"/>
    </xf>
    <xf numFmtId="3" fontId="12" fillId="0" borderId="10" xfId="0" applyFont="1" applyBorder="1" applyAlignment="1">
      <alignment vertical="top" wrapText="1"/>
    </xf>
    <xf numFmtId="3" fontId="12" fillId="0" borderId="2" xfId="0" applyFont="1" applyBorder="1" applyAlignment="1">
      <alignment vertical="top" wrapText="1"/>
    </xf>
    <xf numFmtId="3" fontId="7" fillId="0" borderId="0" xfId="0" applyFont="1" applyBorder="1" applyAlignment="1">
      <alignment horizontal="center"/>
    </xf>
    <xf numFmtId="3" fontId="11" fillId="0" borderId="0" xfId="0" applyFont="1" applyBorder="1" applyAlignment="1">
      <alignment horizontal="center"/>
    </xf>
    <xf numFmtId="3" fontId="5" fillId="7" borderId="8" xfId="0" applyFont="1" applyFill="1" applyBorder="1" applyAlignment="1">
      <alignment horizontal="center" wrapText="1"/>
    </xf>
    <xf numFmtId="3" fontId="5" fillId="7" borderId="2" xfId="0" applyFont="1" applyFill="1" applyBorder="1" applyAlignment="1">
      <alignment horizontal="center" wrapText="1"/>
    </xf>
    <xf numFmtId="3" fontId="5" fillId="7" borderId="8" xfId="0" applyFont="1" applyFill="1" applyBorder="1" applyAlignment="1">
      <alignment horizontal="center"/>
    </xf>
    <xf numFmtId="3" fontId="5" fillId="7" borderId="2" xfId="0" applyFont="1" applyFill="1" applyBorder="1" applyAlignment="1">
      <alignment horizontal="center"/>
    </xf>
    <xf numFmtId="3" fontId="5" fillId="7" borderId="1" xfId="0" applyFont="1" applyFill="1" applyBorder="1" applyAlignment="1">
      <alignment horizontal="center"/>
    </xf>
    <xf numFmtId="3" fontId="25" fillId="0" borderId="1" xfId="0" applyFont="1" applyFill="1" applyBorder="1" applyAlignment="1">
      <alignment horizontal="left" vertical="top" wrapText="1"/>
    </xf>
    <xf numFmtId="3" fontId="12" fillId="0" borderId="1" xfId="0" applyFont="1" applyFill="1" applyBorder="1" applyAlignment="1">
      <alignment horizontal="left" vertical="top" wrapText="1"/>
    </xf>
    <xf numFmtId="3" fontId="12" fillId="0" borderId="1" xfId="0" applyFont="1" applyFill="1" applyBorder="1" applyAlignment="1">
      <alignment vertical="top" wrapText="1"/>
    </xf>
    <xf numFmtId="3" fontId="7" fillId="0" borderId="0" xfId="0" applyFont="1" applyAlignment="1">
      <alignment horizontal="center"/>
    </xf>
    <xf numFmtId="3" fontId="24" fillId="0" borderId="0" xfId="0" applyFont="1" applyAlignment="1">
      <alignment horizontal="center"/>
    </xf>
    <xf numFmtId="165" fontId="24" fillId="0" borderId="1" xfId="0" applyNumberFormat="1" applyFont="1" applyBorder="1" applyAlignment="1">
      <alignment horizontal="center"/>
    </xf>
    <xf numFmtId="3" fontId="0" fillId="7" borderId="1" xfId="0" applyFill="1" applyBorder="1" applyAlignment="1">
      <alignment horizontal="center" wrapText="1"/>
    </xf>
    <xf numFmtId="3" fontId="22" fillId="16" borderId="1" xfId="0" applyFont="1" applyFill="1" applyBorder="1" applyAlignment="1">
      <alignment horizontal="center" vertical="center"/>
    </xf>
    <xf numFmtId="3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3" fontId="18" fillId="0" borderId="0" xfId="0" applyFont="1" applyBorder="1" applyAlignment="1" applyProtection="1">
      <alignment horizontal="center" vertical="center" wrapText="1"/>
    </xf>
    <xf numFmtId="3" fontId="5" fillId="0" borderId="0" xfId="0" applyFont="1" applyAlignment="1">
      <alignment horizontal="left"/>
    </xf>
    <xf numFmtId="3" fontId="5" fillId="2" borderId="0" xfId="0" applyFont="1" applyFill="1" applyAlignment="1">
      <alignment horizontal="center"/>
    </xf>
    <xf numFmtId="3" fontId="146" fillId="0" borderId="18" xfId="0" applyFont="1" applyBorder="1" applyAlignment="1">
      <alignment horizontal="center" vertical="center" wrapText="1"/>
    </xf>
    <xf numFmtId="3" fontId="146" fillId="0" borderId="19" xfId="0" applyFont="1" applyBorder="1" applyAlignment="1">
      <alignment horizontal="center" vertical="center" wrapText="1"/>
    </xf>
    <xf numFmtId="3" fontId="99" fillId="0" borderId="18" xfId="0" applyFont="1" applyBorder="1" applyAlignment="1">
      <alignment horizontal="center" vertical="center" wrapText="1"/>
    </xf>
    <xf numFmtId="3" fontId="99" fillId="0" borderId="19" xfId="0" applyFont="1" applyBorder="1" applyAlignment="1">
      <alignment horizontal="center" vertical="center" wrapText="1"/>
    </xf>
    <xf numFmtId="3" fontId="83" fillId="0" borderId="0" xfId="0" applyFont="1" applyAlignment="1">
      <alignment horizontal="center"/>
    </xf>
    <xf numFmtId="165" fontId="95" fillId="0" borderId="11" xfId="0" applyNumberFormat="1" applyFont="1" applyBorder="1" applyAlignment="1">
      <alignment horizontal="center"/>
    </xf>
    <xf numFmtId="3" fontId="84" fillId="0" borderId="0" xfId="0" applyFont="1" applyBorder="1" applyAlignment="1">
      <alignment horizontal="center" wrapText="1"/>
    </xf>
    <xf numFmtId="3" fontId="90" fillId="7" borderId="8" xfId="0" applyFont="1" applyFill="1" applyBorder="1" applyAlignment="1">
      <alignment horizontal="center" wrapText="1"/>
    </xf>
    <xf numFmtId="3" fontId="90" fillId="7" borderId="2" xfId="0" applyFont="1" applyFill="1" applyBorder="1" applyAlignment="1">
      <alignment horizontal="center" wrapText="1"/>
    </xf>
    <xf numFmtId="3" fontId="83" fillId="0" borderId="17" xfId="0" applyFont="1" applyBorder="1" applyAlignment="1">
      <alignment horizontal="center" vertical="center"/>
    </xf>
    <xf numFmtId="3" fontId="83" fillId="0" borderId="21" xfId="0" applyFont="1" applyBorder="1" applyAlignment="1">
      <alignment horizontal="center" vertical="center"/>
    </xf>
    <xf numFmtId="3" fontId="83" fillId="0" borderId="22" xfId="0" applyFont="1" applyBorder="1" applyAlignment="1">
      <alignment horizontal="center" vertical="center"/>
    </xf>
    <xf numFmtId="3" fontId="93" fillId="0" borderId="26" xfId="0" applyFont="1" applyBorder="1" applyAlignment="1">
      <alignment horizontal="center" vertical="center" wrapText="1"/>
    </xf>
    <xf numFmtId="3" fontId="97" fillId="0" borderId="0" xfId="0" applyFont="1" applyAlignment="1">
      <alignment horizontal="center" vertical="center" wrapText="1"/>
    </xf>
    <xf numFmtId="3" fontId="83" fillId="0" borderId="11" xfId="0" applyFont="1" applyBorder="1" applyAlignment="1">
      <alignment horizontal="center" vertical="center" wrapText="1"/>
    </xf>
    <xf numFmtId="3" fontId="22" fillId="7" borderId="1" xfId="0" applyFont="1" applyFill="1" applyBorder="1" applyAlignment="1">
      <alignment horizontal="center" vertical="center" wrapText="1"/>
    </xf>
    <xf numFmtId="3" fontId="58" fillId="0" borderId="43" xfId="0" applyFont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3" fontId="7" fillId="0" borderId="7" xfId="0" applyFont="1" applyBorder="1" applyAlignment="1">
      <alignment horizontal="center"/>
    </xf>
    <xf numFmtId="3" fontId="7" fillId="0" borderId="13" xfId="0" applyFont="1" applyBorder="1" applyAlignment="1">
      <alignment horizontal="center"/>
    </xf>
    <xf numFmtId="3" fontId="7" fillId="0" borderId="5" xfId="0" applyFont="1" applyBorder="1" applyAlignment="1">
      <alignment horizontal="center"/>
    </xf>
    <xf numFmtId="3" fontId="0" fillId="0" borderId="11" xfId="0" applyBorder="1" applyAlignment="1">
      <alignment horizontal="center" vertical="center" wrapText="1"/>
    </xf>
    <xf numFmtId="3" fontId="7" fillId="7" borderId="7" xfId="0" applyFont="1" applyFill="1" applyBorder="1" applyAlignment="1">
      <alignment horizontal="center"/>
    </xf>
    <xf numFmtId="3" fontId="7" fillId="7" borderId="13" xfId="0" applyFont="1" applyFill="1" applyBorder="1" applyAlignment="1">
      <alignment horizontal="center"/>
    </xf>
    <xf numFmtId="3" fontId="7" fillId="7" borderId="5" xfId="0" applyFont="1" applyFill="1" applyBorder="1" applyAlignment="1">
      <alignment horizontal="center"/>
    </xf>
    <xf numFmtId="164" fontId="7" fillId="7" borderId="7" xfId="0" applyNumberFormat="1" applyFont="1" applyFill="1" applyBorder="1" applyAlignment="1">
      <alignment horizontal="center"/>
    </xf>
    <xf numFmtId="164" fontId="7" fillId="7" borderId="13" xfId="0" applyNumberFormat="1" applyFont="1" applyFill="1" applyBorder="1" applyAlignment="1">
      <alignment horizontal="center"/>
    </xf>
    <xf numFmtId="164" fontId="7" fillId="7" borderId="5" xfId="0" applyNumberFormat="1" applyFont="1" applyFill="1" applyBorder="1" applyAlignment="1">
      <alignment horizontal="center"/>
    </xf>
    <xf numFmtId="3" fontId="37" fillId="7" borderId="6" xfId="0" applyFont="1" applyFill="1" applyBorder="1" applyAlignment="1">
      <alignment horizontal="center"/>
    </xf>
    <xf numFmtId="3" fontId="37" fillId="7" borderId="11" xfId="0" applyFont="1" applyFill="1" applyBorder="1" applyAlignment="1">
      <alignment horizontal="center"/>
    </xf>
    <xf numFmtId="3" fontId="25" fillId="7" borderId="1" xfId="0" applyFont="1" applyFill="1" applyBorder="1" applyAlignment="1">
      <alignment horizontal="center"/>
    </xf>
    <xf numFmtId="3" fontId="0" fillId="7" borderId="1" xfId="0" applyFont="1" applyFill="1" applyBorder="1" applyAlignment="1">
      <alignment horizontal="center"/>
    </xf>
    <xf numFmtId="3" fontId="25" fillId="7" borderId="1" xfId="0" applyFont="1" applyFill="1" applyBorder="1" applyAlignment="1">
      <alignment horizontal="center" wrapText="1"/>
    </xf>
    <xf numFmtId="3" fontId="22" fillId="7" borderId="1" xfId="0" applyFont="1" applyFill="1" applyBorder="1" applyAlignment="1">
      <alignment horizontal="center" wrapText="1"/>
    </xf>
    <xf numFmtId="3" fontId="25" fillId="8" borderId="7" xfId="0" applyFont="1" applyFill="1" applyBorder="1" applyAlignment="1">
      <alignment horizontal="center"/>
    </xf>
    <xf numFmtId="3" fontId="25" fillId="8" borderId="13" xfId="0" applyFont="1" applyFill="1" applyBorder="1" applyAlignment="1">
      <alignment horizontal="center"/>
    </xf>
    <xf numFmtId="3" fontId="25" fillId="8" borderId="5" xfId="0" applyFont="1" applyFill="1" applyBorder="1" applyAlignment="1">
      <alignment horizontal="center"/>
    </xf>
    <xf numFmtId="3" fontId="25" fillId="12" borderId="1" xfId="0" applyFont="1" applyFill="1" applyBorder="1" applyAlignment="1">
      <alignment horizontal="center"/>
    </xf>
    <xf numFmtId="3" fontId="0" fillId="0" borderId="0" xfId="0" applyAlignment="1">
      <alignment horizontal="left"/>
    </xf>
    <xf numFmtId="3" fontId="5" fillId="0" borderId="11" xfId="0" applyFont="1" applyBorder="1" applyAlignment="1">
      <alignment horizontal="center"/>
    </xf>
    <xf numFmtId="3" fontId="13" fillId="0" borderId="0" xfId="0" applyFont="1" applyAlignment="1">
      <alignment horizontal="center"/>
    </xf>
    <xf numFmtId="3" fontId="39" fillId="0" borderId="0" xfId="0" applyFont="1" applyAlignment="1">
      <alignment horizontal="left"/>
    </xf>
    <xf numFmtId="3" fontId="13" fillId="0" borderId="11" xfId="0" applyFont="1" applyBorder="1" applyAlignment="1">
      <alignment horizontal="center"/>
    </xf>
    <xf numFmtId="3" fontId="4" fillId="7" borderId="1" xfId="0" applyFont="1" applyFill="1" applyBorder="1" applyAlignment="1">
      <alignment horizontal="center" vertical="center" wrapText="1"/>
    </xf>
    <xf numFmtId="3" fontId="4" fillId="0" borderId="8" xfId="0" applyFont="1" applyBorder="1" applyAlignment="1">
      <alignment horizontal="left" vertical="top" wrapText="1"/>
    </xf>
    <xf numFmtId="3" fontId="6" fillId="0" borderId="10" xfId="0" applyFont="1" applyBorder="1" applyAlignment="1">
      <alignment horizontal="left" vertical="top" wrapText="1"/>
    </xf>
    <xf numFmtId="3" fontId="6" fillId="0" borderId="2" xfId="0" applyFont="1" applyBorder="1" applyAlignment="1">
      <alignment horizontal="left" vertical="top" wrapText="1"/>
    </xf>
    <xf numFmtId="3" fontId="0" fillId="0" borderId="10" xfId="0" applyBorder="1" applyAlignment="1">
      <alignment horizontal="left" vertical="top" wrapText="1"/>
    </xf>
    <xf numFmtId="3" fontId="4" fillId="7" borderId="8" xfId="0" applyFont="1" applyFill="1" applyBorder="1" applyAlignment="1">
      <alignment horizontal="left" vertical="top" wrapText="1"/>
    </xf>
    <xf numFmtId="3" fontId="0" fillId="7" borderId="10" xfId="0" applyFill="1" applyBorder="1" applyAlignment="1">
      <alignment horizontal="left" vertical="top" wrapText="1"/>
    </xf>
    <xf numFmtId="3" fontId="0" fillId="0" borderId="2" xfId="0" applyBorder="1" applyAlignment="1">
      <alignment horizontal="left" vertical="top" wrapText="1"/>
    </xf>
    <xf numFmtId="177" fontId="4" fillId="0" borderId="7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5" xfId="0" applyNumberFormat="1" applyFont="1" applyBorder="1" applyAlignment="1">
      <alignment horizontal="center"/>
    </xf>
    <xf numFmtId="3" fontId="31" fillId="0" borderId="1" xfId="0" applyFont="1" applyBorder="1" applyAlignment="1">
      <alignment horizontal="center" vertical="top"/>
    </xf>
    <xf numFmtId="3" fontId="31" fillId="0" borderId="1" xfId="0" applyFont="1" applyBorder="1" applyAlignment="1">
      <alignment horizontal="center" vertical="top" wrapText="1"/>
    </xf>
    <xf numFmtId="3" fontId="31" fillId="0" borderId="7" xfId="0" applyFont="1" applyBorder="1" applyAlignment="1">
      <alignment horizontal="center" vertical="top" wrapText="1"/>
    </xf>
    <xf numFmtId="177" fontId="25" fillId="7" borderId="1" xfId="0" applyNumberFormat="1" applyFont="1" applyFill="1" applyBorder="1" applyAlignment="1">
      <alignment horizontal="center"/>
    </xf>
    <xf numFmtId="177" fontId="39" fillId="7" borderId="1" xfId="0" applyNumberFormat="1" applyFont="1" applyFill="1" applyBorder="1" applyAlignment="1">
      <alignment horizont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3" fontId="4" fillId="0" borderId="7" xfId="0" applyFont="1" applyBorder="1" applyAlignment="1">
      <alignment horizontal="center" vertical="center"/>
    </xf>
    <xf numFmtId="3" fontId="4" fillId="0" borderId="13" xfId="0" applyFont="1" applyBorder="1" applyAlignment="1">
      <alignment horizontal="center" vertical="center"/>
    </xf>
    <xf numFmtId="3" fontId="4" fillId="0" borderId="5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3" fontId="32" fillId="0" borderId="1" xfId="0" applyFont="1" applyBorder="1" applyAlignment="1">
      <alignment horizontal="center" vertical="center"/>
    </xf>
    <xf numFmtId="3" fontId="31" fillId="7" borderId="1" xfId="0" applyFont="1" applyFill="1" applyBorder="1" applyAlignment="1">
      <alignment horizontal="center" vertical="top" wrapText="1"/>
    </xf>
    <xf numFmtId="3" fontId="32" fillId="0" borderId="3" xfId="0" applyFont="1" applyBorder="1" applyAlignment="1">
      <alignment horizontal="center" vertical="center"/>
    </xf>
    <xf numFmtId="3" fontId="32" fillId="0" borderId="0" xfId="0" applyFont="1" applyBorder="1" applyAlignment="1">
      <alignment horizontal="center" vertical="center"/>
    </xf>
    <xf numFmtId="3" fontId="9" fillId="7" borderId="7" xfId="0" applyFont="1" applyFill="1" applyBorder="1" applyAlignment="1">
      <alignment horizontal="center" vertical="center" wrapText="1"/>
    </xf>
    <xf numFmtId="3" fontId="9" fillId="7" borderId="5" xfId="0" applyFont="1" applyFill="1" applyBorder="1" applyAlignment="1">
      <alignment horizontal="center" vertical="center" wrapText="1"/>
    </xf>
    <xf numFmtId="3" fontId="0" fillId="7" borderId="7" xfId="0" applyFill="1" applyBorder="1" applyAlignment="1">
      <alignment horizontal="center" vertical="center" wrapText="1"/>
    </xf>
    <xf numFmtId="3" fontId="0" fillId="7" borderId="5" xfId="0" applyFill="1" applyBorder="1" applyAlignment="1">
      <alignment horizontal="center" vertical="center" wrapText="1"/>
    </xf>
    <xf numFmtId="3" fontId="25" fillId="0" borderId="13" xfId="0" applyFont="1" applyBorder="1" applyAlignment="1">
      <alignment horizontal="center" vertical="center" wrapText="1"/>
    </xf>
    <xf numFmtId="3" fontId="25" fillId="0" borderId="5" xfId="0" applyFont="1" applyBorder="1" applyAlignment="1">
      <alignment horizontal="center" vertical="center" wrapText="1"/>
    </xf>
    <xf numFmtId="3" fontId="22" fillId="0" borderId="7" xfId="0" applyFont="1" applyBorder="1" applyAlignment="1">
      <alignment horizontal="center" vertical="center"/>
    </xf>
    <xf numFmtId="3" fontId="22" fillId="0" borderId="13" xfId="0" applyFont="1" applyBorder="1" applyAlignment="1">
      <alignment horizontal="center" vertical="center"/>
    </xf>
    <xf numFmtId="3" fontId="22" fillId="0" borderId="5" xfId="0" applyFont="1" applyBorder="1" applyAlignment="1">
      <alignment horizontal="center" vertical="center"/>
    </xf>
    <xf numFmtId="3" fontId="0" fillId="7" borderId="1" xfId="0" applyFill="1" applyBorder="1" applyAlignment="1">
      <alignment horizontal="center" vertical="center" wrapText="1"/>
    </xf>
    <xf numFmtId="3" fontId="22" fillId="7" borderId="7" xfId="0" applyFont="1" applyFill="1" applyBorder="1" applyAlignment="1">
      <alignment horizontal="center"/>
    </xf>
    <xf numFmtId="3" fontId="22" fillId="7" borderId="13" xfId="0" applyFont="1" applyFill="1" applyBorder="1" applyAlignment="1">
      <alignment horizontal="center"/>
    </xf>
    <xf numFmtId="3" fontId="22" fillId="7" borderId="5" xfId="0" applyFont="1" applyFill="1" applyBorder="1" applyAlignment="1">
      <alignment horizontal="center"/>
    </xf>
    <xf numFmtId="3" fontId="5" fillId="7" borderId="7" xfId="0" applyFont="1" applyFill="1" applyBorder="1" applyAlignment="1">
      <alignment horizontal="center"/>
    </xf>
    <xf numFmtId="3" fontId="5" fillId="7" borderId="13" xfId="0" applyFont="1" applyFill="1" applyBorder="1" applyAlignment="1">
      <alignment horizontal="center"/>
    </xf>
    <xf numFmtId="3" fontId="5" fillId="7" borderId="5" xfId="0" applyFont="1" applyFill="1" applyBorder="1" applyAlignment="1">
      <alignment horizontal="center"/>
    </xf>
    <xf numFmtId="3" fontId="4" fillId="7" borderId="7" xfId="0" applyFont="1" applyFill="1" applyBorder="1" applyAlignment="1">
      <alignment horizontal="center" vertical="center"/>
    </xf>
    <xf numFmtId="3" fontId="4" fillId="7" borderId="13" xfId="0" applyFont="1" applyFill="1" applyBorder="1" applyAlignment="1">
      <alignment horizontal="center" vertical="center"/>
    </xf>
    <xf numFmtId="3" fontId="4" fillId="7" borderId="5" xfId="0" applyFont="1" applyFill="1" applyBorder="1" applyAlignment="1">
      <alignment horizontal="center" vertical="center"/>
    </xf>
    <xf numFmtId="3" fontId="25" fillId="7" borderId="7" xfId="0" applyFont="1" applyFill="1" applyBorder="1" applyAlignment="1">
      <alignment horizontal="center"/>
    </xf>
    <xf numFmtId="3" fontId="25" fillId="7" borderId="13" xfId="0" applyFont="1" applyFill="1" applyBorder="1" applyAlignment="1">
      <alignment horizontal="center"/>
    </xf>
    <xf numFmtId="3" fontId="25" fillId="7" borderId="5" xfId="0" applyFont="1" applyFill="1" applyBorder="1" applyAlignment="1">
      <alignment horizontal="center"/>
    </xf>
    <xf numFmtId="3" fontId="22" fillId="0" borderId="7" xfId="0" applyFont="1" applyFill="1" applyBorder="1" applyAlignment="1">
      <alignment horizontal="center" vertical="top" wrapText="1"/>
    </xf>
    <xf numFmtId="3" fontId="22" fillId="0" borderId="13" xfId="0" applyFont="1" applyFill="1" applyBorder="1" applyAlignment="1">
      <alignment horizontal="center" vertical="top" wrapText="1"/>
    </xf>
    <xf numFmtId="3" fontId="22" fillId="0" borderId="5" xfId="0" applyFont="1" applyFill="1" applyBorder="1" applyAlignment="1">
      <alignment horizontal="center" vertical="top" wrapText="1"/>
    </xf>
    <xf numFmtId="3" fontId="25" fillId="0" borderId="0" xfId="0" applyFont="1" applyAlignment="1">
      <alignment horizontal="center" vertical="center" wrapText="1"/>
    </xf>
    <xf numFmtId="3" fontId="25" fillId="0" borderId="0" xfId="0" applyFont="1" applyAlignment="1">
      <alignment horizontal="left" vertical="center"/>
    </xf>
    <xf numFmtId="3" fontId="25" fillId="0" borderId="7" xfId="0" applyFont="1" applyBorder="1" applyAlignment="1">
      <alignment horizontal="left" vertical="center" wrapText="1"/>
    </xf>
    <xf numFmtId="3" fontId="25" fillId="0" borderId="5" xfId="0" applyFont="1" applyBorder="1" applyAlignment="1">
      <alignment horizontal="left" vertical="center" wrapText="1"/>
    </xf>
    <xf numFmtId="3" fontId="22" fillId="7" borderId="7" xfId="0" applyFont="1" applyFill="1" applyBorder="1" applyAlignment="1">
      <alignment horizontal="center" vertical="center"/>
    </xf>
    <xf numFmtId="3" fontId="22" fillId="7" borderId="13" xfId="0" applyFont="1" applyFill="1" applyBorder="1" applyAlignment="1">
      <alignment horizontal="center" vertical="center"/>
    </xf>
    <xf numFmtId="3" fontId="22" fillId="7" borderId="5" xfId="0" applyFont="1" applyFill="1" applyBorder="1" applyAlignment="1">
      <alignment horizontal="center" vertical="center"/>
    </xf>
    <xf numFmtId="3" fontId="0" fillId="0" borderId="7" xfId="0" applyBorder="1" applyAlignment="1">
      <alignment horizontal="center" vertical="center" wrapText="1"/>
    </xf>
    <xf numFmtId="3" fontId="0" fillId="0" borderId="5" xfId="0" applyBorder="1" applyAlignment="1">
      <alignment horizontal="center" vertical="center" wrapText="1"/>
    </xf>
    <xf numFmtId="3" fontId="25" fillId="0" borderId="8" xfId="0" applyFont="1" applyBorder="1" applyAlignment="1">
      <alignment horizontal="left" vertical="center" wrapText="1"/>
    </xf>
    <xf numFmtId="3" fontId="25" fillId="0" borderId="2" xfId="0" applyFont="1" applyBorder="1" applyAlignment="1">
      <alignment horizontal="left" vertical="center" wrapText="1"/>
    </xf>
    <xf numFmtId="3" fontId="25" fillId="0" borderId="8" xfId="0" applyFont="1" applyFill="1" applyBorder="1" applyAlignment="1">
      <alignment horizontal="left" vertical="center"/>
    </xf>
    <xf numFmtId="3" fontId="25" fillId="0" borderId="2" xfId="0" applyFont="1" applyFill="1" applyBorder="1" applyAlignment="1">
      <alignment horizontal="left" vertical="center"/>
    </xf>
    <xf numFmtId="3" fontId="25" fillId="0" borderId="8" xfId="0" applyFont="1" applyBorder="1" applyAlignment="1">
      <alignment horizontal="left" vertical="center"/>
    </xf>
    <xf numFmtId="3" fontId="25" fillId="0" borderId="2" xfId="0" applyFont="1" applyBorder="1" applyAlignment="1">
      <alignment horizontal="left" vertical="center"/>
    </xf>
    <xf numFmtId="3" fontId="22" fillId="7" borderId="1" xfId="0" applyFont="1" applyFill="1" applyBorder="1" applyAlignment="1">
      <alignment horizontal="center"/>
    </xf>
    <xf numFmtId="3" fontId="25" fillId="0" borderId="1" xfId="0" applyFont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77" fontId="25" fillId="0" borderId="1" xfId="0" applyNumberFormat="1" applyFont="1" applyFill="1" applyBorder="1" applyAlignment="1">
      <alignment vertical="center"/>
    </xf>
    <xf numFmtId="3" fontId="0" fillId="0" borderId="8" xfId="0" applyFill="1" applyBorder="1" applyAlignment="1">
      <alignment horizontal="left" vertical="center" wrapText="1"/>
    </xf>
    <xf numFmtId="3" fontId="0" fillId="0" borderId="2" xfId="0" applyFill="1" applyBorder="1" applyAlignment="1">
      <alignment horizontal="left" vertical="center" wrapText="1"/>
    </xf>
    <xf numFmtId="3" fontId="0" fillId="0" borderId="8" xfId="0" applyBorder="1" applyAlignment="1">
      <alignment horizontal="left" vertical="center" wrapText="1"/>
    </xf>
    <xf numFmtId="3" fontId="0" fillId="0" borderId="2" xfId="0" applyBorder="1" applyAlignment="1">
      <alignment horizontal="left" vertical="center" wrapText="1"/>
    </xf>
    <xf numFmtId="3" fontId="25" fillId="0" borderId="1" xfId="0" applyFont="1" applyBorder="1" applyAlignment="1">
      <alignment vertical="center"/>
    </xf>
    <xf numFmtId="3" fontId="22" fillId="7" borderId="7" xfId="0" applyFont="1" applyFill="1" applyBorder="1" applyAlignment="1">
      <alignment horizontal="center" vertical="top" wrapText="1"/>
    </xf>
    <xf numFmtId="3" fontId="22" fillId="7" borderId="13" xfId="0" applyFont="1" applyFill="1" applyBorder="1" applyAlignment="1">
      <alignment horizontal="center" vertical="top" wrapText="1"/>
    </xf>
    <xf numFmtId="3" fontId="22" fillId="7" borderId="7" xfId="0" applyFont="1" applyFill="1" applyBorder="1" applyAlignment="1">
      <alignment horizontal="center" vertical="center" wrapText="1"/>
    </xf>
    <xf numFmtId="3" fontId="22" fillId="7" borderId="13" xfId="0" applyFont="1" applyFill="1" applyBorder="1" applyAlignment="1">
      <alignment horizontal="center" vertical="center" wrapText="1"/>
    </xf>
    <xf numFmtId="3" fontId="22" fillId="7" borderId="5" xfId="0" applyFont="1" applyFill="1" applyBorder="1" applyAlignment="1">
      <alignment horizontal="center" vertical="center" wrapText="1"/>
    </xf>
    <xf numFmtId="3" fontId="22" fillId="7" borderId="1" xfId="0" applyFont="1" applyFill="1" applyBorder="1" applyAlignment="1">
      <alignment horizontal="center" vertical="top" wrapText="1"/>
    </xf>
    <xf numFmtId="3" fontId="25" fillId="7" borderId="8" xfId="0" applyFont="1" applyFill="1" applyBorder="1" applyAlignment="1">
      <alignment horizontal="center" vertical="center" wrapText="1"/>
    </xf>
    <xf numFmtId="3" fontId="25" fillId="7" borderId="2" xfId="0" applyFont="1" applyFill="1" applyBorder="1" applyAlignment="1">
      <alignment horizontal="center" vertical="center" wrapText="1"/>
    </xf>
    <xf numFmtId="3" fontId="24" fillId="0" borderId="11" xfId="0" applyFont="1" applyFill="1" applyBorder="1" applyAlignment="1">
      <alignment horizontal="center" vertical="top" wrapText="1"/>
    </xf>
    <xf numFmtId="3" fontId="24" fillId="0" borderId="15" xfId="0" applyFont="1" applyFill="1" applyBorder="1" applyAlignment="1">
      <alignment horizontal="center" vertical="top" wrapText="1"/>
    </xf>
    <xf numFmtId="177" fontId="25" fillId="7" borderId="8" xfId="0" applyNumberFormat="1" applyFont="1" applyFill="1" applyBorder="1" applyAlignment="1">
      <alignment horizontal="center" vertical="center" wrapText="1"/>
    </xf>
    <xf numFmtId="177" fontId="25" fillId="7" borderId="2" xfId="0" applyNumberFormat="1" applyFont="1" applyFill="1" applyBorder="1" applyAlignment="1">
      <alignment horizontal="center" vertical="center" wrapText="1"/>
    </xf>
    <xf numFmtId="3" fontId="34" fillId="0" borderId="8" xfId="0" applyFont="1" applyFill="1" applyBorder="1" applyAlignment="1">
      <alignment horizontal="left" vertical="center" wrapText="1"/>
    </xf>
    <xf numFmtId="3" fontId="34" fillId="0" borderId="2" xfId="0" applyFont="1" applyFill="1" applyBorder="1" applyAlignment="1">
      <alignment horizontal="left" vertical="center" wrapText="1"/>
    </xf>
    <xf numFmtId="3" fontId="34" fillId="0" borderId="8" xfId="0" applyFont="1" applyBorder="1" applyAlignment="1">
      <alignment horizontal="left" vertical="center" wrapText="1"/>
    </xf>
    <xf numFmtId="3" fontId="34" fillId="0" borderId="2" xfId="0" applyFont="1" applyBorder="1" applyAlignment="1">
      <alignment horizontal="left" vertical="center" wrapText="1"/>
    </xf>
    <xf numFmtId="3" fontId="25" fillId="0" borderId="1" xfId="0" applyFont="1" applyBorder="1" applyAlignment="1">
      <alignment horizontal="center" vertical="center" wrapText="1"/>
    </xf>
    <xf numFmtId="3" fontId="37" fillId="7" borderId="6" xfId="0" applyFont="1" applyFill="1" applyBorder="1" applyAlignment="1">
      <alignment horizontal="center" vertical="center" wrapText="1"/>
    </xf>
    <xf numFmtId="3" fontId="37" fillId="7" borderId="11" xfId="0" applyFont="1" applyFill="1" applyBorder="1" applyAlignment="1">
      <alignment horizontal="center" vertical="center" wrapText="1"/>
    </xf>
    <xf numFmtId="3" fontId="37" fillId="7" borderId="24" xfId="0" applyFont="1" applyFill="1" applyBorder="1" applyAlignment="1">
      <alignment horizontal="center" vertical="center" wrapText="1"/>
    </xf>
    <xf numFmtId="3" fontId="37" fillId="7" borderId="3" xfId="0" applyFont="1" applyFill="1" applyBorder="1" applyAlignment="1">
      <alignment horizontal="center" vertical="center" wrapText="1"/>
    </xf>
    <xf numFmtId="3" fontId="24" fillId="7" borderId="6" xfId="0" applyFont="1" applyFill="1" applyBorder="1" applyAlignment="1">
      <alignment horizontal="center" vertical="center" wrapText="1"/>
    </xf>
    <xf numFmtId="3" fontId="24" fillId="7" borderId="11" xfId="0" applyFont="1" applyFill="1" applyBorder="1" applyAlignment="1">
      <alignment horizontal="center" vertical="center" wrapText="1"/>
    </xf>
    <xf numFmtId="3" fontId="24" fillId="7" borderId="15" xfId="0" applyFont="1" applyFill="1" applyBorder="1" applyAlignment="1">
      <alignment horizontal="center" vertical="center" wrapText="1"/>
    </xf>
    <xf numFmtId="3" fontId="0" fillId="0" borderId="2" xfId="0" applyBorder="1" applyAlignment="1">
      <alignment horizontal="center" vertical="center" wrapText="1"/>
    </xf>
    <xf numFmtId="3" fontId="39" fillId="0" borderId="1" xfId="0" applyFont="1" applyFill="1" applyBorder="1" applyAlignment="1">
      <alignment horizontal="center"/>
    </xf>
    <xf numFmtId="3" fontId="0" fillId="0" borderId="1" xfId="0" applyBorder="1" applyAlignment="1">
      <alignment horizontal="center" vertical="center" wrapText="1"/>
    </xf>
    <xf numFmtId="3" fontId="39" fillId="0" borderId="0" xfId="0" applyFont="1" applyAlignment="1">
      <alignment horizontal="center" wrapText="1"/>
    </xf>
    <xf numFmtId="14" fontId="5" fillId="0" borderId="0" xfId="9" applyNumberFormat="1" applyFont="1" applyFill="1" applyBorder="1" applyAlignment="1">
      <alignment horizontal="center"/>
    </xf>
    <xf numFmtId="14" fontId="5" fillId="0" borderId="0" xfId="9" applyNumberFormat="1" applyFont="1" applyAlignment="1">
      <alignment horizontal="center"/>
    </xf>
    <xf numFmtId="175" fontId="5" fillId="0" borderId="0" xfId="9" applyNumberFormat="1" applyFont="1" applyFill="1" applyBorder="1" applyAlignment="1">
      <alignment horizontal="center"/>
    </xf>
    <xf numFmtId="14" fontId="24" fillId="0" borderId="0" xfId="0" applyNumberFormat="1" applyFont="1" applyAlignment="1">
      <alignment horizontal="center" vertical="center" wrapText="1"/>
    </xf>
    <xf numFmtId="3" fontId="22" fillId="7" borderId="8" xfId="0" applyFont="1" applyFill="1" applyBorder="1" applyAlignment="1">
      <alignment horizontal="center" vertical="center" wrapText="1"/>
    </xf>
    <xf numFmtId="3" fontId="22" fillId="7" borderId="2" xfId="0" applyFont="1" applyFill="1" applyBorder="1" applyAlignment="1">
      <alignment horizontal="center" vertical="center" wrapText="1"/>
    </xf>
    <xf numFmtId="3" fontId="13" fillId="13" borderId="8" xfId="0" applyFont="1" applyFill="1" applyBorder="1" applyAlignment="1">
      <alignment horizontal="center" vertical="center"/>
    </xf>
    <xf numFmtId="3" fontId="13" fillId="13" borderId="2" xfId="0" applyFont="1" applyFill="1" applyBorder="1" applyAlignment="1">
      <alignment horizontal="center" vertical="center"/>
    </xf>
    <xf numFmtId="3" fontId="13" fillId="13" borderId="8" xfId="0" applyFont="1" applyFill="1" applyBorder="1" applyAlignment="1">
      <alignment horizontal="center" vertical="center" wrapText="1"/>
    </xf>
    <xf numFmtId="3" fontId="13" fillId="13" borderId="2" xfId="0" applyFont="1" applyFill="1" applyBorder="1" applyAlignment="1">
      <alignment horizontal="center" vertical="center" wrapText="1"/>
    </xf>
    <xf numFmtId="3" fontId="22" fillId="7" borderId="23" xfId="0" applyFont="1" applyFill="1" applyBorder="1" applyAlignment="1">
      <alignment horizontal="left" vertical="center" wrapText="1"/>
    </xf>
    <xf numFmtId="3" fontId="22" fillId="7" borderId="15" xfId="0" applyFont="1" applyFill="1" applyBorder="1" applyAlignment="1">
      <alignment horizontal="left" vertical="center" wrapText="1"/>
    </xf>
    <xf numFmtId="3" fontId="22" fillId="7" borderId="8" xfId="0" applyFont="1" applyFill="1" applyBorder="1" applyAlignment="1">
      <alignment horizontal="left" vertical="center" wrapText="1"/>
    </xf>
    <xf numFmtId="3" fontId="22" fillId="7" borderId="2" xfId="0" applyFont="1" applyFill="1" applyBorder="1" applyAlignment="1">
      <alignment horizontal="left" vertical="center" wrapText="1"/>
    </xf>
    <xf numFmtId="3" fontId="22" fillId="7" borderId="13" xfId="0" applyFont="1" applyFill="1" applyBorder="1" applyAlignment="1">
      <alignment horizontal="left" vertical="center" wrapText="1"/>
    </xf>
    <xf numFmtId="3" fontId="22" fillId="7" borderId="23" xfId="0" applyFont="1" applyFill="1" applyBorder="1" applyAlignment="1">
      <alignment horizontal="center" vertical="center" wrapText="1"/>
    </xf>
    <xf numFmtId="3" fontId="22" fillId="7" borderId="14" xfId="0" applyFont="1" applyFill="1" applyBorder="1" applyAlignment="1">
      <alignment horizontal="center" vertical="center" wrapText="1"/>
    </xf>
    <xf numFmtId="3" fontId="22" fillId="7" borderId="15" xfId="0" applyFont="1" applyFill="1" applyBorder="1" applyAlignment="1">
      <alignment horizontal="center" vertical="center" wrapText="1"/>
    </xf>
    <xf numFmtId="3" fontId="22" fillId="7" borderId="10" xfId="0" applyFont="1" applyFill="1" applyBorder="1" applyAlignment="1">
      <alignment horizontal="center" vertical="center" wrapText="1"/>
    </xf>
    <xf numFmtId="3" fontId="22" fillId="7" borderId="3" xfId="0" applyFont="1" applyFill="1" applyBorder="1" applyAlignment="1">
      <alignment horizontal="left" vertical="center" wrapText="1"/>
    </xf>
    <xf numFmtId="3" fontId="22" fillId="7" borderId="0" xfId="0" applyFont="1" applyFill="1" applyBorder="1" applyAlignment="1">
      <alignment horizontal="left" vertical="center" wrapText="1"/>
    </xf>
    <xf numFmtId="3" fontId="22" fillId="7" borderId="11" xfId="0" applyFont="1" applyFill="1" applyBorder="1" applyAlignment="1">
      <alignment horizontal="left" vertical="center" wrapText="1"/>
    </xf>
    <xf numFmtId="3" fontId="22" fillId="7" borderId="10" xfId="0" applyFont="1" applyFill="1" applyBorder="1" applyAlignment="1">
      <alignment horizontal="left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/>
    </xf>
    <xf numFmtId="3" fontId="31" fillId="0" borderId="8" xfId="0" applyFont="1" applyBorder="1" applyAlignment="1">
      <alignment horizontal="center" vertical="top" wrapText="1"/>
    </xf>
    <xf numFmtId="3" fontId="31" fillId="0" borderId="10" xfId="0" applyFont="1" applyBorder="1" applyAlignment="1">
      <alignment horizontal="center" vertical="top" wrapText="1"/>
    </xf>
    <xf numFmtId="3" fontId="31" fillId="0" borderId="2" xfId="0" applyFont="1" applyBorder="1" applyAlignment="1">
      <alignment horizontal="center" vertical="top" wrapText="1"/>
    </xf>
    <xf numFmtId="3" fontId="31" fillId="0" borderId="8" xfId="0" applyFont="1" applyBorder="1" applyAlignment="1">
      <alignment horizontal="center" vertical="top"/>
    </xf>
    <xf numFmtId="3" fontId="31" fillId="0" borderId="10" xfId="0" applyFont="1" applyBorder="1" applyAlignment="1">
      <alignment horizontal="center" vertical="top"/>
    </xf>
    <xf numFmtId="3" fontId="31" fillId="0" borderId="2" xfId="0" applyFont="1" applyBorder="1" applyAlignment="1">
      <alignment horizontal="center" vertical="top"/>
    </xf>
    <xf numFmtId="3" fontId="32" fillId="0" borderId="14" xfId="0" applyFont="1" applyBorder="1" applyAlignment="1">
      <alignment horizontal="center" vertical="center"/>
    </xf>
    <xf numFmtId="3" fontId="32" fillId="0" borderId="15" xfId="0" applyFont="1" applyBorder="1" applyAlignment="1">
      <alignment horizontal="center" vertical="center"/>
    </xf>
    <xf numFmtId="3" fontId="32" fillId="0" borderId="8" xfId="0" applyFont="1" applyBorder="1" applyAlignment="1">
      <alignment horizontal="center" vertical="center"/>
    </xf>
    <xf numFmtId="3" fontId="32" fillId="0" borderId="10" xfId="0" applyFont="1" applyBorder="1" applyAlignment="1">
      <alignment horizontal="center" vertical="center"/>
    </xf>
    <xf numFmtId="3" fontId="32" fillId="0" borderId="2" xfId="0" applyFont="1" applyBorder="1" applyAlignment="1">
      <alignment horizontal="center" vertical="center"/>
    </xf>
    <xf numFmtId="3" fontId="0" fillId="0" borderId="0" xfId="0" applyAlignment="1">
      <alignment horizontal="center" vertical="top" wrapText="1"/>
    </xf>
    <xf numFmtId="3" fontId="24" fillId="7" borderId="14" xfId="0" applyFont="1" applyFill="1" applyBorder="1" applyAlignment="1">
      <alignment horizontal="center" vertical="center" wrapText="1"/>
    </xf>
    <xf numFmtId="3" fontId="40" fillId="13" borderId="8" xfId="0" applyFont="1" applyFill="1" applyBorder="1" applyAlignment="1">
      <alignment horizontal="center" vertical="center" wrapText="1"/>
    </xf>
    <xf numFmtId="3" fontId="40" fillId="13" borderId="10" xfId="0" applyFont="1" applyFill="1" applyBorder="1" applyAlignment="1">
      <alignment horizontal="center" vertical="center" wrapText="1"/>
    </xf>
    <xf numFmtId="3" fontId="40" fillId="13" borderId="8" xfId="0" applyFont="1" applyFill="1" applyBorder="1" applyAlignment="1">
      <alignment horizontal="center" vertical="center"/>
    </xf>
    <xf numFmtId="3" fontId="40" fillId="13" borderId="10" xfId="0" applyFont="1" applyFill="1" applyBorder="1" applyAlignment="1">
      <alignment horizontal="center" vertical="center"/>
    </xf>
    <xf numFmtId="3" fontId="0" fillId="7" borderId="1" xfId="0" applyFill="1" applyBorder="1" applyAlignment="1">
      <alignment horizontal="center" vertical="top" wrapText="1"/>
    </xf>
    <xf numFmtId="14" fontId="40" fillId="56" borderId="7" xfId="0" applyNumberFormat="1" applyFont="1" applyFill="1" applyBorder="1" applyAlignment="1">
      <alignment horizontal="center"/>
    </xf>
    <xf numFmtId="14" fontId="40" fillId="56" borderId="13" xfId="0" applyNumberFormat="1" applyFont="1" applyFill="1" applyBorder="1" applyAlignment="1">
      <alignment horizontal="center"/>
    </xf>
    <xf numFmtId="14" fontId="40" fillId="56" borderId="5" xfId="0" applyNumberFormat="1" applyFont="1" applyFill="1" applyBorder="1" applyAlignment="1">
      <alignment horizontal="center"/>
    </xf>
    <xf numFmtId="3" fontId="9" fillId="11" borderId="6" xfId="0" applyFont="1" applyFill="1" applyBorder="1" applyAlignment="1">
      <alignment horizontal="center" vertical="center"/>
    </xf>
    <xf numFmtId="3" fontId="9" fillId="11" borderId="11" xfId="0" applyFont="1" applyFill="1" applyBorder="1" applyAlignment="1">
      <alignment horizontal="center" vertical="center"/>
    </xf>
    <xf numFmtId="3" fontId="40" fillId="13" borderId="2" xfId="0" applyFont="1" applyFill="1" applyBorder="1" applyAlignment="1">
      <alignment horizontal="center" vertical="center"/>
    </xf>
    <xf numFmtId="3" fontId="40" fillId="13" borderId="2" xfId="0" applyFont="1" applyFill="1" applyBorder="1" applyAlignment="1">
      <alignment horizontal="center" vertical="center" wrapText="1"/>
    </xf>
    <xf numFmtId="14" fontId="37" fillId="56" borderId="7" xfId="0" applyNumberFormat="1" applyFont="1" applyFill="1" applyBorder="1" applyAlignment="1">
      <alignment horizontal="center"/>
    </xf>
    <xf numFmtId="14" fontId="37" fillId="56" borderId="13" xfId="0" applyNumberFormat="1" applyFont="1" applyFill="1" applyBorder="1" applyAlignment="1">
      <alignment horizontal="center"/>
    </xf>
    <xf numFmtId="14" fontId="37" fillId="56" borderId="5" xfId="0" applyNumberFormat="1" applyFont="1" applyFill="1" applyBorder="1" applyAlignment="1">
      <alignment horizontal="center"/>
    </xf>
    <xf numFmtId="3" fontId="40" fillId="13" borderId="7" xfId="0" applyFont="1" applyFill="1" applyBorder="1" applyAlignment="1">
      <alignment horizontal="center" vertical="center" wrapText="1"/>
    </xf>
    <xf numFmtId="3" fontId="40" fillId="13" borderId="13" xfId="0" applyFont="1" applyFill="1" applyBorder="1" applyAlignment="1">
      <alignment horizontal="center" vertical="center" wrapText="1"/>
    </xf>
    <xf numFmtId="3" fontId="40" fillId="13" borderId="5" xfId="0" applyFont="1" applyFill="1" applyBorder="1" applyAlignment="1">
      <alignment horizontal="center" vertical="center" wrapText="1"/>
    </xf>
    <xf numFmtId="3" fontId="37" fillId="13" borderId="8" xfId="0" applyFont="1" applyFill="1" applyBorder="1" applyAlignment="1">
      <alignment horizontal="center" vertical="center"/>
    </xf>
    <xf numFmtId="3" fontId="37" fillId="13" borderId="2" xfId="0" applyFont="1" applyFill="1" applyBorder="1" applyAlignment="1">
      <alignment horizontal="center" vertical="center"/>
    </xf>
    <xf numFmtId="3" fontId="37" fillId="13" borderId="8" xfId="0" applyFont="1" applyFill="1" applyBorder="1" applyAlignment="1">
      <alignment horizontal="center" vertical="center" wrapText="1"/>
    </xf>
    <xf numFmtId="3" fontId="37" fillId="13" borderId="2" xfId="0" applyFont="1" applyFill="1" applyBorder="1" applyAlignment="1">
      <alignment horizontal="center" vertical="center" wrapText="1"/>
    </xf>
    <xf numFmtId="3" fontId="22" fillId="7" borderId="7" xfId="0" applyFont="1" applyFill="1" applyBorder="1" applyAlignment="1">
      <alignment horizontal="left" vertical="center" wrapText="1"/>
    </xf>
    <xf numFmtId="3" fontId="22" fillId="7" borderId="1" xfId="0" applyFont="1" applyFill="1" applyBorder="1" applyAlignment="1">
      <alignment horizontal="left" vertical="center" wrapText="1"/>
    </xf>
    <xf numFmtId="3" fontId="76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3" fontId="0" fillId="0" borderId="0" xfId="0" applyFill="1" applyBorder="1" applyAlignment="1">
      <alignment horizontal="center" vertical="top" wrapText="1"/>
    </xf>
    <xf numFmtId="14" fontId="13" fillId="7" borderId="7" xfId="0" applyNumberFormat="1" applyFont="1" applyFill="1" applyBorder="1" applyAlignment="1">
      <alignment horizontal="center"/>
    </xf>
    <xf numFmtId="14" fontId="13" fillId="7" borderId="5" xfId="0" applyNumberFormat="1" applyFont="1" applyFill="1" applyBorder="1" applyAlignment="1">
      <alignment horizontal="center"/>
    </xf>
    <xf numFmtId="3" fontId="13" fillId="7" borderId="6" xfId="0" applyFont="1" applyFill="1" applyBorder="1" applyAlignment="1">
      <alignment horizontal="center" vertical="center" wrapText="1"/>
    </xf>
    <xf numFmtId="3" fontId="13" fillId="7" borderId="11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/>
    </xf>
    <xf numFmtId="3" fontId="0" fillId="0" borderId="8" xfId="0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3" fontId="24" fillId="0" borderId="1" xfId="0" applyFont="1" applyBorder="1" applyAlignment="1">
      <alignment horizontal="center" vertical="center" wrapText="1"/>
    </xf>
    <xf numFmtId="3" fontId="24" fillId="0" borderId="7" xfId="0" applyFont="1" applyBorder="1" applyAlignment="1">
      <alignment horizontal="center" vertical="center" wrapText="1"/>
    </xf>
    <xf numFmtId="3" fontId="24" fillId="0" borderId="17" xfId="0" applyFont="1" applyBorder="1" applyAlignment="1">
      <alignment horizontal="center" vertical="center"/>
    </xf>
    <xf numFmtId="3" fontId="24" fillId="0" borderId="21" xfId="0" applyFont="1" applyBorder="1" applyAlignment="1">
      <alignment horizontal="center" vertical="center"/>
    </xf>
    <xf numFmtId="3" fontId="24" fillId="0" borderId="22" xfId="0" applyFont="1" applyBorder="1" applyAlignment="1">
      <alignment horizontal="center" vertical="center"/>
    </xf>
    <xf numFmtId="3" fontId="76" fillId="0" borderId="18" xfId="0" applyFont="1" applyBorder="1" applyAlignment="1">
      <alignment horizontal="center" vertical="center" wrapText="1"/>
    </xf>
    <xf numFmtId="3" fontId="76" fillId="0" borderId="63" xfId="0" applyFont="1" applyBorder="1" applyAlignment="1">
      <alignment horizontal="center" vertical="center" wrapText="1"/>
    </xf>
    <xf numFmtId="3" fontId="76" fillId="0" borderId="19" xfId="0" applyFont="1" applyBorder="1" applyAlignment="1">
      <alignment horizontal="center" vertical="center" wrapText="1"/>
    </xf>
    <xf numFmtId="3" fontId="24" fillId="0" borderId="25" xfId="0" applyFont="1" applyBorder="1" applyAlignment="1">
      <alignment horizontal="center" vertical="center"/>
    </xf>
    <xf numFmtId="3" fontId="24" fillId="0" borderId="64" xfId="0" applyFont="1" applyBorder="1" applyAlignment="1">
      <alignment horizontal="center" vertical="center"/>
    </xf>
    <xf numFmtId="3" fontId="24" fillId="0" borderId="65" xfId="0" applyFont="1" applyBorder="1" applyAlignment="1">
      <alignment horizontal="center" vertical="center"/>
    </xf>
    <xf numFmtId="3" fontId="24" fillId="0" borderId="66" xfId="0" applyFont="1" applyBorder="1" applyAlignment="1">
      <alignment horizontal="center" vertical="center"/>
    </xf>
    <xf numFmtId="3" fontId="24" fillId="0" borderId="0" xfId="0" applyFont="1" applyBorder="1" applyAlignment="1">
      <alignment horizontal="center" vertical="center"/>
    </xf>
    <xf numFmtId="3" fontId="24" fillId="0" borderId="20" xfId="0" applyFont="1" applyBorder="1" applyAlignment="1">
      <alignment horizontal="center" vertical="center"/>
    </xf>
    <xf numFmtId="3" fontId="24" fillId="0" borderId="67" xfId="0" applyFont="1" applyBorder="1" applyAlignment="1">
      <alignment horizontal="center" vertical="center"/>
    </xf>
    <xf numFmtId="3" fontId="24" fillId="0" borderId="26" xfId="0" applyFont="1" applyBorder="1" applyAlignment="1">
      <alignment horizontal="center" vertical="center"/>
    </xf>
    <xf numFmtId="3" fontId="24" fillId="0" borderId="68" xfId="0" applyFont="1" applyBorder="1" applyAlignment="1">
      <alignment horizontal="center" vertical="center"/>
    </xf>
    <xf numFmtId="3" fontId="24" fillId="0" borderId="11" xfId="0" applyFont="1" applyBorder="1" applyAlignment="1">
      <alignment horizontal="center"/>
    </xf>
    <xf numFmtId="3" fontId="78" fillId="0" borderId="0" xfId="0" applyFont="1" applyFill="1" applyBorder="1" applyAlignment="1">
      <alignment horizontal="center"/>
    </xf>
    <xf numFmtId="3" fontId="25" fillId="0" borderId="23" xfId="0" applyFont="1" applyBorder="1" applyAlignment="1">
      <alignment horizontal="center" vertical="top"/>
    </xf>
    <xf numFmtId="3" fontId="25" fillId="0" borderId="14" xfId="0" applyFont="1" applyBorder="1" applyAlignment="1">
      <alignment horizontal="center" vertical="top"/>
    </xf>
    <xf numFmtId="3" fontId="25" fillId="0" borderId="1" xfId="0" applyFont="1" applyBorder="1" applyAlignment="1">
      <alignment horizontal="center" vertical="top"/>
    </xf>
    <xf numFmtId="3" fontId="25" fillId="0" borderId="8" xfId="0" applyFont="1" applyBorder="1" applyAlignment="1">
      <alignment horizontal="center" vertical="center" wrapText="1"/>
    </xf>
    <xf numFmtId="3" fontId="25" fillId="0" borderId="10" xfId="0" applyFont="1" applyBorder="1" applyAlignment="1">
      <alignment horizontal="center" vertical="center" wrapText="1"/>
    </xf>
    <xf numFmtId="3" fontId="25" fillId="0" borderId="2" xfId="0" applyFont="1" applyBorder="1" applyAlignment="1">
      <alignment horizontal="center" vertical="center" wrapText="1"/>
    </xf>
    <xf numFmtId="3" fontId="138" fillId="7" borderId="1" xfId="0" applyFont="1" applyFill="1" applyBorder="1" applyAlignment="1">
      <alignment horizontal="center" vertical="center" wrapText="1"/>
    </xf>
    <xf numFmtId="3" fontId="138" fillId="7" borderId="6" xfId="0" applyFont="1" applyFill="1" applyBorder="1" applyAlignment="1">
      <alignment horizontal="center" vertical="center" wrapText="1"/>
    </xf>
    <xf numFmtId="3" fontId="138" fillId="7" borderId="11" xfId="0" applyFont="1" applyFill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14" fontId="128" fillId="0" borderId="11" xfId="0" applyNumberFormat="1" applyFont="1" applyBorder="1" applyAlignment="1">
      <alignment horizontal="center" vertical="center" wrapText="1"/>
    </xf>
    <xf numFmtId="3" fontId="128" fillId="0" borderId="0" xfId="0" applyFont="1" applyBorder="1" applyAlignment="1">
      <alignment horizontal="center" vertical="center" wrapText="1"/>
    </xf>
    <xf numFmtId="3" fontId="128" fillId="0" borderId="11" xfId="0" applyFont="1" applyBorder="1" applyAlignment="1">
      <alignment horizontal="center" vertical="center" wrapText="1"/>
    </xf>
    <xf numFmtId="0" fontId="132" fillId="7" borderId="1" xfId="0" applyNumberFormat="1" applyFont="1" applyFill="1" applyBorder="1" applyAlignment="1">
      <alignment horizontal="center" vertical="center"/>
    </xf>
    <xf numFmtId="0" fontId="132" fillId="7" borderId="7" xfId="0" applyNumberFormat="1" applyFont="1" applyFill="1" applyBorder="1" applyAlignment="1">
      <alignment horizontal="center"/>
    </xf>
    <xf numFmtId="0" fontId="132" fillId="7" borderId="5" xfId="0" applyNumberFormat="1" applyFont="1" applyFill="1" applyBorder="1" applyAlignment="1">
      <alignment horizontal="center"/>
    </xf>
    <xf numFmtId="0" fontId="128" fillId="7" borderId="1" xfId="0" applyNumberFormat="1" applyFont="1" applyFill="1" applyBorder="1" applyAlignment="1">
      <alignment horizontal="center" vertical="center" wrapText="1"/>
    </xf>
    <xf numFmtId="0" fontId="128" fillId="7" borderId="1" xfId="0" applyNumberFormat="1" applyFont="1" applyFill="1" applyBorder="1" applyAlignment="1">
      <alignment horizontal="center"/>
    </xf>
    <xf numFmtId="0" fontId="128" fillId="0" borderId="1" xfId="0" applyNumberFormat="1" applyFont="1" applyBorder="1" applyAlignment="1">
      <alignment horizontal="center" vertical="center"/>
    </xf>
    <xf numFmtId="3" fontId="138" fillId="7" borderId="4" xfId="0" applyFont="1" applyFill="1" applyBorder="1" applyAlignment="1">
      <alignment horizontal="center" vertical="center" wrapText="1"/>
    </xf>
    <xf numFmtId="3" fontId="138" fillId="7" borderId="0" xfId="0" applyFont="1" applyFill="1" applyBorder="1" applyAlignment="1">
      <alignment horizontal="center" vertical="center" wrapText="1"/>
    </xf>
    <xf numFmtId="0" fontId="128" fillId="0" borderId="8" xfId="0" applyNumberFormat="1" applyFont="1" applyBorder="1" applyAlignment="1">
      <alignment horizontal="center" vertical="center"/>
    </xf>
    <xf numFmtId="0" fontId="128" fillId="0" borderId="10" xfId="0" applyNumberFormat="1" applyFont="1" applyBorder="1" applyAlignment="1">
      <alignment horizontal="center" vertical="center"/>
    </xf>
    <xf numFmtId="0" fontId="128" fillId="0" borderId="2" xfId="0" applyNumberFormat="1" applyFont="1" applyBorder="1" applyAlignment="1">
      <alignment horizontal="center" vertical="center"/>
    </xf>
    <xf numFmtId="0" fontId="128" fillId="7" borderId="8" xfId="0" applyNumberFormat="1" applyFont="1" applyFill="1" applyBorder="1" applyAlignment="1">
      <alignment horizontal="center" vertical="center"/>
    </xf>
    <xf numFmtId="0" fontId="128" fillId="7" borderId="2" xfId="0" applyNumberFormat="1" applyFont="1" applyFill="1" applyBorder="1" applyAlignment="1">
      <alignment horizontal="center" vertical="center"/>
    </xf>
    <xf numFmtId="0" fontId="128" fillId="7" borderId="24" xfId="0" applyNumberFormat="1" applyFont="1" applyFill="1" applyBorder="1" applyAlignment="1">
      <alignment horizontal="center"/>
    </xf>
    <xf numFmtId="0" fontId="128" fillId="7" borderId="6" xfId="0" applyNumberFormat="1" applyFont="1" applyFill="1" applyBorder="1" applyAlignment="1">
      <alignment horizontal="center"/>
    </xf>
    <xf numFmtId="0" fontId="128" fillId="7" borderId="1" xfId="0" applyNumberFormat="1" applyFont="1" applyFill="1" applyBorder="1" applyAlignment="1">
      <alignment horizontal="left"/>
    </xf>
    <xf numFmtId="0" fontId="128" fillId="7" borderId="1" xfId="0" applyNumberFormat="1" applyFont="1" applyFill="1" applyBorder="1" applyAlignment="1">
      <alignment horizontal="center" vertical="center"/>
    </xf>
    <xf numFmtId="3" fontId="132" fillId="7" borderId="1" xfId="0" applyFont="1" applyFill="1" applyBorder="1" applyAlignment="1">
      <alignment horizontal="center" vertical="center" wrapText="1"/>
    </xf>
    <xf numFmtId="0" fontId="128" fillId="0" borderId="24" xfId="0" applyNumberFormat="1" applyFont="1" applyBorder="1" applyAlignment="1">
      <alignment horizontal="center"/>
    </xf>
    <xf numFmtId="0" fontId="128" fillId="0" borderId="6" xfId="0" applyNumberFormat="1" applyFont="1" applyBorder="1" applyAlignment="1">
      <alignment horizontal="center"/>
    </xf>
    <xf numFmtId="3" fontId="54" fillId="9" borderId="1" xfId="0" applyFont="1" applyFill="1" applyBorder="1" applyAlignment="1">
      <alignment horizontal="center"/>
    </xf>
    <xf numFmtId="3" fontId="54" fillId="7" borderId="8" xfId="0" applyFont="1" applyFill="1" applyBorder="1" applyAlignment="1">
      <alignment horizontal="center" vertical="center" wrapText="1"/>
    </xf>
    <xf numFmtId="3" fontId="54" fillId="7" borderId="2" xfId="0" applyFont="1" applyFill="1" applyBorder="1" applyAlignment="1">
      <alignment horizontal="center" vertical="center" wrapText="1"/>
    </xf>
    <xf numFmtId="3" fontId="54" fillId="9" borderId="7" xfId="0" applyFont="1" applyFill="1" applyBorder="1" applyAlignment="1">
      <alignment horizontal="center"/>
    </xf>
    <xf numFmtId="3" fontId="54" fillId="9" borderId="13" xfId="0" applyFont="1" applyFill="1" applyBorder="1" applyAlignment="1">
      <alignment horizontal="center"/>
    </xf>
    <xf numFmtId="3" fontId="54" fillId="9" borderId="5" xfId="0" applyFont="1" applyFill="1" applyBorder="1" applyAlignment="1">
      <alignment horizontal="center"/>
    </xf>
    <xf numFmtId="3" fontId="54" fillId="6" borderId="7" xfId="0" applyFont="1" applyFill="1" applyBorder="1" applyAlignment="1">
      <alignment horizontal="center" vertical="center"/>
    </xf>
    <xf numFmtId="3" fontId="54" fillId="6" borderId="13" xfId="0" applyFont="1" applyFill="1" applyBorder="1" applyAlignment="1">
      <alignment horizontal="center" vertical="center"/>
    </xf>
    <xf numFmtId="3" fontId="54" fillId="6" borderId="5" xfId="0" applyFont="1" applyFill="1" applyBorder="1" applyAlignment="1">
      <alignment horizontal="center" vertical="center"/>
    </xf>
    <xf numFmtId="0" fontId="54" fillId="7" borderId="7" xfId="6" applyFont="1" applyFill="1" applyBorder="1" applyAlignment="1">
      <alignment horizontal="center" vertical="center" wrapText="1"/>
    </xf>
    <xf numFmtId="0" fontId="54" fillId="7" borderId="13" xfId="6" applyFont="1" applyFill="1" applyBorder="1" applyAlignment="1">
      <alignment horizontal="center" vertical="center" wrapText="1"/>
    </xf>
    <xf numFmtId="0" fontId="54" fillId="7" borderId="5" xfId="6" applyFont="1" applyFill="1" applyBorder="1" applyAlignment="1">
      <alignment horizontal="center" vertical="center" wrapText="1"/>
    </xf>
    <xf numFmtId="3" fontId="24" fillId="9" borderId="1" xfId="0" applyFont="1" applyFill="1" applyBorder="1" applyAlignment="1">
      <alignment horizontal="center" vertical="center" wrapText="1"/>
    </xf>
    <xf numFmtId="3" fontId="41" fillId="7" borderId="7" xfId="0" applyFont="1" applyFill="1" applyBorder="1" applyAlignment="1">
      <alignment horizontal="center" vertical="top" wrapText="1"/>
    </xf>
    <xf numFmtId="3" fontId="41" fillId="7" borderId="13" xfId="0" applyFont="1" applyFill="1" applyBorder="1" applyAlignment="1">
      <alignment horizontal="center" vertical="top" wrapText="1"/>
    </xf>
    <xf numFmtId="3" fontId="41" fillId="7" borderId="5" xfId="0" applyFont="1" applyFill="1" applyBorder="1" applyAlignment="1">
      <alignment horizontal="center" vertical="top" wrapText="1"/>
    </xf>
    <xf numFmtId="3" fontId="36" fillId="7" borderId="7" xfId="0" applyFont="1" applyFill="1" applyBorder="1" applyAlignment="1">
      <alignment horizontal="center"/>
    </xf>
    <xf numFmtId="3" fontId="36" fillId="7" borderId="13" xfId="0" applyFont="1" applyFill="1" applyBorder="1" applyAlignment="1">
      <alignment horizontal="center"/>
    </xf>
    <xf numFmtId="3" fontId="36" fillId="7" borderId="5" xfId="0" applyFont="1" applyFill="1" applyBorder="1" applyAlignment="1">
      <alignment horizontal="center"/>
    </xf>
    <xf numFmtId="3" fontId="55" fillId="21" borderId="30" xfId="0" applyFont="1" applyFill="1" applyBorder="1" applyAlignment="1">
      <alignment horizontal="center" vertical="center"/>
    </xf>
    <xf numFmtId="3" fontId="55" fillId="21" borderId="31" xfId="0" applyFont="1" applyFill="1" applyBorder="1" applyAlignment="1">
      <alignment horizontal="center" vertical="center"/>
    </xf>
    <xf numFmtId="3" fontId="55" fillId="21" borderId="1" xfId="0" applyFont="1" applyFill="1" applyBorder="1" applyAlignment="1">
      <alignment horizontal="center" vertical="center" wrapText="1"/>
    </xf>
    <xf numFmtId="3" fontId="55" fillId="21" borderId="30" xfId="0" applyFont="1" applyFill="1" applyBorder="1" applyAlignment="1">
      <alignment horizontal="center" vertical="top" wrapText="1"/>
    </xf>
    <xf numFmtId="3" fontId="55" fillId="21" borderId="37" xfId="0" applyFont="1" applyFill="1" applyBorder="1" applyAlignment="1">
      <alignment horizontal="center" vertical="top" wrapText="1"/>
    </xf>
    <xf numFmtId="3" fontId="55" fillId="21" borderId="36" xfId="0" applyFont="1" applyFill="1" applyBorder="1" applyAlignment="1">
      <alignment horizontal="center" vertical="center"/>
    </xf>
    <xf numFmtId="3" fontId="55" fillId="21" borderId="33" xfId="0" applyFont="1" applyFill="1" applyBorder="1" applyAlignment="1">
      <alignment horizontal="center" vertical="center"/>
    </xf>
    <xf numFmtId="3" fontId="55" fillId="21" borderId="31" xfId="0" applyFont="1" applyFill="1" applyBorder="1" applyAlignment="1">
      <alignment horizontal="center" vertical="top" wrapText="1"/>
    </xf>
    <xf numFmtId="3" fontId="41" fillId="7" borderId="1" xfId="0" applyFont="1" applyFill="1" applyBorder="1" applyAlignment="1">
      <alignment horizontal="center" vertical="top" wrapText="1"/>
    </xf>
    <xf numFmtId="3" fontId="42" fillId="0" borderId="1" xfId="0" applyFont="1" applyBorder="1" applyAlignment="1">
      <alignment horizontal="left" vertical="top" wrapText="1"/>
    </xf>
    <xf numFmtId="3" fontId="42" fillId="0" borderId="1" xfId="0" applyFont="1" applyBorder="1" applyAlignment="1">
      <alignment horizontal="center" vertical="top" wrapText="1"/>
    </xf>
    <xf numFmtId="3" fontId="34" fillId="0" borderId="3" xfId="0" applyFont="1" applyBorder="1" applyAlignment="1">
      <alignment horizontal="center" vertical="center"/>
    </xf>
    <xf numFmtId="3" fontId="34" fillId="7" borderId="1" xfId="0" applyFont="1" applyFill="1" applyBorder="1" applyAlignment="1">
      <alignment horizontal="center" vertical="center" wrapText="1"/>
    </xf>
    <xf numFmtId="3" fontId="5" fillId="8" borderId="1" xfId="0" applyFont="1" applyFill="1" applyBorder="1" applyAlignment="1">
      <alignment horizontal="center" vertical="center" wrapText="1"/>
    </xf>
    <xf numFmtId="3" fontId="105" fillId="8" borderId="1" xfId="0" applyFont="1" applyFill="1" applyBorder="1" applyAlignment="1">
      <alignment horizontal="center" vertical="center" wrapText="1"/>
    </xf>
    <xf numFmtId="3" fontId="105" fillId="8" borderId="1" xfId="0" applyFont="1" applyFill="1" applyBorder="1" applyAlignment="1">
      <alignment horizontal="center"/>
    </xf>
    <xf numFmtId="3" fontId="105" fillId="0" borderId="0" xfId="0" applyFont="1" applyFill="1" applyBorder="1" applyAlignment="1"/>
    <xf numFmtId="3" fontId="105" fillId="0" borderId="0" xfId="0" applyFont="1" applyFill="1" applyBorder="1" applyAlignment="1">
      <alignment horizontal="center"/>
    </xf>
    <xf numFmtId="3" fontId="105" fillId="8" borderId="1" xfId="0" applyFont="1" applyFill="1" applyBorder="1" applyAlignment="1">
      <alignment horizontal="center" vertical="center"/>
    </xf>
    <xf numFmtId="3" fontId="118" fillId="0" borderId="1" xfId="0" applyFont="1" applyBorder="1" applyAlignment="1">
      <alignment horizontal="left" vertical="center" wrapText="1"/>
    </xf>
    <xf numFmtId="3" fontId="106" fillId="0" borderId="0" xfId="0" applyFont="1" applyAlignment="1">
      <alignment horizontal="left" vertical="center" wrapText="1"/>
    </xf>
    <xf numFmtId="3" fontId="106" fillId="0" borderId="1" xfId="0" applyFont="1" applyBorder="1" applyAlignment="1">
      <alignment horizontal="center" vertical="center" wrapText="1"/>
    </xf>
    <xf numFmtId="3" fontId="109" fillId="0" borderId="11" xfId="0" applyFont="1" applyBorder="1" applyAlignment="1">
      <alignment horizontal="center"/>
    </xf>
    <xf numFmtId="3" fontId="108" fillId="0" borderId="4" xfId="0" applyFont="1" applyBorder="1" applyAlignment="1">
      <alignment horizontal="left" vertical="center"/>
    </xf>
    <xf numFmtId="3" fontId="108" fillId="0" borderId="0" xfId="0" applyFont="1" applyBorder="1" applyAlignment="1">
      <alignment horizontal="left" vertical="center"/>
    </xf>
    <xf numFmtId="3" fontId="106" fillId="0" borderId="11" xfId="0" applyFont="1" applyBorder="1" applyAlignment="1">
      <alignment horizontal="left" vertical="center"/>
    </xf>
    <xf numFmtId="3" fontId="106" fillId="0" borderId="13" xfId="0" applyFont="1" applyBorder="1" applyAlignment="1">
      <alignment horizontal="left" vertical="center"/>
    </xf>
    <xf numFmtId="3" fontId="116" fillId="0" borderId="3" xfId="0" applyFont="1" applyBorder="1" applyAlignment="1">
      <alignment horizontal="center" vertical="center" wrapText="1"/>
    </xf>
    <xf numFmtId="3" fontId="105" fillId="0" borderId="0" xfId="0" applyFont="1" applyAlignment="1">
      <alignment horizontal="center"/>
    </xf>
    <xf numFmtId="3" fontId="115" fillId="0" borderId="13" xfId="0" applyFont="1" applyFill="1" applyBorder="1" applyAlignment="1">
      <alignment horizontal="left"/>
    </xf>
    <xf numFmtId="3" fontId="5" fillId="4" borderId="1" xfId="0" applyFont="1" applyFill="1" applyBorder="1" applyAlignment="1">
      <alignment horizontal="left"/>
    </xf>
    <xf numFmtId="3" fontId="105" fillId="4" borderId="1" xfId="0" applyFont="1" applyFill="1" applyBorder="1" applyAlignment="1">
      <alignment horizontal="left"/>
    </xf>
    <xf numFmtId="3" fontId="5" fillId="4" borderId="1" xfId="0" applyFont="1" applyFill="1" applyBorder="1" applyAlignment="1">
      <alignment horizontal="center"/>
    </xf>
    <xf numFmtId="3" fontId="105" fillId="4" borderId="1" xfId="0" applyFont="1" applyFill="1" applyBorder="1" applyAlignment="1">
      <alignment horizontal="center"/>
    </xf>
    <xf numFmtId="3" fontId="25" fillId="0" borderId="7" xfId="0" applyFont="1" applyBorder="1" applyAlignment="1">
      <alignment horizontal="left" vertical="center"/>
    </xf>
    <xf numFmtId="3" fontId="120" fillId="0" borderId="13" xfId="0" applyFont="1" applyBorder="1" applyAlignment="1">
      <alignment horizontal="left" vertical="center"/>
    </xf>
    <xf numFmtId="3" fontId="120" fillId="0" borderId="5" xfId="0" applyFont="1" applyBorder="1" applyAlignment="1">
      <alignment horizontal="left" vertical="center"/>
    </xf>
    <xf numFmtId="3" fontId="120" fillId="0" borderId="7" xfId="0" applyFont="1" applyBorder="1" applyAlignment="1">
      <alignment horizontal="center" vertical="center" wrapText="1"/>
    </xf>
    <xf numFmtId="3" fontId="120" fillId="0" borderId="13" xfId="0" applyFont="1" applyBorder="1" applyAlignment="1">
      <alignment horizontal="center" vertical="center" wrapText="1"/>
    </xf>
    <xf numFmtId="3" fontId="120" fillId="0" borderId="5" xfId="0" applyFont="1" applyBorder="1" applyAlignment="1">
      <alignment horizontal="center" vertical="center" wrapText="1"/>
    </xf>
    <xf numFmtId="14" fontId="120" fillId="0" borderId="1" xfId="0" applyNumberFormat="1" applyFont="1" applyBorder="1" applyAlignment="1">
      <alignment horizontal="center"/>
    </xf>
    <xf numFmtId="3" fontId="25" fillId="0" borderId="1" xfId="0" applyFont="1" applyBorder="1" applyAlignment="1">
      <alignment horizontal="left" vertical="center"/>
    </xf>
    <xf numFmtId="3" fontId="120" fillId="0" borderId="1" xfId="0" applyFont="1" applyBorder="1" applyAlignment="1">
      <alignment horizontal="left" vertical="center"/>
    </xf>
    <xf numFmtId="3" fontId="122" fillId="0" borderId="7" xfId="0" applyFont="1" applyFill="1" applyBorder="1" applyAlignment="1">
      <alignment horizontal="center"/>
    </xf>
    <xf numFmtId="3" fontId="122" fillId="0" borderId="13" xfId="0" applyFont="1" applyFill="1" applyBorder="1" applyAlignment="1">
      <alignment horizontal="center"/>
    </xf>
    <xf numFmtId="3" fontId="122" fillId="0" borderId="5" xfId="0" applyFont="1" applyFill="1" applyBorder="1" applyAlignment="1">
      <alignment horizontal="center"/>
    </xf>
    <xf numFmtId="3" fontId="122" fillId="7" borderId="7" xfId="0" applyFont="1" applyFill="1" applyBorder="1" applyAlignment="1">
      <alignment horizontal="center"/>
    </xf>
    <xf numFmtId="3" fontId="122" fillId="7" borderId="13" xfId="0" applyFont="1" applyFill="1" applyBorder="1" applyAlignment="1">
      <alignment horizontal="center"/>
    </xf>
    <xf numFmtId="3" fontId="122" fillId="7" borderId="5" xfId="0" applyFont="1" applyFill="1" applyBorder="1" applyAlignment="1">
      <alignment horizontal="center"/>
    </xf>
    <xf numFmtId="3" fontId="120" fillId="0" borderId="7" xfId="0" applyFont="1" applyBorder="1" applyAlignment="1">
      <alignment horizontal="center" vertical="center"/>
    </xf>
    <xf numFmtId="3" fontId="120" fillId="0" borderId="13" xfId="0" applyFont="1" applyBorder="1" applyAlignment="1">
      <alignment horizontal="center" vertical="center"/>
    </xf>
    <xf numFmtId="3" fontId="120" fillId="0" borderId="5" xfId="0" applyFont="1" applyBorder="1" applyAlignment="1">
      <alignment horizontal="center" vertical="center"/>
    </xf>
    <xf numFmtId="177" fontId="122" fillId="7" borderId="1" xfId="0" applyNumberFormat="1" applyFont="1" applyFill="1" applyBorder="1" applyAlignment="1">
      <alignment vertical="top"/>
    </xf>
    <xf numFmtId="177" fontId="122" fillId="7" borderId="7" xfId="0" applyNumberFormat="1" applyFont="1" applyFill="1" applyBorder="1" applyAlignment="1">
      <alignment vertical="top"/>
    </xf>
    <xf numFmtId="177" fontId="122" fillId="7" borderId="13" xfId="0" applyNumberFormat="1" applyFont="1" applyFill="1" applyBorder="1" applyAlignment="1">
      <alignment vertical="top"/>
    </xf>
    <xf numFmtId="177" fontId="122" fillId="7" borderId="5" xfId="0" applyNumberFormat="1" applyFont="1" applyFill="1" applyBorder="1" applyAlignment="1">
      <alignment vertical="top"/>
    </xf>
    <xf numFmtId="3" fontId="121" fillId="0" borderId="1" xfId="0" applyFont="1" applyBorder="1" applyAlignment="1">
      <alignment horizontal="left" vertical="center" wrapText="1"/>
    </xf>
    <xf numFmtId="3" fontId="120" fillId="0" borderId="7" xfId="0" applyFont="1" applyBorder="1" applyAlignment="1">
      <alignment horizontal="left" vertical="center"/>
    </xf>
    <xf numFmtId="3" fontId="121" fillId="0" borderId="7" xfId="0" applyFont="1" applyBorder="1" applyAlignment="1">
      <alignment horizontal="center" vertical="center" wrapText="1"/>
    </xf>
    <xf numFmtId="3" fontId="121" fillId="0" borderId="5" xfId="0" applyFont="1" applyBorder="1" applyAlignment="1">
      <alignment horizontal="center" vertical="center" wrapText="1"/>
    </xf>
    <xf numFmtId="14" fontId="120" fillId="0" borderId="1" xfId="0" applyNumberFormat="1" applyFont="1" applyBorder="1" applyAlignment="1">
      <alignment horizontal="left" vertical="center"/>
    </xf>
    <xf numFmtId="0" fontId="80" fillId="6" borderId="69" xfId="67" applyFont="1" applyFill="1" applyBorder="1" applyAlignment="1">
      <alignment horizontal="left" wrapText="1"/>
    </xf>
    <xf numFmtId="0" fontId="80" fillId="6" borderId="70" xfId="67" applyFont="1" applyFill="1" applyBorder="1" applyAlignment="1">
      <alignment horizontal="left" wrapText="1"/>
    </xf>
    <xf numFmtId="0" fontId="80" fillId="6" borderId="71" xfId="67" applyFont="1" applyFill="1" applyBorder="1" applyAlignment="1">
      <alignment horizontal="left" wrapText="1"/>
    </xf>
    <xf numFmtId="0" fontId="80" fillId="6" borderId="76" xfId="67" applyFont="1" applyFill="1" applyBorder="1" applyAlignment="1">
      <alignment horizontal="left" wrapText="1"/>
    </xf>
    <xf numFmtId="0" fontId="80" fillId="6" borderId="77" xfId="67" applyFont="1" applyFill="1" applyBorder="1" applyAlignment="1">
      <alignment horizontal="left" wrapText="1"/>
    </xf>
    <xf numFmtId="0" fontId="80" fillId="6" borderId="78" xfId="67" applyFont="1" applyFill="1" applyBorder="1" applyAlignment="1">
      <alignment horizontal="left" wrapText="1"/>
    </xf>
    <xf numFmtId="0" fontId="81" fillId="0" borderId="83" xfId="67" applyFont="1" applyBorder="1" applyAlignment="1">
      <alignment horizontal="center" vertical="center"/>
    </xf>
    <xf numFmtId="0" fontId="80" fillId="6" borderId="82" xfId="67" applyFont="1" applyFill="1" applyBorder="1" applyAlignment="1">
      <alignment horizontal="left" vertical="center" wrapText="1"/>
    </xf>
    <xf numFmtId="0" fontId="80" fillId="6" borderId="83" xfId="67" applyFont="1" applyFill="1" applyBorder="1" applyAlignment="1">
      <alignment horizontal="left" vertical="center" wrapText="1"/>
    </xf>
    <xf numFmtId="0" fontId="80" fillId="6" borderId="84" xfId="67" applyFont="1" applyFill="1" applyBorder="1" applyAlignment="1">
      <alignment horizontal="left" vertical="center" wrapText="1"/>
    </xf>
    <xf numFmtId="0" fontId="80" fillId="0" borderId="0" xfId="67" applyFont="1" applyBorder="1" applyAlignment="1">
      <alignment horizontal="left" wrapText="1"/>
    </xf>
    <xf numFmtId="0" fontId="80" fillId="6" borderId="72" xfId="67" applyFont="1" applyFill="1" applyBorder="1" applyAlignment="1">
      <alignment horizontal="left" wrapText="1"/>
    </xf>
    <xf numFmtId="0" fontId="80" fillId="6" borderId="70" xfId="67" applyFont="1" applyFill="1" applyBorder="1" applyAlignment="1">
      <alignment horizontal="center" vertical="center" wrapText="1"/>
    </xf>
    <xf numFmtId="0" fontId="80" fillId="6" borderId="8" xfId="67" applyFont="1" applyFill="1" applyBorder="1" applyAlignment="1">
      <alignment horizontal="center" vertical="center" wrapText="1"/>
    </xf>
    <xf numFmtId="0" fontId="80" fillId="6" borderId="70" xfId="67" applyFont="1" applyFill="1" applyBorder="1" applyAlignment="1">
      <alignment horizontal="center" wrapText="1"/>
    </xf>
    <xf numFmtId="0" fontId="80" fillId="6" borderId="8" xfId="67" applyFont="1" applyFill="1" applyBorder="1" applyAlignment="1">
      <alignment horizontal="center" wrapText="1"/>
    </xf>
    <xf numFmtId="0" fontId="80" fillId="6" borderId="71" xfId="67" applyFont="1" applyFill="1" applyBorder="1" applyAlignment="1">
      <alignment horizontal="center" wrapText="1"/>
    </xf>
    <xf numFmtId="0" fontId="80" fillId="6" borderId="73" xfId="67" applyFont="1" applyFill="1" applyBorder="1" applyAlignment="1">
      <alignment horizontal="center" wrapText="1"/>
    </xf>
    <xf numFmtId="3" fontId="22" fillId="0" borderId="6" xfId="0" applyFont="1" applyBorder="1" applyAlignment="1">
      <alignment horizontal="center" vertical="center" wrapText="1"/>
    </xf>
    <xf numFmtId="3" fontId="22" fillId="0" borderId="11" xfId="0" applyFont="1" applyBorder="1" applyAlignment="1">
      <alignment horizontal="center" vertical="center" wrapText="1"/>
    </xf>
    <xf numFmtId="3" fontId="22" fillId="7" borderId="7" xfId="0" applyFont="1" applyFill="1" applyBorder="1" applyAlignment="1">
      <alignment horizontal="left"/>
    </xf>
    <xf numFmtId="3" fontId="22" fillId="7" borderId="5" xfId="0" applyFont="1" applyFill="1" applyBorder="1" applyAlignment="1">
      <alignment horizontal="left"/>
    </xf>
    <xf numFmtId="3" fontId="37" fillId="7" borderId="7" xfId="0" applyFont="1" applyFill="1" applyBorder="1" applyAlignment="1">
      <alignment horizontal="left"/>
    </xf>
    <xf numFmtId="3" fontId="37" fillId="7" borderId="5" xfId="0" applyFont="1" applyFill="1" applyBorder="1" applyAlignment="1">
      <alignment horizontal="left"/>
    </xf>
    <xf numFmtId="170" fontId="25" fillId="0" borderId="0" xfId="0" applyNumberFormat="1" applyFont="1">
      <alignment horizontal="left" vertical="center" wrapText="1"/>
    </xf>
  </cellXfs>
  <cellStyles count="74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7" xr:uid="{00000000-0005-0000-0000-00000C000000}"/>
    <cellStyle name="60% - Accent2 2" xfId="48" xr:uid="{00000000-0005-0000-0000-00000D000000}"/>
    <cellStyle name="60% - Accent3 2" xfId="49" xr:uid="{00000000-0005-0000-0000-00000E000000}"/>
    <cellStyle name="60% - Accent4 2" xfId="50" xr:uid="{00000000-0005-0000-0000-00000F000000}"/>
    <cellStyle name="60% - Accent5 2" xfId="51" xr:uid="{00000000-0005-0000-0000-000010000000}"/>
    <cellStyle name="60% - Accent6 2" xfId="52" xr:uid="{00000000-0005-0000-0000-000011000000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" xfId="1" builtinId="3"/>
    <cellStyle name="Comma 2" xfId="65" xr:uid="{00000000-0005-0000-0000-00001C000000}"/>
    <cellStyle name="Comma 3" xfId="70" xr:uid="{00000000-0005-0000-0000-00001D000000}"/>
    <cellStyle name="Currency 2" xfId="66" xr:uid="{00000000-0005-0000-0000-00001E000000}"/>
    <cellStyle name="Explanatory Text" xfId="22" builtinId="53" customBuiltin="1"/>
    <cellStyle name="General" xfId="6" xr:uid="{00000000-0005-0000-0000-000020000000}"/>
    <cellStyle name="General 2" xfId="72" xr:uid="{00000000-0005-0000-0000-000002000000}"/>
    <cellStyle name="Good" xfId="8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Hyperlink" xfId="2" builtinId="8" hidden="1"/>
    <cellStyle name="Hyperlink" xfId="7" builtinId="8" hidden="1"/>
    <cellStyle name="Input" xfId="16" builtinId="20" customBuiltin="1"/>
    <cellStyle name="Linked Cell" xfId="19" builtinId="24" customBuiltin="1"/>
    <cellStyle name="Neutral 2" xfId="45" xr:uid="{00000000-0005-0000-0000-00002A000000}"/>
    <cellStyle name="Normal" xfId="0" builtinId="0" customBuiltin="1"/>
    <cellStyle name="Normal 10" xfId="43" xr:uid="{00000000-0005-0000-0000-00002C000000}"/>
    <cellStyle name="Normal 11" xfId="67" xr:uid="{00000000-0005-0000-0000-00002D000000}"/>
    <cellStyle name="Normal 12" xfId="71" xr:uid="{00000000-0005-0000-0000-000054000000}"/>
    <cellStyle name="Normal 2" xfId="9" xr:uid="{00000000-0005-0000-0000-00002E000000}"/>
    <cellStyle name="Normal 2 2" xfId="54" xr:uid="{00000000-0005-0000-0000-00002F000000}"/>
    <cellStyle name="Normal 2 2 2" xfId="69" xr:uid="{00000000-0005-0000-0000-000030000000}"/>
    <cellStyle name="Normal 3" xfId="42" xr:uid="{00000000-0005-0000-0000-000031000000}"/>
    <cellStyle name="Normal 3 2" xfId="57" xr:uid="{00000000-0005-0000-0000-000032000000}"/>
    <cellStyle name="Normal 3 3" xfId="64" xr:uid="{00000000-0005-0000-0000-000033000000}"/>
    <cellStyle name="Normal 3 3 2" xfId="55" xr:uid="{00000000-0005-0000-0000-000034000000}"/>
    <cellStyle name="Normal 3 4" xfId="61" xr:uid="{00000000-0005-0000-0000-000035000000}"/>
    <cellStyle name="Normal 3 5" xfId="68" xr:uid="{00000000-0005-0000-0000-000036000000}"/>
    <cellStyle name="Normal 3 6" xfId="73" xr:uid="{00000000-0005-0000-0000-000006000000}"/>
    <cellStyle name="Normal 4" xfId="59" xr:uid="{00000000-0005-0000-0000-000037000000}"/>
    <cellStyle name="Normal 5" xfId="60" xr:uid="{00000000-0005-0000-0000-000038000000}"/>
    <cellStyle name="Normal 6" xfId="58" xr:uid="{00000000-0005-0000-0000-000039000000}"/>
    <cellStyle name="Normal 7" xfId="62" xr:uid="{00000000-0005-0000-0000-00003A000000}"/>
    <cellStyle name="Normal 8" xfId="63" xr:uid="{00000000-0005-0000-0000-00003B000000}"/>
    <cellStyle name="Normal 9" xfId="53" xr:uid="{00000000-0005-0000-0000-00003C000000}"/>
    <cellStyle name="Normal_AnalyteLookUp" xfId="3" xr:uid="{00000000-0005-0000-0000-00003D000000}"/>
    <cellStyle name="Normal_MethodLookUp" xfId="4" xr:uid="{00000000-0005-0000-0000-00003F000000}"/>
    <cellStyle name="Normal_MethodLookUp 2" xfId="10" xr:uid="{00000000-0005-0000-0000-000040000000}"/>
    <cellStyle name="Note 2" xfId="46" xr:uid="{00000000-0005-0000-0000-000041000000}"/>
    <cellStyle name="Output" xfId="17" builtinId="21" customBuiltin="1"/>
    <cellStyle name="Percent" xfId="5" builtinId="5"/>
    <cellStyle name="Percent 2" xfId="56" xr:uid="{00000000-0005-0000-0000-000044000000}"/>
    <cellStyle name="Title 2" xfId="44" xr:uid="{00000000-0005-0000-0000-000045000000}"/>
    <cellStyle name="Total" xfId="23" builtinId="25" customBuiltin="1"/>
    <cellStyle name="Warning Text" xfId="21" builtinId="11" customBuiltin="1"/>
  </cellStyles>
  <dxfs count="6"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Bear Creek Reservoir Chlorophyll [ug/l] Trend</a:t>
            </a:r>
          </a:p>
        </c:rich>
      </c:tx>
      <c:layout>
        <c:manualLayout>
          <c:xMode val="edge"/>
          <c:yMode val="edge"/>
          <c:x val="0.24096385542168691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385731178093584E-2"/>
          <c:y val="0.19105766902339388"/>
          <c:w val="0.89357604946357594"/>
          <c:h val="0.60569346137203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Trends'!$B$4</c:f>
              <c:strCache>
                <c:ptCount val="1"/>
                <c:pt idx="0">
                  <c:v>Top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  <c:dispRSqr val="0"/>
            <c:dispEq val="0"/>
          </c:trendline>
          <c:cat>
            <c:numRef>
              <c:f>'Annual Reservoir Trends'!$C$3:$T$3</c:f>
              <c:numCache>
                <c:formatCode>0</c:formatCod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'Annual Reservoir Trends'!$C$4:$T$4</c:f>
              <c:numCache>
                <c:formatCode>0.0</c:formatCode>
                <c:ptCount val="18"/>
                <c:pt idx="0">
                  <c:v>17.670000000000002</c:v>
                </c:pt>
                <c:pt idx="1">
                  <c:v>26.03</c:v>
                </c:pt>
                <c:pt idx="2">
                  <c:v>13.73</c:v>
                </c:pt>
                <c:pt idx="3">
                  <c:v>29.68</c:v>
                </c:pt>
                <c:pt idx="4">
                  <c:v>9.4</c:v>
                </c:pt>
                <c:pt idx="5">
                  <c:v>17.100000000000001</c:v>
                </c:pt>
                <c:pt idx="6">
                  <c:v>8.23</c:v>
                </c:pt>
                <c:pt idx="7">
                  <c:v>4.9000000000000004</c:v>
                </c:pt>
                <c:pt idx="8">
                  <c:v>6.2</c:v>
                </c:pt>
                <c:pt idx="9" formatCode="#,##0">
                  <c:v>23.9</c:v>
                </c:pt>
                <c:pt idx="10" formatCode="#,##0">
                  <c:v>24.6</c:v>
                </c:pt>
                <c:pt idx="11" formatCode="#,##0">
                  <c:v>15.4</c:v>
                </c:pt>
                <c:pt idx="12" formatCode="#,##0">
                  <c:v>14.8</c:v>
                </c:pt>
                <c:pt idx="13" formatCode="#,##0">
                  <c:v>6.6</c:v>
                </c:pt>
                <c:pt idx="14" formatCode="#,##0">
                  <c:v>15.4</c:v>
                </c:pt>
                <c:pt idx="15" formatCode="#,##0">
                  <c:v>9.1</c:v>
                </c:pt>
                <c:pt idx="16" formatCode="#,##0">
                  <c:v>9.3000000000000007</c:v>
                </c:pt>
                <c:pt idx="17" formatCode="#,##0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A-4AB3-B69B-544AFE320386}"/>
            </c:ext>
          </c:extLst>
        </c:ser>
        <c:ser>
          <c:idx val="1"/>
          <c:order val="1"/>
          <c:tx>
            <c:strRef>
              <c:f>'Annual Reservoir Trends'!$B$5</c:f>
              <c:strCache>
                <c:ptCount val="1"/>
                <c:pt idx="0">
                  <c:v>Mid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'Annual Reservoir Trends'!$C$3:$R$3</c:f>
              <c:numCache>
                <c:formatCode>0</c:formatCod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'Annual Reservoir Trends'!$C$5:$M$5</c:f>
            </c:numRef>
          </c:val>
          <c:extLst>
            <c:ext xmlns:c16="http://schemas.microsoft.com/office/drawing/2014/chart" uri="{C3380CC4-5D6E-409C-BE32-E72D297353CC}">
              <c16:uniqueId val="{00000001-4B3A-4AB3-B69B-544AFE320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48000"/>
        <c:axId val="104726912"/>
      </c:barChart>
      <c:catAx>
        <c:axId val="1048480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2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2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848000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74899745965498266"/>
          <c:y val="0.17479760151934756"/>
          <c:w val="0.23895624492724449"/>
          <c:h val="0.18292768282015925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Nitrate Distribution In Water Column</a:t>
            </a:r>
          </a:p>
        </c:rich>
      </c:tx>
      <c:layout>
        <c:manualLayout>
          <c:xMode val="edge"/>
          <c:yMode val="edge"/>
          <c:x val="0.23166023166023444"/>
          <c:y val="3.333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489822267713464E-2"/>
          <c:y val="0.12820566659936741"/>
          <c:w val="0.87748322517987265"/>
          <c:h val="0.7179503331314356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'Nitrogen Trends'!$E$51</c:f>
              <c:strCache>
                <c:ptCount val="1"/>
                <c:pt idx="0">
                  <c:v>Reservoir Bottom</c:v>
                </c:pt>
              </c:strCache>
            </c:strRef>
          </c:tx>
          <c:spPr>
            <a:ln>
              <a:noFill/>
            </a:ln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numRef>
              <c:f>'Nitrogen Trends'!$F$3:$F$27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'Nitrogen Trends'!$G$51:$G$75</c:f>
              <c:numCache>
                <c:formatCode>0</c:formatCode>
                <c:ptCount val="25"/>
                <c:pt idx="0">
                  <c:v>341</c:v>
                </c:pt>
                <c:pt idx="1">
                  <c:v>228</c:v>
                </c:pt>
                <c:pt idx="2">
                  <c:v>332</c:v>
                </c:pt>
                <c:pt idx="3">
                  <c:v>308</c:v>
                </c:pt>
                <c:pt idx="4">
                  <c:v>503</c:v>
                </c:pt>
                <c:pt idx="5">
                  <c:v>560.9375</c:v>
                </c:pt>
                <c:pt idx="6">
                  <c:v>340.9935714285715</c:v>
                </c:pt>
                <c:pt idx="7">
                  <c:v>342</c:v>
                </c:pt>
                <c:pt idx="8">
                  <c:v>231</c:v>
                </c:pt>
                <c:pt idx="9">
                  <c:v>483</c:v>
                </c:pt>
                <c:pt idx="10">
                  <c:v>390</c:v>
                </c:pt>
                <c:pt idx="11">
                  <c:v>268</c:v>
                </c:pt>
                <c:pt idx="12">
                  <c:v>259</c:v>
                </c:pt>
                <c:pt idx="13">
                  <c:v>224</c:v>
                </c:pt>
                <c:pt idx="14">
                  <c:v>210</c:v>
                </c:pt>
                <c:pt idx="15">
                  <c:v>151</c:v>
                </c:pt>
                <c:pt idx="16">
                  <c:v>232</c:v>
                </c:pt>
                <c:pt idx="17">
                  <c:v>230</c:v>
                </c:pt>
                <c:pt idx="18">
                  <c:v>244</c:v>
                </c:pt>
                <c:pt idx="19">
                  <c:v>222</c:v>
                </c:pt>
                <c:pt idx="20">
                  <c:v>186</c:v>
                </c:pt>
                <c:pt idx="21">
                  <c:v>101.8</c:v>
                </c:pt>
                <c:pt idx="22">
                  <c:v>144</c:v>
                </c:pt>
                <c:pt idx="23">
                  <c:v>274</c:v>
                </c:pt>
                <c:pt idx="24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0-4B1F-AF99-46BF5C555CEA}"/>
            </c:ext>
          </c:extLst>
        </c:ser>
        <c:ser>
          <c:idx val="0"/>
          <c:order val="1"/>
          <c:tx>
            <c:strRef>
              <c:f>'Nitrogen Trends'!$E$3</c:f>
              <c:strCache>
                <c:ptCount val="1"/>
                <c:pt idx="0">
                  <c:v>Reservoir Top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numRef>
              <c:f>'Nitrogen Trends'!$F$3:$F$27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'Nitrogen Trends'!$G$3:$G$27</c:f>
              <c:numCache>
                <c:formatCode>0</c:formatCode>
                <c:ptCount val="25"/>
                <c:pt idx="0">
                  <c:v>442</c:v>
                </c:pt>
                <c:pt idx="1">
                  <c:v>288</c:v>
                </c:pt>
                <c:pt idx="2">
                  <c:v>504</c:v>
                </c:pt>
                <c:pt idx="3">
                  <c:v>382</c:v>
                </c:pt>
                <c:pt idx="4">
                  <c:v>474</c:v>
                </c:pt>
                <c:pt idx="5">
                  <c:v>577.75</c:v>
                </c:pt>
                <c:pt idx="6">
                  <c:v>392.83071428571424</c:v>
                </c:pt>
                <c:pt idx="7">
                  <c:v>388</c:v>
                </c:pt>
                <c:pt idx="8">
                  <c:v>224</c:v>
                </c:pt>
                <c:pt idx="9">
                  <c:v>431</c:v>
                </c:pt>
                <c:pt idx="10">
                  <c:v>401</c:v>
                </c:pt>
                <c:pt idx="11">
                  <c:v>289</c:v>
                </c:pt>
                <c:pt idx="12">
                  <c:v>268</c:v>
                </c:pt>
                <c:pt idx="13">
                  <c:v>268</c:v>
                </c:pt>
                <c:pt idx="14">
                  <c:v>186</c:v>
                </c:pt>
                <c:pt idx="15">
                  <c:v>158</c:v>
                </c:pt>
                <c:pt idx="16">
                  <c:v>222</c:v>
                </c:pt>
                <c:pt idx="17">
                  <c:v>233</c:v>
                </c:pt>
                <c:pt idx="18">
                  <c:v>291</c:v>
                </c:pt>
                <c:pt idx="19">
                  <c:v>287</c:v>
                </c:pt>
                <c:pt idx="20">
                  <c:v>158</c:v>
                </c:pt>
                <c:pt idx="21">
                  <c:v>165</c:v>
                </c:pt>
                <c:pt idx="22">
                  <c:v>161</c:v>
                </c:pt>
                <c:pt idx="23">
                  <c:v>307</c:v>
                </c:pt>
                <c:pt idx="24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20-4B1F-AF99-46BF5C555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7666048"/>
        <c:axId val="107483520"/>
      </c:barChart>
      <c:catAx>
        <c:axId val="10766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0748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8352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Nitrate ug/l</a:t>
                </a:r>
              </a:p>
            </c:rich>
          </c:tx>
          <c:layout>
            <c:manualLayout>
              <c:xMode val="edge"/>
              <c:yMode val="edge"/>
              <c:x val="1.3390233824479856E-2"/>
              <c:y val="0.3703592245774562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76660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460882484029119"/>
          <c:y val="0.16496148507754108"/>
          <c:w val="0.26166856501430663"/>
          <c:h val="0.12385372881021472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 alignWithMargins="0"/>
    <c:pageMargins b="1" l="0.75000000000001465" r="0.7500000000000146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Nitrogen BCR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'Nitrogen Trends'!$H$138</c:f>
              <c:strCache>
                <c:ptCount val="1"/>
                <c:pt idx="0">
                  <c:v>Seasonal Reservoir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'Nitrogen Trends'!$I$136:$P$136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'Nitrogen Trends'!$I$138:$P$138</c:f>
              <c:numCache>
                <c:formatCode>#,##0</c:formatCode>
                <c:ptCount val="8"/>
                <c:pt idx="0">
                  <c:v>651.5</c:v>
                </c:pt>
                <c:pt idx="1">
                  <c:v>646.58333333333337</c:v>
                </c:pt>
                <c:pt idx="2">
                  <c:v>868.91666666666663</c:v>
                </c:pt>
                <c:pt idx="3">
                  <c:v>567.41666666666663</c:v>
                </c:pt>
                <c:pt idx="4">
                  <c:v>799</c:v>
                </c:pt>
                <c:pt idx="5">
                  <c:v>670</c:v>
                </c:pt>
                <c:pt idx="6">
                  <c:v>669</c:v>
                </c:pt>
                <c:pt idx="7">
                  <c:v>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4-40D7-BB3B-20791FDC3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32169448"/>
        <c:axId val="632167152"/>
      </c:barChart>
      <c:catAx>
        <c:axId val="63216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167152"/>
        <c:crosses val="autoZero"/>
        <c:auto val="1"/>
        <c:lblAlgn val="ctr"/>
        <c:lblOffset val="100"/>
        <c:noMultiLvlLbl val="0"/>
      </c:catAx>
      <c:valAx>
        <c:axId val="63216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Nitrogen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169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Average Total Nitrogen loading into BCR</a:t>
            </a:r>
          </a:p>
        </c:rich>
      </c:tx>
      <c:layout>
        <c:manualLayout>
          <c:xMode val="edge"/>
          <c:yMode val="edge"/>
          <c:x val="0.30331233595800527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090791776027997"/>
          <c:y val="0.17171296296296296"/>
          <c:w val="0.70909208223972009"/>
          <c:h val="0.60809492563429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'Nitrogen Trends'!$H$139</c:f>
              <c:strCache>
                <c:ptCount val="1"/>
                <c:pt idx="0">
                  <c:v>Site 16a-Turkey Creek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'Nitrogen Trends'!$I$136:$P$136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'Nitrogen Trends'!$I$139:$P$139</c:f>
              <c:numCache>
                <c:formatCode>#,##0</c:formatCode>
                <c:ptCount val="8"/>
                <c:pt idx="0">
                  <c:v>641</c:v>
                </c:pt>
                <c:pt idx="1">
                  <c:v>698</c:v>
                </c:pt>
                <c:pt idx="2">
                  <c:v>753</c:v>
                </c:pt>
                <c:pt idx="3">
                  <c:v>594</c:v>
                </c:pt>
                <c:pt idx="4">
                  <c:v>981</c:v>
                </c:pt>
                <c:pt idx="5">
                  <c:v>881</c:v>
                </c:pt>
                <c:pt idx="6">
                  <c:v>761</c:v>
                </c:pt>
                <c:pt idx="7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C7-496E-A883-BBE794B2374C}"/>
            </c:ext>
          </c:extLst>
        </c:ser>
        <c:ser>
          <c:idx val="1"/>
          <c:order val="1"/>
          <c:tx>
            <c:strRef>
              <c:f>'Nitrogen Trends'!$H$140</c:f>
              <c:strCache>
                <c:ptCount val="1"/>
                <c:pt idx="0">
                  <c:v>Site 15a-Bear Creek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'Nitrogen Trends'!$I$136:$P$136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'Nitrogen Trends'!$I$140:$P$140</c:f>
              <c:numCache>
                <c:formatCode>#,##0</c:formatCode>
                <c:ptCount val="8"/>
                <c:pt idx="0">
                  <c:v>1056</c:v>
                </c:pt>
                <c:pt idx="1">
                  <c:v>1517</c:v>
                </c:pt>
                <c:pt idx="2">
                  <c:v>1255</c:v>
                </c:pt>
                <c:pt idx="3">
                  <c:v>695</c:v>
                </c:pt>
                <c:pt idx="4">
                  <c:v>808</c:v>
                </c:pt>
                <c:pt idx="5">
                  <c:v>895</c:v>
                </c:pt>
                <c:pt idx="6">
                  <c:v>790</c:v>
                </c:pt>
                <c:pt idx="7">
                  <c:v>1047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C7-496E-A883-BBE794B23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03756536"/>
        <c:axId val="603761784"/>
      </c:barChart>
      <c:catAx>
        <c:axId val="60375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61784"/>
        <c:crosses val="autoZero"/>
        <c:auto val="1"/>
        <c:lblAlgn val="ctr"/>
        <c:lblOffset val="100"/>
        <c:noMultiLvlLbl val="0"/>
      </c:catAx>
      <c:valAx>
        <c:axId val="60376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Nitrogen, ug/l </a:t>
                </a:r>
              </a:p>
            </c:rich>
          </c:tx>
          <c:layout>
            <c:manualLayout>
              <c:xMode val="edge"/>
              <c:yMode val="edge"/>
              <c:x val="0.125"/>
              <c:y val="0.233873578302712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565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Bear Creek Reservoir Annual Average
Total Phosphorus Trend</a:t>
            </a:r>
          </a:p>
        </c:rich>
      </c:tx>
      <c:layout>
        <c:manualLayout>
          <c:xMode val="edge"/>
          <c:yMode val="edge"/>
          <c:x val="0.36817643921738707"/>
          <c:y val="2.134624156731565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15621564061779"/>
          <c:y val="0.13672940150780882"/>
          <c:w val="0.86524972512490061"/>
          <c:h val="0.7533521926213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'Phosphorus Trends'!$A$116</c:f>
              <c:strCache>
                <c:ptCount val="1"/>
                <c:pt idx="0">
                  <c:v>Reservoir Average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poly"/>
            <c:order val="3"/>
            <c:dispRSqr val="0"/>
            <c:dispEq val="0"/>
          </c:trendline>
          <c:cat>
            <c:numRef>
              <c:f>'Phosphorus Trends'!$B$116:$B$144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'Phosphorus Trends'!$C$116:$C$144</c:f>
              <c:numCache>
                <c:formatCode>0</c:formatCode>
                <c:ptCount val="29"/>
                <c:pt idx="0">
                  <c:v>124.33333333333333</c:v>
                </c:pt>
                <c:pt idx="1">
                  <c:v>183.73333333333335</c:v>
                </c:pt>
                <c:pt idx="2">
                  <c:v>162.40476666666666</c:v>
                </c:pt>
                <c:pt idx="3">
                  <c:v>193</c:v>
                </c:pt>
                <c:pt idx="4">
                  <c:v>87.333333333333329</c:v>
                </c:pt>
                <c:pt idx="5">
                  <c:v>41</c:v>
                </c:pt>
                <c:pt idx="6">
                  <c:v>42.895833333333336</c:v>
                </c:pt>
                <c:pt idx="7">
                  <c:v>56.052465322207688</c:v>
                </c:pt>
                <c:pt idx="8">
                  <c:v>47.433333333333337</c:v>
                </c:pt>
                <c:pt idx="9">
                  <c:v>41.666666666666664</c:v>
                </c:pt>
                <c:pt idx="10">
                  <c:v>57.333333333333336</c:v>
                </c:pt>
                <c:pt idx="11">
                  <c:v>49.333333333333336</c:v>
                </c:pt>
                <c:pt idx="12">
                  <c:v>50.199999999999996</c:v>
                </c:pt>
                <c:pt idx="13">
                  <c:v>49.533333333333331</c:v>
                </c:pt>
                <c:pt idx="14">
                  <c:v>31.833333333333329</c:v>
                </c:pt>
                <c:pt idx="15">
                  <c:v>39</c:v>
                </c:pt>
                <c:pt idx="16" formatCode="#,##0">
                  <c:v>24</c:v>
                </c:pt>
                <c:pt idx="17" formatCode="#,##0">
                  <c:v>30.7</c:v>
                </c:pt>
                <c:pt idx="18">
                  <c:v>50.6</c:v>
                </c:pt>
                <c:pt idx="19">
                  <c:v>34.799999999999997</c:v>
                </c:pt>
                <c:pt idx="20">
                  <c:v>33.6</c:v>
                </c:pt>
                <c:pt idx="21">
                  <c:v>40.799999999999997</c:v>
                </c:pt>
                <c:pt idx="22">
                  <c:v>69.8</c:v>
                </c:pt>
                <c:pt idx="23">
                  <c:v>65.599999999999994</c:v>
                </c:pt>
                <c:pt idx="24" formatCode="#,##0">
                  <c:v>30.5</c:v>
                </c:pt>
                <c:pt idx="25" formatCode="#,##0">
                  <c:v>55</c:v>
                </c:pt>
                <c:pt idx="26" formatCode="#,##0">
                  <c:v>63</c:v>
                </c:pt>
                <c:pt idx="27" formatCode="#,##0">
                  <c:v>45</c:v>
                </c:pt>
                <c:pt idx="28" formatCode="#,##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A-4824-B43D-9BAE904EB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7692032"/>
        <c:axId val="107693568"/>
      </c:barChart>
      <c:catAx>
        <c:axId val="10769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246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9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693568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Phosphorus [ug/l]</a:t>
                </a:r>
              </a:p>
            </c:rich>
          </c:tx>
          <c:layout>
            <c:manualLayout>
              <c:xMode val="edge"/>
              <c:yMode val="edge"/>
              <c:x val="2.1276595744680847E-2"/>
              <c:y val="0.33512134060165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9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Bear Creek Reservoir - Total Phosphorus Average Trends</a:t>
            </a:r>
          </a:p>
        </c:rich>
      </c:tx>
      <c:layout>
        <c:manualLayout>
          <c:xMode val="edge"/>
          <c:yMode val="edge"/>
          <c:x val="0.13982300884955737"/>
          <c:y val="4.6461465044142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12399934666029"/>
          <c:y val="0.14130434782608794"/>
          <c:w val="0.86017773452864565"/>
          <c:h val="0.69836956521739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'Phosphorus Trends'!$E$86</c:f>
              <c:strCache>
                <c:ptCount val="1"/>
                <c:pt idx="0">
                  <c:v>Average Inflow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'Phosphorus Trends'!$F$86:$F$114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'Phosphorus Trends'!$G$86:$G$114</c:f>
              <c:numCache>
                <c:formatCode>0</c:formatCode>
                <c:ptCount val="29"/>
                <c:pt idx="0">
                  <c:v>435.5</c:v>
                </c:pt>
                <c:pt idx="1">
                  <c:v>325</c:v>
                </c:pt>
                <c:pt idx="2">
                  <c:v>319.5</c:v>
                </c:pt>
                <c:pt idx="3">
                  <c:v>242.5</c:v>
                </c:pt>
                <c:pt idx="4">
                  <c:v>106.5</c:v>
                </c:pt>
                <c:pt idx="5">
                  <c:v>60</c:v>
                </c:pt>
                <c:pt idx="6">
                  <c:v>37.28125</c:v>
                </c:pt>
                <c:pt idx="7">
                  <c:v>71.546519746997504</c:v>
                </c:pt>
                <c:pt idx="8">
                  <c:v>36.9</c:v>
                </c:pt>
                <c:pt idx="9">
                  <c:v>42.5</c:v>
                </c:pt>
                <c:pt idx="10">
                  <c:v>28</c:v>
                </c:pt>
                <c:pt idx="11">
                  <c:v>22</c:v>
                </c:pt>
                <c:pt idx="12">
                  <c:v>76.100000000000009</c:v>
                </c:pt>
                <c:pt idx="13">
                  <c:v>67.95</c:v>
                </c:pt>
                <c:pt idx="14">
                  <c:v>27.9</c:v>
                </c:pt>
                <c:pt idx="15">
                  <c:v>33.5</c:v>
                </c:pt>
                <c:pt idx="16">
                  <c:v>14.45</c:v>
                </c:pt>
                <c:pt idx="17">
                  <c:v>32</c:v>
                </c:pt>
                <c:pt idx="18">
                  <c:v>26.25</c:v>
                </c:pt>
                <c:pt idx="19">
                  <c:v>27.3</c:v>
                </c:pt>
                <c:pt idx="20">
                  <c:v>32.6</c:v>
                </c:pt>
                <c:pt idx="21">
                  <c:v>24.7</c:v>
                </c:pt>
                <c:pt idx="22">
                  <c:v>47</c:v>
                </c:pt>
                <c:pt idx="23">
                  <c:v>34.6</c:v>
                </c:pt>
                <c:pt idx="24">
                  <c:v>24.15</c:v>
                </c:pt>
                <c:pt idx="25">
                  <c:v>48.5</c:v>
                </c:pt>
                <c:pt idx="26">
                  <c:v>29</c:v>
                </c:pt>
                <c:pt idx="27">
                  <c:v>71</c:v>
                </c:pt>
                <c:pt idx="28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B-4A68-87FA-89CFC7303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26560"/>
        <c:axId val="107832448"/>
      </c:barChart>
      <c:lineChart>
        <c:grouping val="standard"/>
        <c:varyColors val="0"/>
        <c:ser>
          <c:idx val="1"/>
          <c:order val="1"/>
          <c:tx>
            <c:strRef>
              <c:f>'Phosphorus Trends'!$E$116</c:f>
              <c:strCache>
                <c:ptCount val="1"/>
                <c:pt idx="0">
                  <c:v>Retained In Reservoir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'Phosphorus Trends'!$F$86:$F$114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'Phosphorus Trends'!$G$116:$G$144</c:f>
              <c:numCache>
                <c:formatCode>0</c:formatCode>
                <c:ptCount val="29"/>
                <c:pt idx="0">
                  <c:v>307.5</c:v>
                </c:pt>
                <c:pt idx="1">
                  <c:v>144</c:v>
                </c:pt>
                <c:pt idx="2">
                  <c:v>162.5</c:v>
                </c:pt>
                <c:pt idx="3">
                  <c:v>65.5</c:v>
                </c:pt>
                <c:pt idx="4">
                  <c:v>14.5</c:v>
                </c:pt>
                <c:pt idx="5">
                  <c:v>24</c:v>
                </c:pt>
                <c:pt idx="6">
                  <c:v>2.34375</c:v>
                </c:pt>
                <c:pt idx="7">
                  <c:v>32.546519746997504</c:v>
                </c:pt>
                <c:pt idx="8">
                  <c:v>2.3999999999999986</c:v>
                </c:pt>
                <c:pt idx="9">
                  <c:v>7.5</c:v>
                </c:pt>
                <c:pt idx="10">
                  <c:v>-30</c:v>
                </c:pt>
                <c:pt idx="11">
                  <c:v>-24</c:v>
                </c:pt>
                <c:pt idx="12">
                  <c:v>29.20000000000001</c:v>
                </c:pt>
                <c:pt idx="13">
                  <c:v>4.6500000000000057</c:v>
                </c:pt>
                <c:pt idx="14">
                  <c:v>-2.2000000000000028</c:v>
                </c:pt>
                <c:pt idx="15">
                  <c:v>1.5</c:v>
                </c:pt>
                <c:pt idx="16">
                  <c:v>-8.3500000000000014</c:v>
                </c:pt>
                <c:pt idx="17">
                  <c:v>1</c:v>
                </c:pt>
                <c:pt idx="18">
                  <c:v>-2.75</c:v>
                </c:pt>
                <c:pt idx="19">
                  <c:v>3.1000000000000014</c:v>
                </c:pt>
                <c:pt idx="20">
                  <c:v>1.5</c:v>
                </c:pt>
                <c:pt idx="21">
                  <c:v>-14.8</c:v>
                </c:pt>
                <c:pt idx="22">
                  <c:v>-8.8999999999999986</c:v>
                </c:pt>
                <c:pt idx="23">
                  <c:v>-47.800000000000004</c:v>
                </c:pt>
                <c:pt idx="24">
                  <c:v>-0.85000000000000142</c:v>
                </c:pt>
                <c:pt idx="25">
                  <c:v>10.5</c:v>
                </c:pt>
                <c:pt idx="26">
                  <c:v>-10</c:v>
                </c:pt>
                <c:pt idx="27">
                  <c:v>27</c:v>
                </c:pt>
                <c:pt idx="2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2B-4A68-87FA-89CFC730313C}"/>
            </c:ext>
          </c:extLst>
        </c:ser>
        <c:ser>
          <c:idx val="2"/>
          <c:order val="2"/>
          <c:tx>
            <c:strRef>
              <c:f>'Phosphorus Trends'!$A$86</c:f>
              <c:strCache>
                <c:ptCount val="1"/>
                <c:pt idx="0">
                  <c:v>Bear Creek Outflow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'Phosphorus Trends'!$F$86:$F$114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'Phosphorus Trends'!$C$86:$C$114</c:f>
              <c:numCache>
                <c:formatCode>0</c:formatCode>
                <c:ptCount val="29"/>
                <c:pt idx="0">
                  <c:v>128</c:v>
                </c:pt>
                <c:pt idx="1">
                  <c:v>181</c:v>
                </c:pt>
                <c:pt idx="2">
                  <c:v>157</c:v>
                </c:pt>
                <c:pt idx="3">
                  <c:v>177</c:v>
                </c:pt>
                <c:pt idx="4">
                  <c:v>92</c:v>
                </c:pt>
                <c:pt idx="5">
                  <c:v>36</c:v>
                </c:pt>
                <c:pt idx="6">
                  <c:v>34.9375</c:v>
                </c:pt>
                <c:pt idx="7">
                  <c:v>39</c:v>
                </c:pt>
                <c:pt idx="8">
                  <c:v>34.5</c:v>
                </c:pt>
                <c:pt idx="9">
                  <c:v>35</c:v>
                </c:pt>
                <c:pt idx="10">
                  <c:v>58</c:v>
                </c:pt>
                <c:pt idx="11">
                  <c:v>46</c:v>
                </c:pt>
                <c:pt idx="12">
                  <c:v>46.9</c:v>
                </c:pt>
                <c:pt idx="13">
                  <c:v>63.3</c:v>
                </c:pt>
                <c:pt idx="14">
                  <c:v>30.1</c:v>
                </c:pt>
                <c:pt idx="15">
                  <c:v>32</c:v>
                </c:pt>
                <c:pt idx="16">
                  <c:v>22.8</c:v>
                </c:pt>
                <c:pt idx="17">
                  <c:v>31</c:v>
                </c:pt>
                <c:pt idx="18">
                  <c:v>29</c:v>
                </c:pt>
                <c:pt idx="19">
                  <c:v>24.2</c:v>
                </c:pt>
                <c:pt idx="20">
                  <c:v>31.1</c:v>
                </c:pt>
                <c:pt idx="21">
                  <c:v>39.5</c:v>
                </c:pt>
                <c:pt idx="22">
                  <c:v>55.9</c:v>
                </c:pt>
                <c:pt idx="23">
                  <c:v>82.4</c:v>
                </c:pt>
                <c:pt idx="24">
                  <c:v>25</c:v>
                </c:pt>
                <c:pt idx="25">
                  <c:v>38</c:v>
                </c:pt>
                <c:pt idx="26">
                  <c:v>39</c:v>
                </c:pt>
                <c:pt idx="27">
                  <c:v>44</c:v>
                </c:pt>
                <c:pt idx="28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2B-4A68-87FA-89CFC7303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26560"/>
        <c:axId val="107832448"/>
      </c:lineChart>
      <c:catAx>
        <c:axId val="10782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26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32448"/>
        <c:crossesAt val="-50"/>
        <c:auto val="1"/>
        <c:lblAlgn val="ctr"/>
        <c:lblOffset val="100"/>
        <c:tickLblSkip val="1"/>
        <c:tickMarkSkip val="1"/>
        <c:noMultiLvlLbl val="0"/>
      </c:catAx>
      <c:valAx>
        <c:axId val="107832448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Phosphorus [ug/l]
</a:t>
                </a:r>
              </a:p>
            </c:rich>
          </c:tx>
          <c:layout>
            <c:manualLayout>
              <c:xMode val="edge"/>
              <c:yMode val="edge"/>
              <c:x val="8.8495575221241747E-3"/>
              <c:y val="0.307065217391304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2656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Bear Creek Watershed - Total Phosphorus Loading Trends 
</a:t>
            </a:r>
          </a:p>
        </c:rich>
      </c:tx>
      <c:layout>
        <c:manualLayout>
          <c:xMode val="edge"/>
          <c:yMode val="edge"/>
          <c:x val="0.19651347068145841"/>
          <c:y val="3.4482758620689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748087692594582E-2"/>
          <c:y val="0.1285268424992079"/>
          <c:w val="0.9033287497281951"/>
          <c:h val="0.74608264670271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'Phosphorus Trends'!$E$3</c:f>
              <c:strCache>
                <c:ptCount val="1"/>
                <c:pt idx="0">
                  <c:v>Bear Creek Inflow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'Phosphorus Trends'!$F$3:$F$31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'Phosphorus Trends'!$G$3:$G$31</c:f>
              <c:numCache>
                <c:formatCode>0</c:formatCode>
                <c:ptCount val="29"/>
                <c:pt idx="0">
                  <c:v>334</c:v>
                </c:pt>
                <c:pt idx="1">
                  <c:v>267</c:v>
                </c:pt>
                <c:pt idx="2">
                  <c:v>277</c:v>
                </c:pt>
                <c:pt idx="3">
                  <c:v>216</c:v>
                </c:pt>
                <c:pt idx="4">
                  <c:v>122</c:v>
                </c:pt>
                <c:pt idx="5">
                  <c:v>73</c:v>
                </c:pt>
                <c:pt idx="6">
                  <c:v>58.5</c:v>
                </c:pt>
                <c:pt idx="7">
                  <c:v>63.093039493995008</c:v>
                </c:pt>
                <c:pt idx="8">
                  <c:v>40.799999999999997</c:v>
                </c:pt>
                <c:pt idx="9">
                  <c:v>38</c:v>
                </c:pt>
                <c:pt idx="10">
                  <c:v>37</c:v>
                </c:pt>
                <c:pt idx="11">
                  <c:v>22</c:v>
                </c:pt>
                <c:pt idx="12">
                  <c:v>137.30000000000001</c:v>
                </c:pt>
                <c:pt idx="13">
                  <c:v>113.3</c:v>
                </c:pt>
                <c:pt idx="14">
                  <c:v>34.1</c:v>
                </c:pt>
                <c:pt idx="15">
                  <c:v>44</c:v>
                </c:pt>
                <c:pt idx="16">
                  <c:v>21.3</c:v>
                </c:pt>
                <c:pt idx="17">
                  <c:v>41</c:v>
                </c:pt>
                <c:pt idx="18">
                  <c:v>37.700000000000003</c:v>
                </c:pt>
                <c:pt idx="19">
                  <c:v>19.100000000000001</c:v>
                </c:pt>
                <c:pt idx="20">
                  <c:v>45.9</c:v>
                </c:pt>
                <c:pt idx="21">
                  <c:v>36.9</c:v>
                </c:pt>
                <c:pt idx="22">
                  <c:v>61.7</c:v>
                </c:pt>
                <c:pt idx="23">
                  <c:v>47.4</c:v>
                </c:pt>
                <c:pt idx="24">
                  <c:v>28.4</c:v>
                </c:pt>
                <c:pt idx="25">
                  <c:v>43</c:v>
                </c:pt>
                <c:pt idx="26">
                  <c:v>33</c:v>
                </c:pt>
                <c:pt idx="27">
                  <c:v>64</c:v>
                </c:pt>
                <c:pt idx="28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F-4FF8-95C9-B55405DB1048}"/>
            </c:ext>
          </c:extLst>
        </c:ser>
        <c:ser>
          <c:idx val="1"/>
          <c:order val="1"/>
          <c:tx>
            <c:strRef>
              <c:f>'Phosphorus Trends'!$E$54</c:f>
              <c:strCache>
                <c:ptCount val="1"/>
                <c:pt idx="0">
                  <c:v>Turkey Creek Inflow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'Phosphorus Trends'!$F$3:$F$31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'Phosphorus Trends'!$G$54:$G$82</c:f>
              <c:numCache>
                <c:formatCode>0</c:formatCode>
                <c:ptCount val="29"/>
                <c:pt idx="0" formatCode="#,##0">
                  <c:v>537</c:v>
                </c:pt>
                <c:pt idx="1">
                  <c:v>383</c:v>
                </c:pt>
                <c:pt idx="2">
                  <c:v>362</c:v>
                </c:pt>
                <c:pt idx="3">
                  <c:v>269</c:v>
                </c:pt>
                <c:pt idx="4">
                  <c:v>91</c:v>
                </c:pt>
                <c:pt idx="5">
                  <c:v>47</c:v>
                </c:pt>
                <c:pt idx="6">
                  <c:v>16.0625</c:v>
                </c:pt>
                <c:pt idx="7" formatCode="0.0_)">
                  <c:v>80</c:v>
                </c:pt>
                <c:pt idx="8" formatCode="0.0_)">
                  <c:v>33</c:v>
                </c:pt>
                <c:pt idx="9" formatCode="0.0_)">
                  <c:v>47</c:v>
                </c:pt>
                <c:pt idx="10" formatCode="0.0_)">
                  <c:v>19</c:v>
                </c:pt>
                <c:pt idx="11" formatCode="0.0_)">
                  <c:v>22</c:v>
                </c:pt>
                <c:pt idx="12" formatCode="0.0_)">
                  <c:v>14.9</c:v>
                </c:pt>
                <c:pt idx="13" formatCode="0.0_)">
                  <c:v>22.6</c:v>
                </c:pt>
                <c:pt idx="14" formatCode="0.0_)">
                  <c:v>21.7</c:v>
                </c:pt>
                <c:pt idx="15" formatCode="0.0_)">
                  <c:v>23</c:v>
                </c:pt>
                <c:pt idx="16" formatCode="0.0_)">
                  <c:v>7.6</c:v>
                </c:pt>
                <c:pt idx="17" formatCode="0.0_)">
                  <c:v>23</c:v>
                </c:pt>
                <c:pt idx="18" formatCode="0.0_)">
                  <c:v>14.8</c:v>
                </c:pt>
                <c:pt idx="19" formatCode="0.0_)">
                  <c:v>35.5</c:v>
                </c:pt>
                <c:pt idx="20" formatCode="0.0_)">
                  <c:v>19.3</c:v>
                </c:pt>
                <c:pt idx="21" formatCode="0.0_)">
                  <c:v>12.5</c:v>
                </c:pt>
                <c:pt idx="22" formatCode="0.0_)">
                  <c:v>32.299999999999997</c:v>
                </c:pt>
                <c:pt idx="23" formatCode="0.0_)">
                  <c:v>21.8</c:v>
                </c:pt>
                <c:pt idx="24" formatCode="0.0_)">
                  <c:v>19.899999999999999</c:v>
                </c:pt>
                <c:pt idx="25" formatCode="0.0_)">
                  <c:v>54</c:v>
                </c:pt>
                <c:pt idx="26" formatCode="0.0_)">
                  <c:v>25</c:v>
                </c:pt>
                <c:pt idx="27" formatCode="0.0_)">
                  <c:v>79</c:v>
                </c:pt>
                <c:pt idx="28" formatCode="0.0_)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EF-4FF8-95C9-B55405DB1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7845120"/>
        <c:axId val="107846656"/>
      </c:barChart>
      <c:catAx>
        <c:axId val="10784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4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84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Phosphorus [ug/l]</a:t>
                </a:r>
              </a:p>
            </c:rich>
          </c:tx>
          <c:layout>
            <c:manualLayout>
              <c:xMode val="edge"/>
              <c:yMode val="edge"/>
              <c:x val="7.9239302694136312E-3"/>
              <c:y val="0.235110046980804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4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Phosphorus Distributon In Water Column</a:t>
            </a:r>
          </a:p>
        </c:rich>
      </c:tx>
      <c:layout>
        <c:manualLayout>
          <c:xMode val="edge"/>
          <c:yMode val="edge"/>
          <c:x val="0.21894409937890799"/>
          <c:y val="3.3333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99613899616375"/>
          <c:y val="0.11794925634295711"/>
          <c:w val="0.83397683397683464"/>
          <c:h val="0.6855748691790886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'Phosphorus Trends'!$A$3</c:f>
              <c:strCache>
                <c:ptCount val="1"/>
                <c:pt idx="0">
                  <c:v>Reservoir Bottom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'Phosphorus Trends'!$B$54:$B$82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'Phosphorus Trends'!$C$3:$C$31</c:f>
              <c:numCache>
                <c:formatCode>0</c:formatCode>
                <c:ptCount val="29"/>
                <c:pt idx="0">
                  <c:v>119.5</c:v>
                </c:pt>
                <c:pt idx="1">
                  <c:v>270</c:v>
                </c:pt>
                <c:pt idx="2">
                  <c:v>201</c:v>
                </c:pt>
                <c:pt idx="3">
                  <c:v>240</c:v>
                </c:pt>
                <c:pt idx="4">
                  <c:v>100</c:v>
                </c:pt>
                <c:pt idx="5">
                  <c:v>52</c:v>
                </c:pt>
                <c:pt idx="6">
                  <c:v>66.1875</c:v>
                </c:pt>
                <c:pt idx="7">
                  <c:v>85.579818007202547</c:v>
                </c:pt>
                <c:pt idx="8">
                  <c:v>69.2</c:v>
                </c:pt>
                <c:pt idx="9">
                  <c:v>54</c:v>
                </c:pt>
                <c:pt idx="10">
                  <c:v>56</c:v>
                </c:pt>
                <c:pt idx="11">
                  <c:v>64</c:v>
                </c:pt>
                <c:pt idx="12">
                  <c:v>55.5</c:v>
                </c:pt>
                <c:pt idx="13">
                  <c:v>52.9</c:v>
                </c:pt>
                <c:pt idx="14">
                  <c:v>44.3</c:v>
                </c:pt>
                <c:pt idx="15">
                  <c:v>47</c:v>
                </c:pt>
                <c:pt idx="16">
                  <c:v>26</c:v>
                </c:pt>
                <c:pt idx="17">
                  <c:v>31</c:v>
                </c:pt>
                <c:pt idx="18">
                  <c:v>62.2</c:v>
                </c:pt>
                <c:pt idx="19">
                  <c:v>35.299999999999997</c:v>
                </c:pt>
                <c:pt idx="20">
                  <c:v>38.9</c:v>
                </c:pt>
                <c:pt idx="21">
                  <c:v>47.9</c:v>
                </c:pt>
                <c:pt idx="22">
                  <c:v>69.8</c:v>
                </c:pt>
                <c:pt idx="23">
                  <c:v>59.8</c:v>
                </c:pt>
                <c:pt idx="24">
                  <c:v>36.1</c:v>
                </c:pt>
                <c:pt idx="25">
                  <c:v>69</c:v>
                </c:pt>
                <c:pt idx="26">
                  <c:v>93</c:v>
                </c:pt>
                <c:pt idx="27">
                  <c:v>57</c:v>
                </c:pt>
                <c:pt idx="2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1-4345-8250-025F4C5C5A25}"/>
            </c:ext>
          </c:extLst>
        </c:ser>
        <c:ser>
          <c:idx val="0"/>
          <c:order val="1"/>
          <c:tx>
            <c:strRef>
              <c:f>'Phosphorus Trends'!$A$54</c:f>
              <c:strCache>
                <c:ptCount val="1"/>
                <c:pt idx="0">
                  <c:v>Reservoir Top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5000"/>
                    <a:shade val="51000"/>
                    <a:satMod val="130000"/>
                  </a:schemeClr>
                </a:gs>
                <a:gs pos="80000">
                  <a:schemeClr val="accent1">
                    <a:shade val="65000"/>
                    <a:shade val="93000"/>
                    <a:satMod val="130000"/>
                  </a:schemeClr>
                </a:gs>
                <a:gs pos="100000">
                  <a:schemeClr val="accent1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'Phosphorus Trends'!$B$54:$B$82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'Phosphorus Trends'!$C$54:$C$82</c:f>
              <c:numCache>
                <c:formatCode>0</c:formatCode>
                <c:ptCount val="29"/>
                <c:pt idx="0">
                  <c:v>129</c:v>
                </c:pt>
                <c:pt idx="1">
                  <c:v>144</c:v>
                </c:pt>
                <c:pt idx="2">
                  <c:v>146</c:v>
                </c:pt>
                <c:pt idx="3">
                  <c:v>175</c:v>
                </c:pt>
                <c:pt idx="4">
                  <c:v>83</c:v>
                </c:pt>
                <c:pt idx="5">
                  <c:v>34</c:v>
                </c:pt>
                <c:pt idx="6">
                  <c:v>29.4375</c:v>
                </c:pt>
                <c:pt idx="7" formatCode="0.0_)">
                  <c:v>38</c:v>
                </c:pt>
                <c:pt idx="8" formatCode="0.0_)">
                  <c:v>33.299999999999997</c:v>
                </c:pt>
                <c:pt idx="9" formatCode="0.0_)">
                  <c:v>34</c:v>
                </c:pt>
                <c:pt idx="10" formatCode="0.0_)">
                  <c:v>59</c:v>
                </c:pt>
                <c:pt idx="11" formatCode="0.0_)">
                  <c:v>42</c:v>
                </c:pt>
                <c:pt idx="12" formatCode="0.0_)">
                  <c:v>46.1</c:v>
                </c:pt>
                <c:pt idx="13" formatCode="0.0_)">
                  <c:v>49.1</c:v>
                </c:pt>
                <c:pt idx="14" formatCode="0.0_)">
                  <c:v>24.3</c:v>
                </c:pt>
                <c:pt idx="15" formatCode="0.0_)">
                  <c:v>33</c:v>
                </c:pt>
                <c:pt idx="16" formatCode="0.0_)">
                  <c:v>21.6</c:v>
                </c:pt>
                <c:pt idx="17" formatCode="0.0_)">
                  <c:v>30</c:v>
                </c:pt>
                <c:pt idx="18" formatCode="0.0_)">
                  <c:v>39.799999999999997</c:v>
                </c:pt>
                <c:pt idx="19" formatCode="0.0_)">
                  <c:v>34.200000000000003</c:v>
                </c:pt>
                <c:pt idx="20" formatCode="0.0_)">
                  <c:v>28.3</c:v>
                </c:pt>
                <c:pt idx="21" formatCode="0.0_)">
                  <c:v>33.700000000000003</c:v>
                </c:pt>
                <c:pt idx="22" formatCode="0.0_)">
                  <c:v>53.4</c:v>
                </c:pt>
                <c:pt idx="23" formatCode="0.0_)">
                  <c:v>71.400000000000006</c:v>
                </c:pt>
                <c:pt idx="24" formatCode="0.0_)">
                  <c:v>24.8</c:v>
                </c:pt>
                <c:pt idx="25" formatCode="0.0_)">
                  <c:v>42</c:v>
                </c:pt>
                <c:pt idx="26" formatCode="0.0_)">
                  <c:v>38</c:v>
                </c:pt>
                <c:pt idx="27" formatCode="0.0_)">
                  <c:v>33</c:v>
                </c:pt>
                <c:pt idx="28" formatCode="0.0_)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31-4345-8250-025F4C5C5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859328"/>
        <c:axId val="107746432"/>
      </c:barChart>
      <c:catAx>
        <c:axId val="10785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4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74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Phosphorus ug/l</a:t>
                </a:r>
              </a:p>
            </c:rich>
          </c:tx>
          <c:layout>
            <c:manualLayout>
              <c:xMode val="edge"/>
              <c:yMode val="edge"/>
              <c:x val="3.7099166951957092E-2"/>
              <c:y val="0.215030621172353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5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BCR Total Phosphorus Load (Pounds, %) </a:t>
            </a:r>
          </a:p>
        </c:rich>
      </c:tx>
      <c:layout>
        <c:manualLayout>
          <c:xMode val="edge"/>
          <c:yMode val="edge"/>
          <c:x val="5.4544541865420987E-2"/>
          <c:y val="1.6889439936341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940385070347268E-2"/>
          <c:y val="0.14735383106488892"/>
          <c:w val="0.98305964457569406"/>
          <c:h val="0.81889837800827192"/>
        </c:manualLayout>
      </c:layout>
      <c:pie3DChart>
        <c:varyColors val="1"/>
        <c:ser>
          <c:idx val="0"/>
          <c:order val="0"/>
          <c:tx>
            <c:strRef>
              <c:f>Loading!$A$31</c:f>
              <c:strCache>
                <c:ptCount val="1"/>
                <c:pt idx="0">
                  <c:v>Total Phosphorus Pounds</c:v>
                </c:pt>
              </c:strCache>
            </c:strRef>
          </c:tx>
          <c:explosion val="4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143-475B-AE6E-8C9DE087EEA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0143-475B-AE6E-8C9DE087EEA7}"/>
              </c:ext>
            </c:extLst>
          </c:dPt>
          <c:dLbls>
            <c:dLbl>
              <c:idx val="0"/>
              <c:layout>
                <c:manualLayout>
                  <c:x val="7.5467986870189574E-2"/>
                  <c:y val="0.1714877355959177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43-475B-AE6E-8C9DE087EEA7}"/>
                </c:ext>
              </c:extLst>
            </c:dLbl>
            <c:dLbl>
              <c:idx val="1"/>
              <c:layout>
                <c:manualLayout>
                  <c:x val="0.18875663736834156"/>
                  <c:y val="-0.2749758042876837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43-475B-AE6E-8C9DE087EEA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Loading!$A$32:$A$33</c:f>
              <c:strCache>
                <c:ptCount val="2"/>
                <c:pt idx="0">
                  <c:v>Site 16a-Turkey Creek Inflow</c:v>
                </c:pt>
                <c:pt idx="1">
                  <c:v>Site 15a-Bear Creek Inflow</c:v>
                </c:pt>
              </c:strCache>
            </c:strRef>
          </c:cat>
          <c:val>
            <c:numRef>
              <c:f>Loading!$N$32:$N$33</c:f>
              <c:numCache>
                <c:formatCode>#,##0</c:formatCode>
                <c:ptCount val="2"/>
                <c:pt idx="0">
                  <c:v>75.014107355250019</c:v>
                </c:pt>
                <c:pt idx="1">
                  <c:v>666.09323434894975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43-475B-AE6E-8C9DE087EEA7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BCR Estimated Inflow  (acre-feet, %)</a:t>
            </a:r>
          </a:p>
        </c:rich>
      </c:tx>
      <c:layout>
        <c:manualLayout>
          <c:xMode val="edge"/>
          <c:yMode val="edge"/>
          <c:x val="0.12211358173380329"/>
          <c:y val="4.00000142355140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85319026293618E-2"/>
          <c:y val="0.13367158790068084"/>
          <c:w val="0.9140837395695649"/>
          <c:h val="0.73697913665063353"/>
        </c:manualLayout>
      </c:layout>
      <c:pie3DChart>
        <c:varyColors val="1"/>
        <c:ser>
          <c:idx val="0"/>
          <c:order val="0"/>
          <c:tx>
            <c:strRef>
              <c:f>Loading!$N$3</c:f>
              <c:strCache>
                <c:ptCount val="1"/>
                <c:pt idx="0">
                  <c:v>Annual ac-ft/yr</c:v>
                </c:pt>
              </c:strCache>
            </c:strRef>
          </c:tx>
          <c:explosion val="9"/>
          <c:dPt>
            <c:idx val="0"/>
            <c:bubble3D val="0"/>
            <c:explosion val="1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3103-40E5-8566-1127F94942F0}"/>
              </c:ext>
            </c:extLst>
          </c:dPt>
          <c:dPt>
            <c:idx val="1"/>
            <c:bubble3D val="0"/>
            <c:explosion val="2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103-40E5-8566-1127F94942F0}"/>
              </c:ext>
            </c:extLst>
          </c:dPt>
          <c:dLbls>
            <c:dLbl>
              <c:idx val="0"/>
              <c:layout>
                <c:manualLayout>
                  <c:x val="8.995466475781437E-2"/>
                  <c:y val="0.159763969262878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03-40E5-8566-1127F94942F0}"/>
                </c:ext>
              </c:extLst>
            </c:dLbl>
            <c:dLbl>
              <c:idx val="1"/>
              <c:layout>
                <c:manualLayout>
                  <c:x val="0.24738519846049886"/>
                  <c:y val="-0.2278507636209903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03-40E5-8566-1127F94942F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[1]Loading!$A$4:$A$5</c:f>
              <c:strCache>
                <c:ptCount val="2"/>
                <c:pt idx="0">
                  <c:v>Turkey Creek Inflow</c:v>
                </c:pt>
                <c:pt idx="1">
                  <c:v>Bear Creek Inflow</c:v>
                </c:pt>
              </c:strCache>
            </c:strRef>
          </c:cat>
          <c:val>
            <c:numRef>
              <c:f>Loading!$N$4:$N$5</c:f>
              <c:numCache>
                <c:formatCode>#,##0</c:formatCode>
                <c:ptCount val="2"/>
                <c:pt idx="0">
                  <c:v>1366.287</c:v>
                </c:pt>
                <c:pt idx="1">
                  <c:v>5621.3397576923071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03-40E5-8566-1127F94942F0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Nitrogen Pounds</a:t>
            </a:r>
          </a:p>
        </c:rich>
      </c:tx>
      <c:layout>
        <c:manualLayout>
          <c:xMode val="edge"/>
          <c:yMode val="edge"/>
          <c:x val="0.22381827357727768"/>
          <c:y val="2.8887273647480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533206453458811E-2"/>
          <c:y val="0.1223883039147419"/>
          <c:w val="0.9489595800524937"/>
          <c:h val="0.79437593295218822"/>
        </c:manualLayout>
      </c:layout>
      <c:pie3DChart>
        <c:varyColors val="1"/>
        <c:ser>
          <c:idx val="1"/>
          <c:order val="0"/>
          <c:tx>
            <c:strRef>
              <c:f>Loading!$A$17</c:f>
              <c:strCache>
                <c:ptCount val="1"/>
                <c:pt idx="0">
                  <c:v>Total Nitrogen Pounds</c:v>
                </c:pt>
              </c:strCache>
            </c:strRef>
          </c:tx>
          <c:explosion val="17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DDD-453A-B918-FB381F19D35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7DDD-453A-B918-FB381F19D357}"/>
              </c:ext>
            </c:extLst>
          </c:dPt>
          <c:dLbls>
            <c:dLbl>
              <c:idx val="0"/>
              <c:layout>
                <c:manualLayout>
                  <c:x val="-0.1720776873945202"/>
                  <c:y val="1.958062603718509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DD-453A-B918-FB381F19D357}"/>
                </c:ext>
              </c:extLst>
            </c:dLbl>
            <c:dLbl>
              <c:idx val="1"/>
              <c:layout>
                <c:manualLayout>
                  <c:x val="0.21737254242254866"/>
                  <c:y val="-0.1131474339373255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DD-453A-B918-FB381F19D3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Loading!$A$18:$A$19</c:f>
              <c:strCache>
                <c:ptCount val="2"/>
                <c:pt idx="0">
                  <c:v>Site 16a-Turkey Creek Inflow</c:v>
                </c:pt>
                <c:pt idx="1">
                  <c:v>Site 15a-Bear Creek Inflow</c:v>
                </c:pt>
              </c:strCache>
            </c:strRef>
          </c:cat>
          <c:val>
            <c:numRef>
              <c:f>Loading!$N$18:$N$19</c:f>
              <c:numCache>
                <c:formatCode>#,##0</c:formatCode>
                <c:ptCount val="2"/>
                <c:pt idx="0">
                  <c:v>2705.8713957387004</c:v>
                </c:pt>
                <c:pt idx="1">
                  <c:v>15543.551784046949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DD-453A-B918-FB381F19D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100"/>
              <a:t>Bear Creek Reservoir Chlorophyll [ug/l] Trend</a:t>
            </a:r>
          </a:p>
        </c:rich>
      </c:tx>
      <c:layout>
        <c:manualLayout>
          <c:xMode val="edge"/>
          <c:yMode val="edge"/>
          <c:x val="0.24096385542168691"/>
          <c:y val="4.0650406504065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85731178093584E-2"/>
          <c:y val="0.1361262988193892"/>
          <c:w val="0.89357604946357594"/>
          <c:h val="0.6805996441456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Trends'!$B$4</c:f>
              <c:strCache>
                <c:ptCount val="1"/>
                <c:pt idx="0">
                  <c:v>Top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'Annual Reservoir Trends'!$C$3:$AD$3</c:f>
              <c:numCache>
                <c:formatCode>0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'Annual Reservoir Trends'!$C$4:$AD$4</c:f>
              <c:numCache>
                <c:formatCode>0.0</c:formatCode>
                <c:ptCount val="28"/>
                <c:pt idx="0">
                  <c:v>17.670000000000002</c:v>
                </c:pt>
                <c:pt idx="1">
                  <c:v>26.03</c:v>
                </c:pt>
                <c:pt idx="2">
                  <c:v>13.73</c:v>
                </c:pt>
                <c:pt idx="3">
                  <c:v>29.68</c:v>
                </c:pt>
                <c:pt idx="4">
                  <c:v>9.4</c:v>
                </c:pt>
                <c:pt idx="5">
                  <c:v>17.100000000000001</c:v>
                </c:pt>
                <c:pt idx="6">
                  <c:v>8.23</c:v>
                </c:pt>
                <c:pt idx="7">
                  <c:v>4.9000000000000004</c:v>
                </c:pt>
                <c:pt idx="8">
                  <c:v>6.2</c:v>
                </c:pt>
                <c:pt idx="9" formatCode="#,##0">
                  <c:v>23.9</c:v>
                </c:pt>
                <c:pt idx="10" formatCode="#,##0">
                  <c:v>24.6</c:v>
                </c:pt>
                <c:pt idx="11" formatCode="#,##0">
                  <c:v>15.4</c:v>
                </c:pt>
                <c:pt idx="12" formatCode="#,##0">
                  <c:v>14.8</c:v>
                </c:pt>
                <c:pt idx="13" formatCode="#,##0">
                  <c:v>6.6</c:v>
                </c:pt>
                <c:pt idx="14" formatCode="#,##0">
                  <c:v>15.4</c:v>
                </c:pt>
                <c:pt idx="15" formatCode="#,##0">
                  <c:v>9.1</c:v>
                </c:pt>
                <c:pt idx="16" formatCode="#,##0">
                  <c:v>9.3000000000000007</c:v>
                </c:pt>
                <c:pt idx="17" formatCode="#,##0">
                  <c:v>17.3</c:v>
                </c:pt>
                <c:pt idx="18" formatCode="#,##0">
                  <c:v>12.5</c:v>
                </c:pt>
                <c:pt idx="19" formatCode="#,##0">
                  <c:v>10.6</c:v>
                </c:pt>
                <c:pt idx="20" formatCode="#,##0">
                  <c:v>10.8</c:v>
                </c:pt>
                <c:pt idx="21" formatCode="#,##0">
                  <c:v>14.9</c:v>
                </c:pt>
                <c:pt idx="22" formatCode="#,##0">
                  <c:v>14.6</c:v>
                </c:pt>
                <c:pt idx="23" formatCode="#,##0">
                  <c:v>5</c:v>
                </c:pt>
                <c:pt idx="24" formatCode="#,##0">
                  <c:v>13.2</c:v>
                </c:pt>
                <c:pt idx="25" formatCode="#,##0">
                  <c:v>10.1</c:v>
                </c:pt>
                <c:pt idx="26" formatCode="#,##0">
                  <c:v>12.8</c:v>
                </c:pt>
                <c:pt idx="27" formatCode="#,##0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3-4F57-BD7E-42B3D9CF2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4777600"/>
        <c:axId val="104779136"/>
      </c:barChart>
      <c:catAx>
        <c:axId val="1047776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7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7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7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Loading!$Q$3</c:f>
              <c:strCache>
                <c:ptCount val="1"/>
                <c:pt idx="0">
                  <c:v>BCR Total Phosphorus Deposition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519C-4595-B0FA-29C3EBB02E08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8658-422B-9FDA-361844437010}"/>
              </c:ext>
            </c:extLst>
          </c:dPt>
          <c:cat>
            <c:strRef>
              <c:f>Loading!$R$2:$AC$2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Median</c:v>
                </c:pt>
              </c:strCache>
            </c:strRef>
          </c:cat>
          <c:val>
            <c:numRef>
              <c:f>Loading!$R$3:$AC$3</c:f>
              <c:numCache>
                <c:formatCode>#,##0</c:formatCode>
                <c:ptCount val="12"/>
                <c:pt idx="0">
                  <c:v>667</c:v>
                </c:pt>
                <c:pt idx="1">
                  <c:v>1014</c:v>
                </c:pt>
                <c:pt idx="2">
                  <c:v>1395</c:v>
                </c:pt>
                <c:pt idx="3">
                  <c:v>223</c:v>
                </c:pt>
                <c:pt idx="4">
                  <c:v>374</c:v>
                </c:pt>
                <c:pt idx="5">
                  <c:v>6759</c:v>
                </c:pt>
                <c:pt idx="6">
                  <c:v>2030.6921468590576</c:v>
                </c:pt>
                <c:pt idx="7">
                  <c:v>18866.581804432863</c:v>
                </c:pt>
                <c:pt idx="8">
                  <c:v>1288</c:v>
                </c:pt>
                <c:pt idx="9">
                  <c:v>2983</c:v>
                </c:pt>
                <c:pt idx="10">
                  <c:v>332</c:v>
                </c:pt>
                <c:pt idx="11">
                  <c:v>1341.5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C-4595-B0FA-29C3EBB02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09119112"/>
        <c:axId val="609118456"/>
      </c:barChart>
      <c:catAx>
        <c:axId val="60911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18456"/>
        <c:crosses val="autoZero"/>
        <c:auto val="1"/>
        <c:lblAlgn val="ctr"/>
        <c:lblOffset val="100"/>
        <c:noMultiLvlLbl val="0"/>
      </c:catAx>
      <c:valAx>
        <c:axId val="609118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19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Loading!$AI$3</c:f>
              <c:strCache>
                <c:ptCount val="1"/>
                <c:pt idx="0">
                  <c:v>% Nonpoint Source Load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EBCA-42CE-8CC6-F6A5B8694831}"/>
              </c:ext>
            </c:extLst>
          </c:dPt>
          <c:cat>
            <c:strRef>
              <c:f>Loading!$AD$4:$AD$23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Median</c:v>
                </c:pt>
              </c:strCache>
            </c:strRef>
          </c:cat>
          <c:val>
            <c:numRef>
              <c:f>Loading!$AI$4:$AI$22</c:f>
              <c:numCache>
                <c:formatCode>0%</c:formatCode>
                <c:ptCount val="19"/>
                <c:pt idx="0">
                  <c:v>0.25226151315789475</c:v>
                </c:pt>
                <c:pt idx="1">
                  <c:v>0.57230869001297013</c:v>
                </c:pt>
                <c:pt idx="2">
                  <c:v>0.02</c:v>
                </c:pt>
                <c:pt idx="3">
                  <c:v>0.33336395969176036</c:v>
                </c:pt>
                <c:pt idx="4">
                  <c:v>0.81491587575496116</c:v>
                </c:pt>
                <c:pt idx="5">
                  <c:v>0.8216788908765652</c:v>
                </c:pt>
                <c:pt idx="6">
                  <c:v>0.61987696850393703</c:v>
                </c:pt>
                <c:pt idx="7">
                  <c:v>0.92638744690891928</c:v>
                </c:pt>
                <c:pt idx="8">
                  <c:v>0.81251507840772019</c:v>
                </c:pt>
                <c:pt idx="9">
                  <c:v>0.86823157894736847</c:v>
                </c:pt>
                <c:pt idx="10">
                  <c:v>0.92327517788724689</c:v>
                </c:pt>
                <c:pt idx="11">
                  <c:v>0.73160861865407323</c:v>
                </c:pt>
                <c:pt idx="12">
                  <c:v>0.61675078864353317</c:v>
                </c:pt>
                <c:pt idx="13">
                  <c:v>0.98222525927777082</c:v>
                </c:pt>
                <c:pt idx="14">
                  <c:v>0.93293079800498746</c:v>
                </c:pt>
                <c:pt idx="15">
                  <c:v>0.98941975604742005</c:v>
                </c:pt>
                <c:pt idx="16">
                  <c:v>0.95474633197808023</c:v>
                </c:pt>
                <c:pt idx="17">
                  <c:v>0.95811236327477622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CA-42CE-8CC6-F6A5B8694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09126984"/>
        <c:axId val="609132888"/>
      </c:barChart>
      <c:catAx>
        <c:axId val="60912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32888"/>
        <c:crosses val="autoZero"/>
        <c:auto val="1"/>
        <c:lblAlgn val="ctr"/>
        <c:lblOffset val="100"/>
        <c:noMultiLvlLbl val="0"/>
      </c:catAx>
      <c:valAx>
        <c:axId val="609132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26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Loading!$AE$3</c:f>
              <c:strCache>
                <c:ptCount val="1"/>
                <c:pt idx="0">
                  <c:v>Total Discharge WWTFs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8B05-4F3D-AA10-DE6AE0288930}"/>
              </c:ext>
            </c:extLst>
          </c:dPt>
          <c:cat>
            <c:numRef>
              <c:f>Loading!$AD$4:$AD$22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Loading!$AE$4:$AE$22</c:f>
              <c:numCache>
                <c:formatCode>#,##0</c:formatCode>
                <c:ptCount val="19"/>
                <c:pt idx="0">
                  <c:v>3637</c:v>
                </c:pt>
                <c:pt idx="1">
                  <c:v>2638</c:v>
                </c:pt>
                <c:pt idx="2">
                  <c:v>2721.5</c:v>
                </c:pt>
                <c:pt idx="3">
                  <c:v>4498.4600000000009</c:v>
                </c:pt>
                <c:pt idx="4">
                  <c:v>1716.1</c:v>
                </c:pt>
                <c:pt idx="5">
                  <c:v>1993.63</c:v>
                </c:pt>
                <c:pt idx="6">
                  <c:v>1544.82</c:v>
                </c:pt>
                <c:pt idx="7">
                  <c:v>1871.82</c:v>
                </c:pt>
                <c:pt idx="8">
                  <c:v>1243.4000000000001</c:v>
                </c:pt>
                <c:pt idx="9">
                  <c:v>1251.8000000000002</c:v>
                </c:pt>
                <c:pt idx="10">
                  <c:v>1121.4100000000001</c:v>
                </c:pt>
                <c:pt idx="11">
                  <c:v>909.31000000000006</c:v>
                </c:pt>
                <c:pt idx="12">
                  <c:v>971.91999999999985</c:v>
                </c:pt>
                <c:pt idx="13">
                  <c:v>1138.01</c:v>
                </c:pt>
                <c:pt idx="14">
                  <c:v>1075.79</c:v>
                </c:pt>
                <c:pt idx="15">
                  <c:v>1235.1799999999998</c:v>
                </c:pt>
                <c:pt idx="16">
                  <c:v>1024</c:v>
                </c:pt>
                <c:pt idx="17">
                  <c:v>1011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05-4F3D-AA10-DE6AE0288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09140432"/>
        <c:axId val="609141088"/>
      </c:barChart>
      <c:catAx>
        <c:axId val="60914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41088"/>
        <c:crosses val="autoZero"/>
        <c:auto val="1"/>
        <c:lblAlgn val="ctr"/>
        <c:lblOffset val="100"/>
        <c:noMultiLvlLbl val="0"/>
      </c:catAx>
      <c:valAx>
        <c:axId val="60914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4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Carlson Seasonal Trophic Status Index [TSI]</a:t>
            </a:r>
          </a:p>
        </c:rich>
      </c:tx>
      <c:layout>
        <c:manualLayout>
          <c:xMode val="edge"/>
          <c:yMode val="edge"/>
          <c:x val="0.23773006134969324"/>
          <c:y val="3.4591194968553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582692897654113E-2"/>
          <c:y val="0.12584117534088718"/>
          <c:w val="0.92357584931513192"/>
          <c:h val="0.77692305230142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Carlson!$A$18</c:f>
              <c:strCache>
                <c:ptCount val="1"/>
                <c:pt idx="0">
                  <c:v>Carlson's Annual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Carlson!$B$27:$AD$27</c:f>
              <c:numCache>
                <c:formatCode>General</c:formatCode>
                <c:ptCount val="29"/>
                <c:pt idx="0">
                  <c:v>1988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Carlson!$B$28:$AD$28</c:f>
              <c:numCache>
                <c:formatCode>0.00</c:formatCode>
                <c:ptCount val="29"/>
                <c:pt idx="0">
                  <c:v>60.39915070688658</c:v>
                </c:pt>
                <c:pt idx="1">
                  <c:v>62.922363589547444</c:v>
                </c:pt>
                <c:pt idx="2">
                  <c:v>62.111684953260315</c:v>
                </c:pt>
                <c:pt idx="3">
                  <c:v>58.344593382015127</c:v>
                </c:pt>
                <c:pt idx="4">
                  <c:v>60.120150932072441</c:v>
                </c:pt>
                <c:pt idx="5">
                  <c:v>51.089468090678203</c:v>
                </c:pt>
                <c:pt idx="6">
                  <c:v>52.699762908336595</c:v>
                </c:pt>
                <c:pt idx="7">
                  <c:v>53.361633839203677</c:v>
                </c:pt>
                <c:pt idx="8">
                  <c:v>50.833901052705436</c:v>
                </c:pt>
                <c:pt idx="9">
                  <c:v>52.427928247314178</c:v>
                </c:pt>
                <c:pt idx="10">
                  <c:v>55.711306281437082</c:v>
                </c:pt>
                <c:pt idx="11">
                  <c:v>56.840099404483801</c:v>
                </c:pt>
                <c:pt idx="12">
                  <c:v>54.070692957559743</c:v>
                </c:pt>
                <c:pt idx="13">
                  <c:v>56.601461813604963</c:v>
                </c:pt>
                <c:pt idx="14">
                  <c:v>49.808003998448534</c:v>
                </c:pt>
                <c:pt idx="15">
                  <c:v>54.616214061986739</c:v>
                </c:pt>
                <c:pt idx="16">
                  <c:v>49.875067908335467</c:v>
                </c:pt>
                <c:pt idx="17">
                  <c:v>52.785985215663082</c:v>
                </c:pt>
                <c:pt idx="18">
                  <c:v>55.561102668211014</c:v>
                </c:pt>
                <c:pt idx="19">
                  <c:v>52.133374222986525</c:v>
                </c:pt>
                <c:pt idx="20">
                  <c:v>53.647696846285726</c:v>
                </c:pt>
                <c:pt idx="21">
                  <c:v>53.403624208967244</c:v>
                </c:pt>
                <c:pt idx="22">
                  <c:v>56.414425174483391</c:v>
                </c:pt>
                <c:pt idx="23">
                  <c:v>57.478491848055995</c:v>
                </c:pt>
                <c:pt idx="24">
                  <c:v>50.183465718386536</c:v>
                </c:pt>
                <c:pt idx="25">
                  <c:v>58.571915412400962</c:v>
                </c:pt>
                <c:pt idx="26">
                  <c:v>58.191864123803477</c:v>
                </c:pt>
                <c:pt idx="27">
                  <c:v>54.496103914946083</c:v>
                </c:pt>
                <c:pt idx="28">
                  <c:v>56.757414989311279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7-4540-B79F-EC03670A8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8173184"/>
        <c:axId val="108174720"/>
      </c:barChart>
      <c:catAx>
        <c:axId val="10817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7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174720"/>
        <c:scaling>
          <c:orientation val="minMax"/>
          <c:max val="65"/>
          <c:min val="4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73184"/>
        <c:crosses val="autoZero"/>
        <c:crossBetween val="between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Carlson's Annual Trophic Status Index [TSI]  
</a:t>
            </a:r>
          </a:p>
        </c:rich>
      </c:tx>
      <c:layout>
        <c:manualLayout>
          <c:xMode val="edge"/>
          <c:yMode val="edge"/>
          <c:x val="0.2458521870286576"/>
          <c:y val="3.50318471337582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820669405625143E-2"/>
          <c:y val="0.11604644528129972"/>
          <c:w val="0.91237266492943359"/>
          <c:h val="0.7494240877370643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Carlson!$C$38:$AD$38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Carlson!$C$39:$AD$39</c:f>
              <c:numCache>
                <c:formatCode>#,##0</c:formatCode>
                <c:ptCount val="28"/>
                <c:pt idx="0">
                  <c:v>57.974168699280114</c:v>
                </c:pt>
                <c:pt idx="1">
                  <c:v>61.044107370954897</c:v>
                </c:pt>
                <c:pt idx="2">
                  <c:v>62.083167664011228</c:v>
                </c:pt>
                <c:pt idx="3">
                  <c:v>61.487265569974134</c:v>
                </c:pt>
                <c:pt idx="4">
                  <c:v>57.92951834427955</c:v>
                </c:pt>
                <c:pt idx="5">
                  <c:v>53.975841238330908</c:v>
                </c:pt>
                <c:pt idx="6">
                  <c:v>53.435718133535012</c:v>
                </c:pt>
                <c:pt idx="7">
                  <c:v>49.371855280700778</c:v>
                </c:pt>
                <c:pt idx="8">
                  <c:v>50.904302358205541</c:v>
                </c:pt>
                <c:pt idx="9">
                  <c:v>54.339987917209079</c:v>
                </c:pt>
                <c:pt idx="10">
                  <c:v>57.759224255437537</c:v>
                </c:pt>
                <c:pt idx="11">
                  <c:v>55.556119488978311</c:v>
                </c:pt>
                <c:pt idx="12">
                  <c:v>58.735529951742912</c:v>
                </c:pt>
                <c:pt idx="13">
                  <c:v>53.019062124775537</c:v>
                </c:pt>
                <c:pt idx="14">
                  <c:v>56.959189884506621</c:v>
                </c:pt>
                <c:pt idx="15">
                  <c:v>51.382721957747123</c:v>
                </c:pt>
                <c:pt idx="16">
                  <c:v>49.42158492671539</c:v>
                </c:pt>
                <c:pt idx="17">
                  <c:v>60.055490460292823</c:v>
                </c:pt>
                <c:pt idx="18">
                  <c:v>57.771922969263748</c:v>
                </c:pt>
                <c:pt idx="19">
                  <c:v>55.8091919353976</c:v>
                </c:pt>
                <c:pt idx="20">
                  <c:v>54.26039610905358</c:v>
                </c:pt>
                <c:pt idx="21">
                  <c:v>62.436800570003612</c:v>
                </c:pt>
                <c:pt idx="22">
                  <c:v>64.325220193307089</c:v>
                </c:pt>
                <c:pt idx="23">
                  <c:v>55.398885311993162</c:v>
                </c:pt>
                <c:pt idx="24">
                  <c:v>62.845051870736228</c:v>
                </c:pt>
                <c:pt idx="25">
                  <c:v>64.240158161701729</c:v>
                </c:pt>
                <c:pt idx="26">
                  <c:v>58.468952361624019</c:v>
                </c:pt>
                <c:pt idx="27">
                  <c:v>59.256889443430772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A-45EA-8C9D-6AF30C7AB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8507904"/>
        <c:axId val="108509440"/>
      </c:barChart>
      <c:catAx>
        <c:axId val="1085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50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509440"/>
        <c:scaling>
          <c:orientation val="minMax"/>
          <c:min val="4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507904"/>
        <c:crosses val="autoZero"/>
        <c:crossBetween val="between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Walker's Growing Season TSI Trophic Status
</a:t>
            </a:r>
          </a:p>
        </c:rich>
      </c:tx>
      <c:layout>
        <c:manualLayout>
          <c:xMode val="edge"/>
          <c:yMode val="edge"/>
          <c:x val="0.31267217630858746"/>
          <c:y val="3.54609929078014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164578849314181E-2"/>
          <c:y val="0.11725564209322047"/>
          <c:w val="0.9589508276935701"/>
          <c:h val="0.70946772795222079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Walker!$G$55</c:f>
              <c:strCache>
                <c:ptCount val="1"/>
                <c:pt idx="0">
                  <c:v>TSI Index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Walker!$AG$16:$BH$16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Walker!$AG$29:$BH$29</c:f>
              <c:numCache>
                <c:formatCode>0.0</c:formatCode>
                <c:ptCount val="28"/>
                <c:pt idx="0">
                  <c:v>78.123030725637946</c:v>
                </c:pt>
                <c:pt idx="1">
                  <c:v>78.677007575415374</c:v>
                </c:pt>
                <c:pt idx="2">
                  <c:v>81.752642812407174</c:v>
                </c:pt>
                <c:pt idx="3">
                  <c:v>80.275949218982078</c:v>
                </c:pt>
                <c:pt idx="4">
                  <c:v>79.540869930884469</c:v>
                </c:pt>
                <c:pt idx="5">
                  <c:v>75.980696506514533</c:v>
                </c:pt>
                <c:pt idx="6">
                  <c:v>75.001180195448754</c:v>
                </c:pt>
                <c:pt idx="7">
                  <c:v>69.068003570215225</c:v>
                </c:pt>
                <c:pt idx="8">
                  <c:v>70.036413293150972</c:v>
                </c:pt>
                <c:pt idx="9">
                  <c:v>76.453195938030177</c:v>
                </c:pt>
                <c:pt idx="10">
                  <c:v>77.551434902448648</c:v>
                </c:pt>
                <c:pt idx="11">
                  <c:v>74.075052262344784</c:v>
                </c:pt>
                <c:pt idx="12">
                  <c:v>76.082082831917887</c:v>
                </c:pt>
                <c:pt idx="13">
                  <c:v>71.66954115911571</c:v>
                </c:pt>
                <c:pt idx="14">
                  <c:v>75.330002705916598</c:v>
                </c:pt>
                <c:pt idx="15">
                  <c:v>56.476884681182305</c:v>
                </c:pt>
                <c:pt idx="16">
                  <c:v>66.721852063551978</c:v>
                </c:pt>
                <c:pt idx="17">
                  <c:v>75.42482566659578</c:v>
                </c:pt>
                <c:pt idx="18">
                  <c:v>77.038671695675362</c:v>
                </c:pt>
                <c:pt idx="19">
                  <c:v>72.608843661407107</c:v>
                </c:pt>
                <c:pt idx="20">
                  <c:v>70.614427977636282</c:v>
                </c:pt>
                <c:pt idx="21">
                  <c:v>73.403582934388339</c:v>
                </c:pt>
                <c:pt idx="22">
                  <c:v>81.322264886098068</c:v>
                </c:pt>
                <c:pt idx="23">
                  <c:v>74.301484752033417</c:v>
                </c:pt>
                <c:pt idx="24">
                  <c:v>81.578614425346458</c:v>
                </c:pt>
                <c:pt idx="25">
                  <c:v>77.393443654981454</c:v>
                </c:pt>
                <c:pt idx="26">
                  <c:v>68.960886935725355</c:v>
                </c:pt>
                <c:pt idx="27">
                  <c:v>70.276718787807809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4-48A0-B6AC-566EA1B45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28224"/>
        <c:axId val="108646400"/>
      </c:barChart>
      <c:lineChart>
        <c:grouping val="standard"/>
        <c:varyColors val="0"/>
        <c:ser>
          <c:idx val="0"/>
          <c:order val="0"/>
          <c:tx>
            <c:strRef>
              <c:f>Walker!$G$52</c:f>
              <c:strCache>
                <c:ptCount val="1"/>
                <c:pt idx="0">
                  <c:v>Chlorophyll-a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Walker!$AG$16:$BH$16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Walker!$AG$18:$BH$18</c:f>
              <c:numCache>
                <c:formatCode>0.00</c:formatCode>
                <c:ptCount val="28"/>
                <c:pt idx="0">
                  <c:v>39.954269549603552</c:v>
                </c:pt>
                <c:pt idx="1">
                  <c:v>55.565533829982016</c:v>
                </c:pt>
                <c:pt idx="2">
                  <c:v>58.461430738911787</c:v>
                </c:pt>
                <c:pt idx="3">
                  <c:v>67.201909026395739</c:v>
                </c:pt>
                <c:pt idx="4">
                  <c:v>54.525117899516516</c:v>
                </c:pt>
                <c:pt idx="5">
                  <c:v>65.712923624392289</c:v>
                </c:pt>
                <c:pt idx="6">
                  <c:v>45.83717154626855</c:v>
                </c:pt>
                <c:pt idx="7">
                  <c:v>34.269184011910241</c:v>
                </c:pt>
                <c:pt idx="8">
                  <c:v>36.314818447701668</c:v>
                </c:pt>
                <c:pt idx="9">
                  <c:v>58.660330444060072</c:v>
                </c:pt>
                <c:pt idx="10">
                  <c:v>65.523946072984643</c:v>
                </c:pt>
                <c:pt idx="11">
                  <c:v>63.413153176808436</c:v>
                </c:pt>
                <c:pt idx="12">
                  <c:v>62.074253956655305</c:v>
                </c:pt>
                <c:pt idx="13">
                  <c:v>50.859754077616223</c:v>
                </c:pt>
                <c:pt idx="14">
                  <c:v>59.522913145001397</c:v>
                </c:pt>
                <c:pt idx="15">
                  <c:v>57.206726682721325</c:v>
                </c:pt>
                <c:pt idx="16">
                  <c:v>46.991387390920949</c:v>
                </c:pt>
                <c:pt idx="17">
                  <c:v>66.870400173595584</c:v>
                </c:pt>
                <c:pt idx="18">
                  <c:v>65.400697459443251</c:v>
                </c:pt>
                <c:pt idx="19">
                  <c:v>59.241080069629163</c:v>
                </c:pt>
                <c:pt idx="20">
                  <c:v>51.683978405188284</c:v>
                </c:pt>
                <c:pt idx="21">
                  <c:v>66.47375434130619</c:v>
                </c:pt>
                <c:pt idx="22">
                  <c:v>67.201909026395739</c:v>
                </c:pt>
                <c:pt idx="23">
                  <c:v>50.516404523452806</c:v>
                </c:pt>
                <c:pt idx="24">
                  <c:v>63.833182872358428</c:v>
                </c:pt>
                <c:pt idx="25">
                  <c:v>58.660330444060072</c:v>
                </c:pt>
                <c:pt idx="26">
                  <c:v>64.896890758813598</c:v>
                </c:pt>
                <c:pt idx="27">
                  <c:v>58.660330444060072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F4-48A0-B6AC-566EA1B45BDE}"/>
            </c:ext>
          </c:extLst>
        </c:ser>
        <c:ser>
          <c:idx val="1"/>
          <c:order val="1"/>
          <c:tx>
            <c:strRef>
              <c:f>Walker!$G$53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Walker!$AG$16:$BH$16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Walker!$AG$21:$BH$21</c:f>
              <c:numCache>
                <c:formatCode>0.00</c:formatCode>
                <c:ptCount val="28"/>
                <c:pt idx="0">
                  <c:v>105.23732345422789</c:v>
                </c:pt>
                <c:pt idx="1">
                  <c:v>104.14677889764283</c:v>
                </c:pt>
                <c:pt idx="2">
                  <c:v>106.75135640672498</c:v>
                </c:pt>
                <c:pt idx="3">
                  <c:v>90.584875613041092</c:v>
                </c:pt>
                <c:pt idx="4">
                  <c:v>81.427664114480308</c:v>
                </c:pt>
                <c:pt idx="5">
                  <c:v>68.683738801752057</c:v>
                </c:pt>
                <c:pt idx="6">
                  <c:v>73.344504155515523</c:v>
                </c:pt>
                <c:pt idx="7">
                  <c:v>71.178068191018056</c:v>
                </c:pt>
                <c:pt idx="8">
                  <c:v>76.822735173828832</c:v>
                </c:pt>
                <c:pt idx="9">
                  <c:v>75.017910212003002</c:v>
                </c:pt>
                <c:pt idx="10">
                  <c:v>82.689707094897571</c:v>
                </c:pt>
                <c:pt idx="11">
                  <c:v>78.715149167140993</c:v>
                </c:pt>
                <c:pt idx="12">
                  <c:v>82.753976813015143</c:v>
                </c:pt>
                <c:pt idx="13">
                  <c:v>74.00095640843179</c:v>
                </c:pt>
                <c:pt idx="14">
                  <c:v>76.562167504225187</c:v>
                </c:pt>
                <c:pt idx="15">
                  <c:v>64.838342612330891</c:v>
                </c:pt>
                <c:pt idx="16">
                  <c:v>67.135202490872658</c:v>
                </c:pt>
                <c:pt idx="17">
                  <c:v>82.430544899764982</c:v>
                </c:pt>
                <c:pt idx="18">
                  <c:v>77.95505787670551</c:v>
                </c:pt>
                <c:pt idx="19">
                  <c:v>73.241573337517138</c:v>
                </c:pt>
                <c:pt idx="20">
                  <c:v>80.299478324726664</c:v>
                </c:pt>
                <c:pt idx="21">
                  <c:v>91.626949643557182</c:v>
                </c:pt>
                <c:pt idx="22">
                  <c:v>94.410650455624605</c:v>
                </c:pt>
                <c:pt idx="23">
                  <c:v>76.075469502422848</c:v>
                </c:pt>
                <c:pt idx="24">
                  <c:v>89.590731242834238</c:v>
                </c:pt>
                <c:pt idx="25">
                  <c:v>91.189677970417918</c:v>
                </c:pt>
                <c:pt idx="26">
                  <c:v>82.625230388602731</c:v>
                </c:pt>
                <c:pt idx="27">
                  <c:v>82.560545356562173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F4-48A0-B6AC-566EA1B45BDE}"/>
            </c:ext>
          </c:extLst>
        </c:ser>
        <c:ser>
          <c:idx val="2"/>
          <c:order val="2"/>
          <c:tx>
            <c:strRef>
              <c:f>Walker!$G$54</c:f>
              <c:strCache>
                <c:ptCount val="1"/>
                <c:pt idx="0">
                  <c:v>Sechhi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Walker!$AG$16:$BH$16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Walker!$AG$24:$BH$24</c:f>
              <c:numCache>
                <c:formatCode>0.00</c:formatCode>
                <c:ptCount val="28"/>
                <c:pt idx="0">
                  <c:v>58.073026973148814</c:v>
                </c:pt>
                <c:pt idx="1">
                  <c:v>57.060845376748709</c:v>
                </c:pt>
                <c:pt idx="2">
                  <c:v>55.869127614357176</c:v>
                </c:pt>
                <c:pt idx="3">
                  <c:v>62.129262586264701</c:v>
                </c:pt>
                <c:pt idx="4">
                  <c:v>69.080907012382241</c:v>
                </c:pt>
                <c:pt idx="5">
                  <c:v>52.807093237995446</c:v>
                </c:pt>
                <c:pt idx="6">
                  <c:v>66.440722664986438</c:v>
                </c:pt>
                <c:pt idx="7">
                  <c:v>62.129262586264701</c:v>
                </c:pt>
                <c:pt idx="8">
                  <c:v>60.835935291730678</c:v>
                </c:pt>
                <c:pt idx="9">
                  <c:v>55.031061001521465</c:v>
                </c:pt>
                <c:pt idx="10">
                  <c:v>55.134574086292005</c:v>
                </c:pt>
                <c:pt idx="11">
                  <c:v>51.235802304246434</c:v>
                </c:pt>
                <c:pt idx="12">
                  <c:v>63.488373835154341</c:v>
                </c:pt>
                <c:pt idx="13">
                  <c:v>58.41843895246609</c:v>
                </c:pt>
                <c:pt idx="14">
                  <c:v>64.922011586632749</c:v>
                </c:pt>
                <c:pt idx="15">
                  <c:v>54.114638300921229</c:v>
                </c:pt>
                <c:pt idx="16">
                  <c:v>53.126608849154415</c:v>
                </c:pt>
                <c:pt idx="17">
                  <c:v>64.922011586632749</c:v>
                </c:pt>
                <c:pt idx="18">
                  <c:v>60.835935291730678</c:v>
                </c:pt>
                <c:pt idx="19">
                  <c:v>63.488373835154341</c:v>
                </c:pt>
                <c:pt idx="20">
                  <c:v>56.189460550357225</c:v>
                </c:pt>
                <c:pt idx="21">
                  <c:v>66.129594978639489</c:v>
                </c:pt>
                <c:pt idx="22">
                  <c:v>70.889225718014615</c:v>
                </c:pt>
                <c:pt idx="23">
                  <c:v>67.561225556452669</c:v>
                </c:pt>
                <c:pt idx="24">
                  <c:v>72.846353865435603</c:v>
                </c:pt>
                <c:pt idx="25">
                  <c:v>82.330322550466391</c:v>
                </c:pt>
                <c:pt idx="26">
                  <c:v>59.360539659759759</c:v>
                </c:pt>
                <c:pt idx="27">
                  <c:v>69.609280562801189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F4-48A0-B6AC-566EA1B45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28224"/>
        <c:axId val="108646400"/>
      </c:lineChart>
      <c:catAx>
        <c:axId val="10862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4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46400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28224"/>
        <c:crosses val="autoZero"/>
        <c:crossBetween val="between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Walker Seasonal Trophic State Index</a:t>
            </a:r>
          </a:p>
        </c:rich>
      </c:tx>
      <c:layout>
        <c:manualLayout>
          <c:xMode val="edge"/>
          <c:yMode val="edge"/>
          <c:x val="0.26592353257942919"/>
          <c:y val="2.528533801580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22586062132662"/>
          <c:y val="0.12736318407960198"/>
          <c:w val="0.89877413937869965"/>
          <c:h val="0.62487562189060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Walker!$A$52</c:f>
              <c:strCache>
                <c:ptCount val="1"/>
                <c:pt idx="0">
                  <c:v>Walker TI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multiLvlStrRef>
              <c:f>Walker!$AG$30:$BH$31</c:f>
              <c:multiLvlStrCache>
                <c:ptCount val="28"/>
                <c:lvl>
                  <c:pt idx="0">
                    <c:v>1991</c:v>
                  </c:pt>
                  <c:pt idx="1">
                    <c:v>1992</c:v>
                  </c:pt>
                  <c:pt idx="2">
                    <c:v>1993</c:v>
                  </c:pt>
                  <c:pt idx="3">
                    <c:v>1994</c:v>
                  </c:pt>
                  <c:pt idx="4">
                    <c:v>1995</c:v>
                  </c:pt>
                  <c:pt idx="5">
                    <c:v>1996</c:v>
                  </c:pt>
                  <c:pt idx="6">
                    <c:v>1997</c:v>
                  </c:pt>
                  <c:pt idx="7">
                    <c:v>1998</c:v>
                  </c:pt>
                  <c:pt idx="8">
                    <c:v>1999</c:v>
                  </c:pt>
                  <c:pt idx="9">
                    <c:v>2000</c:v>
                  </c:pt>
                  <c:pt idx="10">
                    <c:v>2001</c:v>
                  </c:pt>
                  <c:pt idx="11">
                    <c:v>2002</c:v>
                  </c:pt>
                  <c:pt idx="12">
                    <c:v>2003</c:v>
                  </c:pt>
                  <c:pt idx="13">
                    <c:v>2004</c:v>
                  </c:pt>
                  <c:pt idx="14">
                    <c:v>2005</c:v>
                  </c:pt>
                  <c:pt idx="15">
                    <c:v>2006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  <c:pt idx="25">
                    <c:v>2016</c:v>
                  </c:pt>
                  <c:pt idx="26">
                    <c:v>2017</c:v>
                  </c:pt>
                  <c:pt idx="27">
                    <c:v>2018</c:v>
                  </c:pt>
                </c:lvl>
                <c:lvl>
                  <c:pt idx="0">
                    <c:v>Hyp</c:v>
                  </c:pt>
                  <c:pt idx="5">
                    <c:v>Eu-hyp</c:v>
                  </c:pt>
                  <c:pt idx="15">
                    <c:v>Eu</c:v>
                  </c:pt>
                  <c:pt idx="17">
                    <c:v>Eu-hyp</c:v>
                  </c:pt>
                  <c:pt idx="22">
                    <c:v>Hyp</c:v>
                  </c:pt>
                  <c:pt idx="26">
                    <c:v>Eu-hyp</c:v>
                  </c:pt>
                </c:lvl>
              </c:multiLvlStrCache>
            </c:multiLvlStrRef>
          </c:cat>
          <c:val>
            <c:numRef>
              <c:f>Walker!$AG$29:$BH$29</c:f>
              <c:numCache>
                <c:formatCode>0.0</c:formatCode>
                <c:ptCount val="28"/>
                <c:pt idx="0">
                  <c:v>78.123030725637946</c:v>
                </c:pt>
                <c:pt idx="1">
                  <c:v>78.677007575415374</c:v>
                </c:pt>
                <c:pt idx="2">
                  <c:v>81.752642812407174</c:v>
                </c:pt>
                <c:pt idx="3">
                  <c:v>80.275949218982078</c:v>
                </c:pt>
                <c:pt idx="4">
                  <c:v>79.540869930884469</c:v>
                </c:pt>
                <c:pt idx="5">
                  <c:v>75.980696506514533</c:v>
                </c:pt>
                <c:pt idx="6">
                  <c:v>75.001180195448754</c:v>
                </c:pt>
                <c:pt idx="7">
                  <c:v>69.068003570215225</c:v>
                </c:pt>
                <c:pt idx="8">
                  <c:v>70.036413293150972</c:v>
                </c:pt>
                <c:pt idx="9">
                  <c:v>76.453195938030177</c:v>
                </c:pt>
                <c:pt idx="10">
                  <c:v>77.551434902448648</c:v>
                </c:pt>
                <c:pt idx="11">
                  <c:v>74.075052262344784</c:v>
                </c:pt>
                <c:pt idx="12">
                  <c:v>76.082082831917887</c:v>
                </c:pt>
                <c:pt idx="13">
                  <c:v>71.66954115911571</c:v>
                </c:pt>
                <c:pt idx="14">
                  <c:v>75.330002705916598</c:v>
                </c:pt>
                <c:pt idx="15">
                  <c:v>56.476884681182305</c:v>
                </c:pt>
                <c:pt idx="16">
                  <c:v>66.721852063551978</c:v>
                </c:pt>
                <c:pt idx="17">
                  <c:v>75.42482566659578</c:v>
                </c:pt>
                <c:pt idx="18">
                  <c:v>77.038671695675362</c:v>
                </c:pt>
                <c:pt idx="19">
                  <c:v>72.608843661407107</c:v>
                </c:pt>
                <c:pt idx="20">
                  <c:v>70.614427977636282</c:v>
                </c:pt>
                <c:pt idx="21">
                  <c:v>73.403582934388339</c:v>
                </c:pt>
                <c:pt idx="22">
                  <c:v>81.322264886098068</c:v>
                </c:pt>
                <c:pt idx="23">
                  <c:v>74.301484752033417</c:v>
                </c:pt>
                <c:pt idx="24">
                  <c:v>81.578614425346458</c:v>
                </c:pt>
                <c:pt idx="25">
                  <c:v>77.393443654981454</c:v>
                </c:pt>
                <c:pt idx="26">
                  <c:v>68.960886935725355</c:v>
                </c:pt>
                <c:pt idx="27">
                  <c:v>70.276718787807809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9-4534-B143-2FB8C9B254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8426368"/>
        <c:axId val="108427904"/>
      </c:barChart>
      <c:catAx>
        <c:axId val="10842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27904"/>
        <c:crosses val="autoZero"/>
        <c:auto val="1"/>
        <c:lblAlgn val="ctr"/>
        <c:lblOffset val="100"/>
        <c:tickMarkSkip val="1"/>
        <c:noMultiLvlLbl val="0"/>
      </c:catAx>
      <c:valAx>
        <c:axId val="108427904"/>
        <c:scaling>
          <c:orientation val="minMax"/>
          <c:max val="85"/>
          <c:min val="5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26368"/>
        <c:crosses val="autoZero"/>
        <c:crossBetween val="between"/>
        <c:majorUnit val="5"/>
      </c:valAx>
      <c:dTable>
        <c:showHorzBorder val="0"/>
        <c:showVertBorder val="1"/>
        <c:showOutline val="1"/>
        <c:showKeys val="0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Bear Creek Reservoir 2018 In-Flow Estimates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Discharge'!$A$24</c:f>
              <c:strCache>
                <c:ptCount val="1"/>
                <c:pt idx="0">
                  <c:v>Total Inflow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'Monthly Discharge'!$B$21:$M$21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Discharge'!$B$24:$M$24</c:f>
              <c:numCache>
                <c:formatCode>#,##0.0</c:formatCode>
                <c:ptCount val="12"/>
                <c:pt idx="0">
                  <c:v>719.23410000000001</c:v>
                </c:pt>
                <c:pt idx="1">
                  <c:v>638.32770000000005</c:v>
                </c:pt>
                <c:pt idx="2">
                  <c:v>362.69069999999999</c:v>
                </c:pt>
                <c:pt idx="3">
                  <c:v>410.11490769230772</c:v>
                </c:pt>
                <c:pt idx="4">
                  <c:v>1897.731</c:v>
                </c:pt>
                <c:pt idx="5">
                  <c:v>732.24258000000032</c:v>
                </c:pt>
                <c:pt idx="6">
                  <c:v>506.97378000000003</c:v>
                </c:pt>
                <c:pt idx="7">
                  <c:v>237.18663000000004</c:v>
                </c:pt>
                <c:pt idx="8">
                  <c:v>434.91156000000012</c:v>
                </c:pt>
                <c:pt idx="9">
                  <c:v>516.3732</c:v>
                </c:pt>
                <c:pt idx="10">
                  <c:v>273.654</c:v>
                </c:pt>
                <c:pt idx="11">
                  <c:v>258.1866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C-4A00-B41A-53A89CDC5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8448000"/>
        <c:axId val="114028544"/>
      </c:barChart>
      <c:catAx>
        <c:axId val="10844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8544"/>
        <c:crosses val="autoZero"/>
        <c:auto val="1"/>
        <c:lblAlgn val="ctr"/>
        <c:lblOffset val="100"/>
        <c:noMultiLvlLbl val="0"/>
      </c:catAx>
      <c:valAx>
        <c:axId val="11402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Acre-feet/month</a:t>
                </a:r>
              </a:p>
            </c:rich>
          </c:tx>
          <c:layout>
            <c:manualLayout>
              <c:xMode val="edge"/>
              <c:yMode val="edge"/>
              <c:x val="1.7116079815739343E-2"/>
              <c:y val="0.356150270972633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4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2018 Reservoir Inflow [Ac-Ft Per Month] </a:t>
            </a:r>
          </a:p>
        </c:rich>
      </c:tx>
      <c:layout>
        <c:manualLayout>
          <c:xMode val="edge"/>
          <c:yMode val="edge"/>
          <c:x val="0.31160818584827732"/>
          <c:y val="6.442411511685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85444401517969"/>
          <c:y val="0.10597826086956515"/>
          <c:w val="0.88115677757209077"/>
          <c:h val="0.75000000000001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'Monthly Discharge'!$A$22</c:f>
              <c:strCache>
                <c:ptCount val="1"/>
                <c:pt idx="0">
                  <c:v>Turkey Creek Inflow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'[1]Monthly Discharge'!$B$23:$M$23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Discharge'!$B$22:$M$22</c:f>
              <c:numCache>
                <c:formatCode>#,##0.0</c:formatCode>
                <c:ptCount val="12"/>
                <c:pt idx="0">
                  <c:v>86.06219999999999</c:v>
                </c:pt>
                <c:pt idx="1">
                  <c:v>126.51540000000001</c:v>
                </c:pt>
                <c:pt idx="2">
                  <c:v>110.65140000000001</c:v>
                </c:pt>
                <c:pt idx="3">
                  <c:v>77.337000000000003</c:v>
                </c:pt>
                <c:pt idx="4">
                  <c:v>227.45010000000002</c:v>
                </c:pt>
                <c:pt idx="5">
                  <c:v>89.234999999999999</c:v>
                </c:pt>
                <c:pt idx="6">
                  <c:v>190.56630000000001</c:v>
                </c:pt>
                <c:pt idx="7">
                  <c:v>67.620300000000015</c:v>
                </c:pt>
                <c:pt idx="8">
                  <c:v>130.87800000000001</c:v>
                </c:pt>
                <c:pt idx="9">
                  <c:v>55.325700000000005</c:v>
                </c:pt>
                <c:pt idx="10">
                  <c:v>130.87800000000001</c:v>
                </c:pt>
                <c:pt idx="11">
                  <c:v>73.767600000000002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7-4FB0-A02D-6758BCFC8A1E}"/>
            </c:ext>
          </c:extLst>
        </c:ser>
        <c:ser>
          <c:idx val="1"/>
          <c:order val="1"/>
          <c:tx>
            <c:strRef>
              <c:f>'Monthly Discharge'!$A$23</c:f>
              <c:strCache>
                <c:ptCount val="1"/>
                <c:pt idx="0">
                  <c:v>Bear Creek Inflow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'[1]Monthly Discharge'!$B$23:$M$23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Discharge'!$B$23:$M$23</c:f>
              <c:numCache>
                <c:formatCode>#,##0.0</c:formatCode>
                <c:ptCount val="12"/>
                <c:pt idx="0">
                  <c:v>633.17190000000005</c:v>
                </c:pt>
                <c:pt idx="1">
                  <c:v>511.81230000000005</c:v>
                </c:pt>
                <c:pt idx="2">
                  <c:v>252.0393</c:v>
                </c:pt>
                <c:pt idx="3">
                  <c:v>332.77790769230774</c:v>
                </c:pt>
                <c:pt idx="4">
                  <c:v>1670.2809</c:v>
                </c:pt>
                <c:pt idx="5">
                  <c:v>643.0075800000003</c:v>
                </c:pt>
                <c:pt idx="6">
                  <c:v>316.40748000000002</c:v>
                </c:pt>
                <c:pt idx="7">
                  <c:v>169.56633000000002</c:v>
                </c:pt>
                <c:pt idx="8">
                  <c:v>304.03356000000014</c:v>
                </c:pt>
                <c:pt idx="9">
                  <c:v>461.04750000000001</c:v>
                </c:pt>
                <c:pt idx="10">
                  <c:v>142.77600000000001</c:v>
                </c:pt>
                <c:pt idx="11">
                  <c:v>184.41899999999998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07-4FB0-A02D-6758BCFC8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711616"/>
        <c:axId val="99721600"/>
      </c:barChart>
      <c:lineChart>
        <c:grouping val="standard"/>
        <c:varyColors val="0"/>
        <c:ser>
          <c:idx val="2"/>
          <c:order val="2"/>
          <c:tx>
            <c:strRef>
              <c:f>'Monthly Discharge'!$A$24</c:f>
              <c:strCache>
                <c:ptCount val="1"/>
                <c:pt idx="0">
                  <c:v>Total Inflow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'[1]Monthly Discharge'!$B$23:$M$23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Discharge'!$B$24:$M$24</c:f>
              <c:numCache>
                <c:formatCode>#,##0.0</c:formatCode>
                <c:ptCount val="12"/>
                <c:pt idx="0">
                  <c:v>719.23410000000001</c:v>
                </c:pt>
                <c:pt idx="1">
                  <c:v>638.32770000000005</c:v>
                </c:pt>
                <c:pt idx="2">
                  <c:v>362.69069999999999</c:v>
                </c:pt>
                <c:pt idx="3">
                  <c:v>410.11490769230772</c:v>
                </c:pt>
                <c:pt idx="4">
                  <c:v>1897.731</c:v>
                </c:pt>
                <c:pt idx="5">
                  <c:v>732.24258000000032</c:v>
                </c:pt>
                <c:pt idx="6">
                  <c:v>506.97378000000003</c:v>
                </c:pt>
                <c:pt idx="7">
                  <c:v>237.18663000000004</c:v>
                </c:pt>
                <c:pt idx="8">
                  <c:v>434.91156000000012</c:v>
                </c:pt>
                <c:pt idx="9">
                  <c:v>516.3732</c:v>
                </c:pt>
                <c:pt idx="10">
                  <c:v>273.654</c:v>
                </c:pt>
                <c:pt idx="11">
                  <c:v>258.1866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07-4FB0-A02D-6758BCFC8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11616"/>
        <c:axId val="99721600"/>
      </c:lineChart>
      <c:catAx>
        <c:axId val="99711616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2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72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Monthly Inflow Acre-Feet</a:t>
                </a:r>
              </a:p>
            </c:rich>
          </c:tx>
          <c:layout>
            <c:manualLayout>
              <c:xMode val="edge"/>
              <c:yMode val="edge"/>
              <c:x val="1.0043103415451501E-2"/>
              <c:y val="0.2119565691996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1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Estimated Bear Creek Reservoir Inflow (Acre-Ft/Year)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63503914878209"/>
          <c:y val="0.11790411519660959"/>
          <c:w val="0.8226665042525757"/>
          <c:h val="0.717371659491576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'Monthly Discharge'!$B$57</c:f>
              <c:strCache>
                <c:ptCount val="1"/>
                <c:pt idx="0">
                  <c:v>Total Reservoir Inflow (Acre-Ft/Year)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'Monthly Discharge'!$A$58:$A$89</c:f>
              <c:numCache>
                <c:formatCode>General</c:formatCod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numCache>
            </c:numRef>
          </c:cat>
          <c:val>
            <c:numRef>
              <c:f>'Monthly Discharge'!$B$58:$B$89</c:f>
              <c:numCache>
                <c:formatCode>#,##0</c:formatCode>
                <c:ptCount val="32"/>
                <c:pt idx="0">
                  <c:v>61594.954499999993</c:v>
                </c:pt>
                <c:pt idx="1">
                  <c:v>26201.379000000001</c:v>
                </c:pt>
                <c:pt idx="2">
                  <c:v>7527.4679999999998</c:v>
                </c:pt>
                <c:pt idx="3">
                  <c:v>20266.259999999998</c:v>
                </c:pt>
                <c:pt idx="4">
                  <c:v>25694.7225</c:v>
                </c:pt>
                <c:pt idx="5">
                  <c:v>18384.392999999996</c:v>
                </c:pt>
                <c:pt idx="6">
                  <c:v>11291.201999999999</c:v>
                </c:pt>
                <c:pt idx="7">
                  <c:v>13173.069</c:v>
                </c:pt>
                <c:pt idx="8">
                  <c:v>69556.699499999988</c:v>
                </c:pt>
                <c:pt idx="9">
                  <c:v>22654.783499999998</c:v>
                </c:pt>
                <c:pt idx="10">
                  <c:v>38071.616999999998</c:v>
                </c:pt>
                <c:pt idx="11">
                  <c:v>69122.422500000001</c:v>
                </c:pt>
                <c:pt idx="12">
                  <c:v>52692.275999999998</c:v>
                </c:pt>
                <c:pt idx="13">
                  <c:v>13173.069</c:v>
                </c:pt>
                <c:pt idx="14">
                  <c:v>15134.171499999999</c:v>
                </c:pt>
                <c:pt idx="15">
                  <c:v>4248.6766499999994</c:v>
                </c:pt>
                <c:pt idx="16">
                  <c:v>21641.470499999999</c:v>
                </c:pt>
                <c:pt idx="17">
                  <c:v>20924.913449999996</c:v>
                </c:pt>
                <c:pt idx="18">
                  <c:v>36624.026999999995</c:v>
                </c:pt>
                <c:pt idx="19">
                  <c:v>8497.4680000000008</c:v>
                </c:pt>
                <c:pt idx="20">
                  <c:v>56500</c:v>
                </c:pt>
                <c:pt idx="21">
                  <c:v>19400</c:v>
                </c:pt>
                <c:pt idx="22">
                  <c:v>25943</c:v>
                </c:pt>
                <c:pt idx="23">
                  <c:v>29007</c:v>
                </c:pt>
                <c:pt idx="24">
                  <c:v>9432</c:v>
                </c:pt>
                <c:pt idx="25">
                  <c:v>5868</c:v>
                </c:pt>
                <c:pt idx="26">
                  <c:v>42275</c:v>
                </c:pt>
                <c:pt idx="27">
                  <c:v>32941</c:v>
                </c:pt>
                <c:pt idx="28">
                  <c:v>118929</c:v>
                </c:pt>
                <c:pt idx="29">
                  <c:v>39551</c:v>
                </c:pt>
                <c:pt idx="30">
                  <c:v>20626</c:v>
                </c:pt>
                <c:pt idx="31">
                  <c:v>6988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1-4C88-A0C4-0324637A3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4107520"/>
        <c:axId val="114109056"/>
      </c:barChart>
      <c:catAx>
        <c:axId val="1141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0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10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Acre-Feet Per Year</a:t>
                </a:r>
              </a:p>
            </c:rich>
          </c:tx>
          <c:layout>
            <c:manualLayout>
              <c:xMode val="edge"/>
              <c:yMode val="edge"/>
              <c:x val="3.196347796950913E-2"/>
              <c:y val="0.312461269207650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0752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Bear Creek Reservoir Total Phosphorus [ug/l] Trend</a:t>
            </a:r>
          </a:p>
        </c:rich>
      </c:tx>
      <c:layout>
        <c:manualLayout>
          <c:xMode val="edge"/>
          <c:yMode val="edge"/>
          <c:x val="0.23974763406942956"/>
          <c:y val="3.6423841059602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480801335559273E-2"/>
          <c:y val="0.11281427234183138"/>
          <c:w val="0.90150250417360756"/>
          <c:h val="0.75142411394379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Trends'!$B$14</c:f>
              <c:strCache>
                <c:ptCount val="1"/>
                <c:pt idx="0">
                  <c:v>Top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'Annual Reservoir Trends'!$C$3:$AD$3</c:f>
              <c:numCache>
                <c:formatCode>0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'Annual Reservoir Trends'!$C$14:$AD$14</c:f>
              <c:numCache>
                <c:formatCode>#,##0</c:formatCode>
                <c:ptCount val="28"/>
                <c:pt idx="0">
                  <c:v>144</c:v>
                </c:pt>
                <c:pt idx="1">
                  <c:v>146</c:v>
                </c:pt>
                <c:pt idx="2">
                  <c:v>175</c:v>
                </c:pt>
                <c:pt idx="3">
                  <c:v>83</c:v>
                </c:pt>
                <c:pt idx="4">
                  <c:v>34</c:v>
                </c:pt>
                <c:pt idx="5">
                  <c:v>29</c:v>
                </c:pt>
                <c:pt idx="6">
                  <c:v>38</c:v>
                </c:pt>
                <c:pt idx="7">
                  <c:v>33</c:v>
                </c:pt>
                <c:pt idx="8">
                  <c:v>34</c:v>
                </c:pt>
                <c:pt idx="9">
                  <c:v>59</c:v>
                </c:pt>
                <c:pt idx="10">
                  <c:v>42</c:v>
                </c:pt>
                <c:pt idx="11">
                  <c:v>46</c:v>
                </c:pt>
                <c:pt idx="12">
                  <c:v>79</c:v>
                </c:pt>
                <c:pt idx="13">
                  <c:v>24</c:v>
                </c:pt>
                <c:pt idx="14" formatCode="0">
                  <c:v>33.021419788316948</c:v>
                </c:pt>
                <c:pt idx="15" formatCode="0">
                  <c:v>66.601427985887796</c:v>
                </c:pt>
                <c:pt idx="16" formatCode="0.0">
                  <c:v>29.742840573556929</c:v>
                </c:pt>
                <c:pt idx="17" formatCode="0.0">
                  <c:v>39.799999999999997</c:v>
                </c:pt>
                <c:pt idx="18" formatCode="0.0">
                  <c:v>34.200000000000003</c:v>
                </c:pt>
                <c:pt idx="19" formatCode="0.0">
                  <c:v>28.3</c:v>
                </c:pt>
                <c:pt idx="20" formatCode="0.0">
                  <c:v>33.700000000000003</c:v>
                </c:pt>
                <c:pt idx="21" formatCode="0.0">
                  <c:v>53.4</c:v>
                </c:pt>
                <c:pt idx="22" formatCode="0.0">
                  <c:v>71.400000000000006</c:v>
                </c:pt>
                <c:pt idx="23" formatCode="0.0">
                  <c:v>25</c:v>
                </c:pt>
                <c:pt idx="24" formatCode="0.0">
                  <c:v>112</c:v>
                </c:pt>
                <c:pt idx="25" formatCode="0.0">
                  <c:v>38.700000000000003</c:v>
                </c:pt>
                <c:pt idx="26" formatCode="0.0">
                  <c:v>33</c:v>
                </c:pt>
                <c:pt idx="27" formatCode="0.0">
                  <c:v>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F-4055-B9F3-997DC2FD8AB5}"/>
            </c:ext>
          </c:extLst>
        </c:ser>
        <c:ser>
          <c:idx val="3"/>
          <c:order val="1"/>
          <c:tx>
            <c:strRef>
              <c:f>'Annual Reservoir Trends'!$B$16</c:f>
              <c:strCache>
                <c:ptCount val="1"/>
                <c:pt idx="0">
                  <c:v>Bottom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trendline>
            <c:spPr>
              <a:ln w="19050" cap="rnd">
                <a:solidFill>
                  <a:schemeClr val="accent4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'Annual Reservoir Trends'!$C$3:$AD$3</c:f>
              <c:numCache>
                <c:formatCode>0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'Annual Reservoir Trends'!$C$16:$AD$16</c:f>
              <c:numCache>
                <c:formatCode>#,##0</c:formatCode>
                <c:ptCount val="28"/>
                <c:pt idx="0">
                  <c:v>270</c:v>
                </c:pt>
                <c:pt idx="1">
                  <c:v>201</c:v>
                </c:pt>
                <c:pt idx="2">
                  <c:v>240</c:v>
                </c:pt>
                <c:pt idx="3">
                  <c:v>99</c:v>
                </c:pt>
                <c:pt idx="4">
                  <c:v>52</c:v>
                </c:pt>
                <c:pt idx="5">
                  <c:v>66</c:v>
                </c:pt>
                <c:pt idx="6">
                  <c:v>86</c:v>
                </c:pt>
                <c:pt idx="7">
                  <c:v>69</c:v>
                </c:pt>
                <c:pt idx="8">
                  <c:v>54</c:v>
                </c:pt>
                <c:pt idx="9">
                  <c:v>56</c:v>
                </c:pt>
                <c:pt idx="10">
                  <c:v>64</c:v>
                </c:pt>
                <c:pt idx="11">
                  <c:v>56</c:v>
                </c:pt>
                <c:pt idx="12">
                  <c:v>56</c:v>
                </c:pt>
                <c:pt idx="13">
                  <c:v>44</c:v>
                </c:pt>
                <c:pt idx="14" formatCode="0">
                  <c:v>47.091899981300472</c:v>
                </c:pt>
                <c:pt idx="15" formatCode="0">
                  <c:v>97.33945999875337</c:v>
                </c:pt>
                <c:pt idx="16" formatCode="0.0">
                  <c:v>30.821478699787626</c:v>
                </c:pt>
                <c:pt idx="17" formatCode="0.0">
                  <c:v>62.2</c:v>
                </c:pt>
                <c:pt idx="18" formatCode="0.0">
                  <c:v>35.299999999999997</c:v>
                </c:pt>
                <c:pt idx="19" formatCode="0.0">
                  <c:v>38.9</c:v>
                </c:pt>
                <c:pt idx="20" formatCode="0.0">
                  <c:v>47.9</c:v>
                </c:pt>
                <c:pt idx="21" formatCode="0.0">
                  <c:v>69.8</c:v>
                </c:pt>
                <c:pt idx="22" formatCode="0.0">
                  <c:v>59.8</c:v>
                </c:pt>
                <c:pt idx="23" formatCode="0.0">
                  <c:v>36</c:v>
                </c:pt>
                <c:pt idx="24" formatCode="0.0">
                  <c:v>191</c:v>
                </c:pt>
                <c:pt idx="25" formatCode="0.0">
                  <c:v>92.8</c:v>
                </c:pt>
                <c:pt idx="26" formatCode="0.0">
                  <c:v>57</c:v>
                </c:pt>
                <c:pt idx="27" formatCode="0.0">
                  <c:v>47.9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F-4055-B9F3-997DC2FD8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4969344"/>
        <c:axId val="104970880"/>
      </c:barChart>
      <c:catAx>
        <c:axId val="104969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7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97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6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32212776507149465"/>
          <c:y val="0.1384842131419963"/>
          <c:w val="0.36286470819516981"/>
          <c:h val="7.5902836986141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Bear Creek Reservoir 2016 In-Flow Estimates</a:t>
            </a:r>
          </a:p>
        </c:rich>
      </c:tx>
      <c:layout>
        <c:manualLayout>
          <c:xMode val="edge"/>
          <c:yMode val="edge"/>
          <c:x val="0.29159713111771834"/>
          <c:y val="5.1578945230876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Discharge'!$A$22</c:f>
              <c:strCache>
                <c:ptCount val="1"/>
                <c:pt idx="0">
                  <c:v>Turkey Creek Inflow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'Monthly Discharge'!$B$21:$M$21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Discharge'!$B$22:$M$22</c:f>
              <c:numCache>
                <c:formatCode>#,##0.0</c:formatCode>
                <c:ptCount val="12"/>
                <c:pt idx="0">
                  <c:v>86.06219999999999</c:v>
                </c:pt>
                <c:pt idx="1">
                  <c:v>126.51540000000001</c:v>
                </c:pt>
                <c:pt idx="2">
                  <c:v>110.65140000000001</c:v>
                </c:pt>
                <c:pt idx="3">
                  <c:v>77.337000000000003</c:v>
                </c:pt>
                <c:pt idx="4">
                  <c:v>227.45010000000002</c:v>
                </c:pt>
                <c:pt idx="5">
                  <c:v>89.234999999999999</c:v>
                </c:pt>
                <c:pt idx="6">
                  <c:v>190.56630000000001</c:v>
                </c:pt>
                <c:pt idx="7">
                  <c:v>67.620300000000015</c:v>
                </c:pt>
                <c:pt idx="8">
                  <c:v>130.87800000000001</c:v>
                </c:pt>
                <c:pt idx="9">
                  <c:v>55.325700000000005</c:v>
                </c:pt>
                <c:pt idx="10">
                  <c:v>130.87800000000001</c:v>
                </c:pt>
                <c:pt idx="11">
                  <c:v>73.767600000000002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E-490A-8EE5-A097B7133A6F}"/>
            </c:ext>
          </c:extLst>
        </c:ser>
        <c:ser>
          <c:idx val="1"/>
          <c:order val="1"/>
          <c:tx>
            <c:strRef>
              <c:f>'Monthly Discharge'!$A$23</c:f>
              <c:strCache>
                <c:ptCount val="1"/>
                <c:pt idx="0">
                  <c:v>Bear Creek Inflow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'Monthly Discharge'!$B$21:$M$21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Discharge'!$B$23:$M$23</c:f>
              <c:numCache>
                <c:formatCode>#,##0.0</c:formatCode>
                <c:ptCount val="12"/>
                <c:pt idx="0">
                  <c:v>633.17190000000005</c:v>
                </c:pt>
                <c:pt idx="1">
                  <c:v>511.81230000000005</c:v>
                </c:pt>
                <c:pt idx="2">
                  <c:v>252.0393</c:v>
                </c:pt>
                <c:pt idx="3">
                  <c:v>332.77790769230774</c:v>
                </c:pt>
                <c:pt idx="4">
                  <c:v>1670.2809</c:v>
                </c:pt>
                <c:pt idx="5">
                  <c:v>643.0075800000003</c:v>
                </c:pt>
                <c:pt idx="6">
                  <c:v>316.40748000000002</c:v>
                </c:pt>
                <c:pt idx="7">
                  <c:v>169.56633000000002</c:v>
                </c:pt>
                <c:pt idx="8">
                  <c:v>304.03356000000014</c:v>
                </c:pt>
                <c:pt idx="9">
                  <c:v>461.04750000000001</c:v>
                </c:pt>
                <c:pt idx="10">
                  <c:v>142.77600000000001</c:v>
                </c:pt>
                <c:pt idx="11">
                  <c:v>184.41899999999998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BE-490A-8EE5-A097B7133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4146304"/>
        <c:axId val="114148096"/>
      </c:barChart>
      <c:catAx>
        <c:axId val="114146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48096"/>
        <c:crosses val="autoZero"/>
        <c:auto val="1"/>
        <c:lblAlgn val="ctr"/>
        <c:lblOffset val="100"/>
        <c:noMultiLvlLbl val="0"/>
      </c:catAx>
      <c:valAx>
        <c:axId val="11414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Acre-feet/month</a:t>
                </a:r>
              </a:p>
            </c:rich>
          </c:tx>
          <c:layout>
            <c:manualLayout>
              <c:xMode val="edge"/>
              <c:yMode val="edge"/>
              <c:x val="6.6553493287305393E-2"/>
              <c:y val="0.27132903972945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46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forward val="1000"/>
            <c:dispRSqr val="1"/>
            <c:dispEq val="1"/>
            <c:trendlineLbl>
              <c:layout>
                <c:manualLayout>
                  <c:x val="-0.11603507870010829"/>
                  <c:y val="0.1508559008645072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</c:trendlineLbl>
          </c:trendline>
          <c:trendline>
            <c:trendlineType val="exp"/>
            <c:dispRSqr val="0"/>
            <c:dispEq val="0"/>
          </c:trendline>
          <c:xVal>
            <c:numRef>
              <c:f>'Monthly Discharge'!$L$118:$L$144</c:f>
              <c:numCache>
                <c:formatCode>#,##0</c:formatCode>
                <c:ptCount val="27"/>
                <c:pt idx="0">
                  <c:v>44.4</c:v>
                </c:pt>
                <c:pt idx="1">
                  <c:v>46</c:v>
                </c:pt>
                <c:pt idx="2">
                  <c:v>46.1</c:v>
                </c:pt>
                <c:pt idx="3">
                  <c:v>44.2</c:v>
                </c:pt>
                <c:pt idx="4">
                  <c:v>42.6</c:v>
                </c:pt>
                <c:pt idx="5">
                  <c:v>39.4</c:v>
                </c:pt>
                <c:pt idx="6">
                  <c:v>36.1</c:v>
                </c:pt>
                <c:pt idx="7">
                  <c:v>36.299999999999997</c:v>
                </c:pt>
                <c:pt idx="8">
                  <c:v>48</c:v>
                </c:pt>
                <c:pt idx="9">
                  <c:v>132</c:v>
                </c:pt>
                <c:pt idx="10">
                  <c:v>391</c:v>
                </c:pt>
                <c:pt idx="11">
                  <c:v>405</c:v>
                </c:pt>
                <c:pt idx="12">
                  <c:v>845.3</c:v>
                </c:pt>
                <c:pt idx="13">
                  <c:v>747</c:v>
                </c:pt>
                <c:pt idx="14">
                  <c:v>551</c:v>
                </c:pt>
                <c:pt idx="15">
                  <c:v>427</c:v>
                </c:pt>
                <c:pt idx="16">
                  <c:v>345</c:v>
                </c:pt>
                <c:pt idx="17">
                  <c:v>315</c:v>
                </c:pt>
                <c:pt idx="18">
                  <c:v>248</c:v>
                </c:pt>
                <c:pt idx="19">
                  <c:v>216</c:v>
                </c:pt>
                <c:pt idx="20">
                  <c:v>191</c:v>
                </c:pt>
                <c:pt idx="21">
                  <c:v>188</c:v>
                </c:pt>
                <c:pt idx="22">
                  <c:v>183</c:v>
                </c:pt>
                <c:pt idx="23">
                  <c:v>160</c:v>
                </c:pt>
                <c:pt idx="24">
                  <c:v>146</c:v>
                </c:pt>
                <c:pt idx="25">
                  <c:v>1000</c:v>
                </c:pt>
                <c:pt idx="26">
                  <c:v>1800</c:v>
                </c:pt>
              </c:numCache>
            </c:numRef>
          </c:xVal>
          <c:yVal>
            <c:numRef>
              <c:f>'Monthly Discharge'!$M$118:$M$144</c:f>
              <c:numCache>
                <c:formatCode>#,##0</c:formatCode>
                <c:ptCount val="27"/>
                <c:pt idx="0">
                  <c:v>6.33</c:v>
                </c:pt>
                <c:pt idx="1">
                  <c:v>6.34</c:v>
                </c:pt>
                <c:pt idx="2">
                  <c:v>6.34</c:v>
                </c:pt>
                <c:pt idx="3">
                  <c:v>6.33</c:v>
                </c:pt>
                <c:pt idx="4">
                  <c:v>6.31</c:v>
                </c:pt>
                <c:pt idx="5">
                  <c:v>6.28</c:v>
                </c:pt>
                <c:pt idx="6">
                  <c:v>6.24</c:v>
                </c:pt>
                <c:pt idx="7">
                  <c:v>6.24</c:v>
                </c:pt>
                <c:pt idx="8">
                  <c:v>6.31</c:v>
                </c:pt>
                <c:pt idx="9">
                  <c:v>6.8</c:v>
                </c:pt>
                <c:pt idx="10">
                  <c:v>7.34</c:v>
                </c:pt>
                <c:pt idx="11">
                  <c:v>7.68</c:v>
                </c:pt>
                <c:pt idx="12">
                  <c:v>7.91</c:v>
                </c:pt>
                <c:pt idx="13">
                  <c:v>7.75</c:v>
                </c:pt>
                <c:pt idx="14">
                  <c:v>7.58</c:v>
                </c:pt>
                <c:pt idx="15">
                  <c:v>7.44</c:v>
                </c:pt>
                <c:pt idx="16">
                  <c:v>7.32</c:v>
                </c:pt>
                <c:pt idx="17">
                  <c:v>7.27</c:v>
                </c:pt>
                <c:pt idx="18">
                  <c:v>7.15</c:v>
                </c:pt>
                <c:pt idx="19">
                  <c:v>7.08</c:v>
                </c:pt>
                <c:pt idx="20">
                  <c:v>7.02</c:v>
                </c:pt>
                <c:pt idx="21">
                  <c:v>6.98</c:v>
                </c:pt>
                <c:pt idx="22">
                  <c:v>6.95</c:v>
                </c:pt>
                <c:pt idx="23">
                  <c:v>6.88</c:v>
                </c:pt>
                <c:pt idx="24">
                  <c:v>6.84</c:v>
                </c:pt>
                <c:pt idx="25">
                  <c:v>8</c:v>
                </c:pt>
                <c:pt idx="26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B9-42C3-9A34-F3D188C47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44288"/>
        <c:axId val="114054272"/>
      </c:scatterChart>
      <c:valAx>
        <c:axId val="114044288"/>
        <c:scaling>
          <c:orientation val="minMax"/>
        </c:scaling>
        <c:delete val="0"/>
        <c:axPos val="b"/>
        <c:minorGridlines/>
        <c:numFmt formatCode="#,##0" sourceLinked="1"/>
        <c:majorTickMark val="out"/>
        <c:minorTickMark val="none"/>
        <c:tickLblPos val="nextTo"/>
        <c:crossAx val="114054272"/>
        <c:crosses val="autoZero"/>
        <c:crossBetween val="midCat"/>
      </c:valAx>
      <c:valAx>
        <c:axId val="114054272"/>
        <c:scaling>
          <c:orientation val="minMax"/>
          <c:max val="10"/>
          <c:min val="6"/>
        </c:scaling>
        <c:delete val="0"/>
        <c:axPos val="l"/>
        <c:majorGridlines/>
        <c:minorGridlines/>
        <c:numFmt formatCode="#,##0" sourceLinked="1"/>
        <c:majorTickMark val="out"/>
        <c:minorTickMark val="none"/>
        <c:tickLblPos val="nextTo"/>
        <c:crossAx val="114044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Bear Creek Reservoir Pool Level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'Monthly Discharge'!$AW$3:$AW$367</c:f>
              <c:numCache>
                <c:formatCode>m/d/yy;@</c:formatCode>
                <c:ptCount val="365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</c:numCache>
            </c:numRef>
          </c:cat>
          <c:val>
            <c:numRef>
              <c:f>'Monthly Discharge'!$AX$3:$AX$367</c:f>
              <c:numCache>
                <c:formatCode>#,##0</c:formatCode>
                <c:ptCount val="365"/>
                <c:pt idx="0">
                  <c:v>1860</c:v>
                </c:pt>
                <c:pt idx="1">
                  <c:v>1861</c:v>
                </c:pt>
                <c:pt idx="2">
                  <c:v>1860</c:v>
                </c:pt>
                <c:pt idx="3">
                  <c:v>1862</c:v>
                </c:pt>
                <c:pt idx="4">
                  <c:v>1862</c:v>
                </c:pt>
                <c:pt idx="5">
                  <c:v>1864</c:v>
                </c:pt>
                <c:pt idx="6">
                  <c:v>1865</c:v>
                </c:pt>
                <c:pt idx="7">
                  <c:v>1865</c:v>
                </c:pt>
                <c:pt idx="8">
                  <c:v>1865</c:v>
                </c:pt>
                <c:pt idx="9">
                  <c:v>1867</c:v>
                </c:pt>
                <c:pt idx="10">
                  <c:v>1871</c:v>
                </c:pt>
                <c:pt idx="11">
                  <c:v>1865</c:v>
                </c:pt>
                <c:pt idx="12">
                  <c:v>1863</c:v>
                </c:pt>
                <c:pt idx="13">
                  <c:v>1863</c:v>
                </c:pt>
                <c:pt idx="14">
                  <c:v>1863</c:v>
                </c:pt>
                <c:pt idx="15">
                  <c:v>1855</c:v>
                </c:pt>
                <c:pt idx="16">
                  <c:v>1855</c:v>
                </c:pt>
                <c:pt idx="17">
                  <c:v>1860</c:v>
                </c:pt>
                <c:pt idx="18">
                  <c:v>1863</c:v>
                </c:pt>
                <c:pt idx="19">
                  <c:v>1862</c:v>
                </c:pt>
                <c:pt idx="20">
                  <c:v>1865</c:v>
                </c:pt>
                <c:pt idx="21">
                  <c:v>1862</c:v>
                </c:pt>
                <c:pt idx="22">
                  <c:v>1862</c:v>
                </c:pt>
                <c:pt idx="23">
                  <c:v>1861</c:v>
                </c:pt>
                <c:pt idx="24">
                  <c:v>1864</c:v>
                </c:pt>
                <c:pt idx="25">
                  <c:v>1863</c:v>
                </c:pt>
                <c:pt idx="26">
                  <c:v>1859</c:v>
                </c:pt>
                <c:pt idx="27">
                  <c:v>1863</c:v>
                </c:pt>
                <c:pt idx="28">
                  <c:v>1863</c:v>
                </c:pt>
                <c:pt idx="29">
                  <c:v>1863</c:v>
                </c:pt>
                <c:pt idx="30">
                  <c:v>1864</c:v>
                </c:pt>
                <c:pt idx="31">
                  <c:v>1865</c:v>
                </c:pt>
                <c:pt idx="32">
                  <c:v>1863</c:v>
                </c:pt>
                <c:pt idx="33">
                  <c:v>1865</c:v>
                </c:pt>
                <c:pt idx="34">
                  <c:v>1865</c:v>
                </c:pt>
                <c:pt idx="35">
                  <c:v>1865</c:v>
                </c:pt>
                <c:pt idx="36">
                  <c:v>1865</c:v>
                </c:pt>
                <c:pt idx="37">
                  <c:v>1864</c:v>
                </c:pt>
                <c:pt idx="38">
                  <c:v>1863</c:v>
                </c:pt>
                <c:pt idx="39">
                  <c:v>1863</c:v>
                </c:pt>
                <c:pt idx="40">
                  <c:v>1862</c:v>
                </c:pt>
                <c:pt idx="41">
                  <c:v>1859</c:v>
                </c:pt>
                <c:pt idx="42">
                  <c:v>1863</c:v>
                </c:pt>
                <c:pt idx="43">
                  <c:v>1862</c:v>
                </c:pt>
                <c:pt idx="44">
                  <c:v>1865</c:v>
                </c:pt>
                <c:pt idx="45">
                  <c:v>1869</c:v>
                </c:pt>
                <c:pt idx="46">
                  <c:v>1870</c:v>
                </c:pt>
                <c:pt idx="47">
                  <c:v>1865</c:v>
                </c:pt>
                <c:pt idx="48">
                  <c:v>1864</c:v>
                </c:pt>
                <c:pt idx="49">
                  <c:v>1865</c:v>
                </c:pt>
                <c:pt idx="50">
                  <c:v>1858</c:v>
                </c:pt>
                <c:pt idx="51">
                  <c:v>1854</c:v>
                </c:pt>
                <c:pt idx="52">
                  <c:v>1859</c:v>
                </c:pt>
                <c:pt idx="53">
                  <c:v>1861</c:v>
                </c:pt>
                <c:pt idx="54">
                  <c:v>1862</c:v>
                </c:pt>
                <c:pt idx="55">
                  <c:v>1859</c:v>
                </c:pt>
                <c:pt idx="56">
                  <c:v>1860</c:v>
                </c:pt>
                <c:pt idx="57">
                  <c:v>1861</c:v>
                </c:pt>
                <c:pt idx="58">
                  <c:v>1862</c:v>
                </c:pt>
                <c:pt idx="59">
                  <c:v>1861</c:v>
                </c:pt>
                <c:pt idx="60">
                  <c:v>1861</c:v>
                </c:pt>
                <c:pt idx="61">
                  <c:v>1864</c:v>
                </c:pt>
                <c:pt idx="62">
                  <c:v>1865</c:v>
                </c:pt>
                <c:pt idx="63">
                  <c:v>1862</c:v>
                </c:pt>
                <c:pt idx="64">
                  <c:v>1857</c:v>
                </c:pt>
                <c:pt idx="65">
                  <c:v>1852</c:v>
                </c:pt>
                <c:pt idx="66">
                  <c:v>1850</c:v>
                </c:pt>
                <c:pt idx="67">
                  <c:v>1851</c:v>
                </c:pt>
                <c:pt idx="68">
                  <c:v>1850</c:v>
                </c:pt>
                <c:pt idx="69">
                  <c:v>1850</c:v>
                </c:pt>
                <c:pt idx="70">
                  <c:v>1848</c:v>
                </c:pt>
                <c:pt idx="71">
                  <c:v>1847</c:v>
                </c:pt>
                <c:pt idx="72">
                  <c:v>1844</c:v>
                </c:pt>
                <c:pt idx="73">
                  <c:v>1842</c:v>
                </c:pt>
                <c:pt idx="74">
                  <c:v>1839</c:v>
                </c:pt>
                <c:pt idx="75">
                  <c:v>1837</c:v>
                </c:pt>
                <c:pt idx="76">
                  <c:v>1838</c:v>
                </c:pt>
                <c:pt idx="77">
                  <c:v>1850</c:v>
                </c:pt>
                <c:pt idx="78">
                  <c:v>1846</c:v>
                </c:pt>
                <c:pt idx="79">
                  <c:v>1841</c:v>
                </c:pt>
                <c:pt idx="80">
                  <c:v>1839</c:v>
                </c:pt>
                <c:pt idx="81">
                  <c:v>1839</c:v>
                </c:pt>
                <c:pt idx="82">
                  <c:v>1841</c:v>
                </c:pt>
                <c:pt idx="83">
                  <c:v>1839</c:v>
                </c:pt>
                <c:pt idx="84">
                  <c:v>1839</c:v>
                </c:pt>
                <c:pt idx="85">
                  <c:v>1855</c:v>
                </c:pt>
                <c:pt idx="86">
                  <c:v>1851</c:v>
                </c:pt>
                <c:pt idx="87">
                  <c:v>1847</c:v>
                </c:pt>
                <c:pt idx="88">
                  <c:v>1844</c:v>
                </c:pt>
                <c:pt idx="89">
                  <c:v>1841</c:v>
                </c:pt>
                <c:pt idx="90">
                  <c:v>1842</c:v>
                </c:pt>
                <c:pt idx="91">
                  <c:v>1845</c:v>
                </c:pt>
                <c:pt idx="92">
                  <c:v>1847</c:v>
                </c:pt>
                <c:pt idx="93">
                  <c:v>1846</c:v>
                </c:pt>
                <c:pt idx="94">
                  <c:v>1844</c:v>
                </c:pt>
                <c:pt idx="95">
                  <c:v>1847</c:v>
                </c:pt>
                <c:pt idx="96">
                  <c:v>1847</c:v>
                </c:pt>
                <c:pt idx="97">
                  <c:v>1844</c:v>
                </c:pt>
                <c:pt idx="98">
                  <c:v>1846</c:v>
                </c:pt>
                <c:pt idx="99">
                  <c:v>1843</c:v>
                </c:pt>
                <c:pt idx="100">
                  <c:v>1841</c:v>
                </c:pt>
                <c:pt idx="101">
                  <c:v>1845</c:v>
                </c:pt>
                <c:pt idx="102">
                  <c:v>1846</c:v>
                </c:pt>
                <c:pt idx="103">
                  <c:v>1844</c:v>
                </c:pt>
                <c:pt idx="104">
                  <c:v>1843</c:v>
                </c:pt>
                <c:pt idx="105">
                  <c:v>1842</c:v>
                </c:pt>
                <c:pt idx="106">
                  <c:v>1844</c:v>
                </c:pt>
                <c:pt idx="107">
                  <c:v>1845</c:v>
                </c:pt>
                <c:pt idx="108">
                  <c:v>1843</c:v>
                </c:pt>
                <c:pt idx="109">
                  <c:v>1843</c:v>
                </c:pt>
                <c:pt idx="110">
                  <c:v>1853</c:v>
                </c:pt>
                <c:pt idx="111">
                  <c:v>1850</c:v>
                </c:pt>
                <c:pt idx="112">
                  <c:v>1847</c:v>
                </c:pt>
                <c:pt idx="113">
                  <c:v>1851</c:v>
                </c:pt>
                <c:pt idx="114">
                  <c:v>1855</c:v>
                </c:pt>
                <c:pt idx="115">
                  <c:v>1848</c:v>
                </c:pt>
                <c:pt idx="116">
                  <c:v>1847</c:v>
                </c:pt>
                <c:pt idx="117">
                  <c:v>1846</c:v>
                </c:pt>
                <c:pt idx="118">
                  <c:v>1848</c:v>
                </c:pt>
                <c:pt idx="119">
                  <c:v>1848</c:v>
                </c:pt>
                <c:pt idx="120">
                  <c:v>1850</c:v>
                </c:pt>
                <c:pt idx="121">
                  <c:v>1861</c:v>
                </c:pt>
                <c:pt idx="122">
                  <c:v>1909</c:v>
                </c:pt>
                <c:pt idx="123">
                  <c:v>1912</c:v>
                </c:pt>
                <c:pt idx="124">
                  <c:v>1895</c:v>
                </c:pt>
                <c:pt idx="125">
                  <c:v>1893</c:v>
                </c:pt>
                <c:pt idx="126">
                  <c:v>1890</c:v>
                </c:pt>
                <c:pt idx="127">
                  <c:v>1888</c:v>
                </c:pt>
                <c:pt idx="128">
                  <c:v>1885</c:v>
                </c:pt>
                <c:pt idx="129">
                  <c:v>1887</c:v>
                </c:pt>
                <c:pt idx="130">
                  <c:v>1885</c:v>
                </c:pt>
                <c:pt idx="131">
                  <c:v>1884</c:v>
                </c:pt>
                <c:pt idx="132">
                  <c:v>1882</c:v>
                </c:pt>
                <c:pt idx="133">
                  <c:v>1892</c:v>
                </c:pt>
                <c:pt idx="134">
                  <c:v>1902</c:v>
                </c:pt>
                <c:pt idx="135">
                  <c:v>1895</c:v>
                </c:pt>
                <c:pt idx="136">
                  <c:v>1886</c:v>
                </c:pt>
                <c:pt idx="137">
                  <c:v>1882</c:v>
                </c:pt>
                <c:pt idx="138">
                  <c:v>1892</c:v>
                </c:pt>
                <c:pt idx="139">
                  <c:v>1898</c:v>
                </c:pt>
                <c:pt idx="140">
                  <c:v>1909</c:v>
                </c:pt>
                <c:pt idx="141">
                  <c:v>1897</c:v>
                </c:pt>
                <c:pt idx="142">
                  <c:v>1889</c:v>
                </c:pt>
                <c:pt idx="143">
                  <c:v>1886</c:v>
                </c:pt>
                <c:pt idx="144">
                  <c:v>1880</c:v>
                </c:pt>
                <c:pt idx="145">
                  <c:v>1876</c:v>
                </c:pt>
                <c:pt idx="146">
                  <c:v>1874</c:v>
                </c:pt>
                <c:pt idx="147">
                  <c:v>1875</c:v>
                </c:pt>
                <c:pt idx="148">
                  <c:v>1894</c:v>
                </c:pt>
                <c:pt idx="149">
                  <c:v>1886</c:v>
                </c:pt>
                <c:pt idx="150">
                  <c:v>1877</c:v>
                </c:pt>
                <c:pt idx="151">
                  <c:v>1873</c:v>
                </c:pt>
                <c:pt idx="152">
                  <c:v>1867</c:v>
                </c:pt>
                <c:pt idx="153">
                  <c:v>1865</c:v>
                </c:pt>
                <c:pt idx="154">
                  <c:v>1866</c:v>
                </c:pt>
                <c:pt idx="155">
                  <c:v>1862</c:v>
                </c:pt>
                <c:pt idx="156">
                  <c:v>1859</c:v>
                </c:pt>
                <c:pt idx="157">
                  <c:v>1858</c:v>
                </c:pt>
                <c:pt idx="158">
                  <c:v>1856</c:v>
                </c:pt>
                <c:pt idx="159">
                  <c:v>1852</c:v>
                </c:pt>
                <c:pt idx="160">
                  <c:v>1849</c:v>
                </c:pt>
                <c:pt idx="161">
                  <c:v>1847</c:v>
                </c:pt>
                <c:pt idx="162">
                  <c:v>1847</c:v>
                </c:pt>
                <c:pt idx="163">
                  <c:v>1847</c:v>
                </c:pt>
                <c:pt idx="164">
                  <c:v>1847</c:v>
                </c:pt>
                <c:pt idx="165">
                  <c:v>1846</c:v>
                </c:pt>
                <c:pt idx="166">
                  <c:v>1845</c:v>
                </c:pt>
                <c:pt idx="167">
                  <c:v>1848</c:v>
                </c:pt>
                <c:pt idx="168">
                  <c:v>1885</c:v>
                </c:pt>
                <c:pt idx="169">
                  <c:v>1879</c:v>
                </c:pt>
                <c:pt idx="170">
                  <c:v>1870</c:v>
                </c:pt>
                <c:pt idx="171">
                  <c:v>1860</c:v>
                </c:pt>
                <c:pt idx="172">
                  <c:v>1855</c:v>
                </c:pt>
                <c:pt idx="173">
                  <c:v>1853</c:v>
                </c:pt>
                <c:pt idx="174">
                  <c:v>1851</c:v>
                </c:pt>
                <c:pt idx="175">
                  <c:v>1854</c:v>
                </c:pt>
                <c:pt idx="176">
                  <c:v>1852</c:v>
                </c:pt>
                <c:pt idx="177">
                  <c:v>1848</c:v>
                </c:pt>
                <c:pt idx="178">
                  <c:v>1846</c:v>
                </c:pt>
                <c:pt idx="179">
                  <c:v>1843</c:v>
                </c:pt>
                <c:pt idx="180">
                  <c:v>1839</c:v>
                </c:pt>
                <c:pt idx="181">
                  <c:v>1839</c:v>
                </c:pt>
                <c:pt idx="182">
                  <c:v>1839</c:v>
                </c:pt>
                <c:pt idx="183">
                  <c:v>1837</c:v>
                </c:pt>
                <c:pt idx="184">
                  <c:v>1830</c:v>
                </c:pt>
                <c:pt idx="185">
                  <c:v>1821</c:v>
                </c:pt>
                <c:pt idx="186">
                  <c:v>1819</c:v>
                </c:pt>
                <c:pt idx="187">
                  <c:v>1816</c:v>
                </c:pt>
                <c:pt idx="188">
                  <c:v>1813</c:v>
                </c:pt>
                <c:pt idx="189">
                  <c:v>1806</c:v>
                </c:pt>
                <c:pt idx="190">
                  <c:v>1800</c:v>
                </c:pt>
                <c:pt idx="191">
                  <c:v>1792</c:v>
                </c:pt>
                <c:pt idx="192">
                  <c:v>1786</c:v>
                </c:pt>
                <c:pt idx="193">
                  <c:v>1779</c:v>
                </c:pt>
                <c:pt idx="194">
                  <c:v>1777</c:v>
                </c:pt>
                <c:pt idx="195">
                  <c:v>1777</c:v>
                </c:pt>
                <c:pt idx="196">
                  <c:v>1793</c:v>
                </c:pt>
                <c:pt idx="197">
                  <c:v>1807</c:v>
                </c:pt>
                <c:pt idx="198">
                  <c:v>1806</c:v>
                </c:pt>
                <c:pt idx="199">
                  <c:v>1800</c:v>
                </c:pt>
                <c:pt idx="200">
                  <c:v>1793</c:v>
                </c:pt>
                <c:pt idx="201">
                  <c:v>1787</c:v>
                </c:pt>
                <c:pt idx="202">
                  <c:v>1780</c:v>
                </c:pt>
                <c:pt idx="203">
                  <c:v>1784</c:v>
                </c:pt>
                <c:pt idx="204">
                  <c:v>1846</c:v>
                </c:pt>
                <c:pt idx="205">
                  <c:v>1821</c:v>
                </c:pt>
                <c:pt idx="206">
                  <c:v>1811</c:v>
                </c:pt>
                <c:pt idx="207">
                  <c:v>1807</c:v>
                </c:pt>
                <c:pt idx="208">
                  <c:v>1777</c:v>
                </c:pt>
                <c:pt idx="209">
                  <c:v>1747</c:v>
                </c:pt>
                <c:pt idx="210">
                  <c:v>1723</c:v>
                </c:pt>
                <c:pt idx="211">
                  <c:v>1723</c:v>
                </c:pt>
                <c:pt idx="212">
                  <c:v>1722</c:v>
                </c:pt>
                <c:pt idx="213">
                  <c:v>1717</c:v>
                </c:pt>
                <c:pt idx="214">
                  <c:v>1713</c:v>
                </c:pt>
                <c:pt idx="215">
                  <c:v>1708</c:v>
                </c:pt>
                <c:pt idx="216">
                  <c:v>1703</c:v>
                </c:pt>
                <c:pt idx="217">
                  <c:v>1696</c:v>
                </c:pt>
                <c:pt idx="218">
                  <c:v>1690</c:v>
                </c:pt>
                <c:pt idx="219">
                  <c:v>1686</c:v>
                </c:pt>
                <c:pt idx="220">
                  <c:v>1683</c:v>
                </c:pt>
                <c:pt idx="221">
                  <c:v>1678</c:v>
                </c:pt>
                <c:pt idx="222">
                  <c:v>1673</c:v>
                </c:pt>
                <c:pt idx="223">
                  <c:v>1671</c:v>
                </c:pt>
                <c:pt idx="224">
                  <c:v>1666</c:v>
                </c:pt>
                <c:pt idx="225">
                  <c:v>1662</c:v>
                </c:pt>
                <c:pt idx="226">
                  <c:v>1660</c:v>
                </c:pt>
                <c:pt idx="227">
                  <c:v>1662</c:v>
                </c:pt>
                <c:pt idx="228">
                  <c:v>1656</c:v>
                </c:pt>
                <c:pt idx="229">
                  <c:v>1650</c:v>
                </c:pt>
                <c:pt idx="230">
                  <c:v>1649</c:v>
                </c:pt>
                <c:pt idx="231">
                  <c:v>1641</c:v>
                </c:pt>
                <c:pt idx="232">
                  <c:v>1631</c:v>
                </c:pt>
                <c:pt idx="233">
                  <c:v>1630</c:v>
                </c:pt>
                <c:pt idx="234">
                  <c:v>1630</c:v>
                </c:pt>
                <c:pt idx="235">
                  <c:v>1625</c:v>
                </c:pt>
                <c:pt idx="236">
                  <c:v>1616</c:v>
                </c:pt>
                <c:pt idx="237">
                  <c:v>1607</c:v>
                </c:pt>
                <c:pt idx="238">
                  <c:v>1597</c:v>
                </c:pt>
                <c:pt idx="239">
                  <c:v>1590</c:v>
                </c:pt>
                <c:pt idx="240">
                  <c:v>1585</c:v>
                </c:pt>
                <c:pt idx="241">
                  <c:v>1580</c:v>
                </c:pt>
                <c:pt idx="242">
                  <c:v>1574</c:v>
                </c:pt>
                <c:pt idx="243">
                  <c:v>1568</c:v>
                </c:pt>
                <c:pt idx="244">
                  <c:v>1560</c:v>
                </c:pt>
                <c:pt idx="245">
                  <c:v>1554</c:v>
                </c:pt>
                <c:pt idx="246">
                  <c:v>1548</c:v>
                </c:pt>
                <c:pt idx="247">
                  <c:v>1560</c:v>
                </c:pt>
                <c:pt idx="248">
                  <c:v>1639</c:v>
                </c:pt>
                <c:pt idx="249">
                  <c:v>1678</c:v>
                </c:pt>
                <c:pt idx="250">
                  <c:v>1688</c:v>
                </c:pt>
                <c:pt idx="251">
                  <c:v>1696</c:v>
                </c:pt>
                <c:pt idx="252">
                  <c:v>1698</c:v>
                </c:pt>
                <c:pt idx="253">
                  <c:v>1678</c:v>
                </c:pt>
                <c:pt idx="254">
                  <c:v>1658</c:v>
                </c:pt>
                <c:pt idx="255">
                  <c:v>1636</c:v>
                </c:pt>
                <c:pt idx="256">
                  <c:v>1626</c:v>
                </c:pt>
                <c:pt idx="257">
                  <c:v>1619</c:v>
                </c:pt>
                <c:pt idx="258">
                  <c:v>1617</c:v>
                </c:pt>
                <c:pt idx="259">
                  <c:v>1611</c:v>
                </c:pt>
                <c:pt idx="260">
                  <c:v>1605</c:v>
                </c:pt>
                <c:pt idx="261">
                  <c:v>1601</c:v>
                </c:pt>
                <c:pt idx="262">
                  <c:v>1601</c:v>
                </c:pt>
                <c:pt idx="263">
                  <c:v>1594</c:v>
                </c:pt>
                <c:pt idx="264">
                  <c:v>1588</c:v>
                </c:pt>
                <c:pt idx="265">
                  <c:v>1581</c:v>
                </c:pt>
                <c:pt idx="266">
                  <c:v>1571</c:v>
                </c:pt>
                <c:pt idx="267">
                  <c:v>1561</c:v>
                </c:pt>
                <c:pt idx="268">
                  <c:v>1555</c:v>
                </c:pt>
                <c:pt idx="269">
                  <c:v>1552</c:v>
                </c:pt>
                <c:pt idx="270">
                  <c:v>1546</c:v>
                </c:pt>
                <c:pt idx="271">
                  <c:v>1543</c:v>
                </c:pt>
                <c:pt idx="272">
                  <c:v>1538</c:v>
                </c:pt>
                <c:pt idx="273">
                  <c:v>1532</c:v>
                </c:pt>
                <c:pt idx="274">
                  <c:v>1527</c:v>
                </c:pt>
                <c:pt idx="275">
                  <c:v>1519</c:v>
                </c:pt>
                <c:pt idx="276">
                  <c:v>1512</c:v>
                </c:pt>
                <c:pt idx="277">
                  <c:v>1506</c:v>
                </c:pt>
                <c:pt idx="278">
                  <c:v>1505</c:v>
                </c:pt>
                <c:pt idx="279">
                  <c:v>1506</c:v>
                </c:pt>
                <c:pt idx="280">
                  <c:v>1516</c:v>
                </c:pt>
                <c:pt idx="281">
                  <c:v>1531</c:v>
                </c:pt>
                <c:pt idx="282">
                  <c:v>1545</c:v>
                </c:pt>
                <c:pt idx="283">
                  <c:v>1548</c:v>
                </c:pt>
                <c:pt idx="284">
                  <c:v>1543</c:v>
                </c:pt>
                <c:pt idx="285">
                  <c:v>1543</c:v>
                </c:pt>
                <c:pt idx="286">
                  <c:v>1543</c:v>
                </c:pt>
                <c:pt idx="287">
                  <c:v>1544</c:v>
                </c:pt>
                <c:pt idx="288">
                  <c:v>1537</c:v>
                </c:pt>
                <c:pt idx="289">
                  <c:v>1533</c:v>
                </c:pt>
                <c:pt idx="290">
                  <c:v>1536</c:v>
                </c:pt>
                <c:pt idx="291">
                  <c:v>1537</c:v>
                </c:pt>
                <c:pt idx="292">
                  <c:v>1539</c:v>
                </c:pt>
                <c:pt idx="293">
                  <c:v>1539</c:v>
                </c:pt>
                <c:pt idx="294">
                  <c:v>1539</c:v>
                </c:pt>
                <c:pt idx="295">
                  <c:v>1542</c:v>
                </c:pt>
                <c:pt idx="296">
                  <c:v>1546</c:v>
                </c:pt>
                <c:pt idx="297">
                  <c:v>1550</c:v>
                </c:pt>
                <c:pt idx="298">
                  <c:v>1524</c:v>
                </c:pt>
                <c:pt idx="299">
                  <c:v>1551</c:v>
                </c:pt>
                <c:pt idx="300">
                  <c:v>1553</c:v>
                </c:pt>
                <c:pt idx="301">
                  <c:v>1549</c:v>
                </c:pt>
                <c:pt idx="302">
                  <c:v>1505</c:v>
                </c:pt>
                <c:pt idx="303">
                  <c:v>1504</c:v>
                </c:pt>
                <c:pt idx="304">
                  <c:v>1512</c:v>
                </c:pt>
                <c:pt idx="305">
                  <c:v>1503</c:v>
                </c:pt>
                <c:pt idx="306">
                  <c:v>1491</c:v>
                </c:pt>
                <c:pt idx="307">
                  <c:v>1482</c:v>
                </c:pt>
                <c:pt idx="308">
                  <c:v>1470</c:v>
                </c:pt>
                <c:pt idx="309">
                  <c:v>1457</c:v>
                </c:pt>
                <c:pt idx="310">
                  <c:v>1447</c:v>
                </c:pt>
                <c:pt idx="311">
                  <c:v>1446</c:v>
                </c:pt>
                <c:pt idx="312">
                  <c:v>1443</c:v>
                </c:pt>
                <c:pt idx="313">
                  <c:v>1439</c:v>
                </c:pt>
                <c:pt idx="314">
                  <c:v>1436</c:v>
                </c:pt>
                <c:pt idx="315">
                  <c:v>1437</c:v>
                </c:pt>
                <c:pt idx="316">
                  <c:v>1434</c:v>
                </c:pt>
                <c:pt idx="317">
                  <c:v>1433</c:v>
                </c:pt>
                <c:pt idx="318">
                  <c:v>1434</c:v>
                </c:pt>
                <c:pt idx="319">
                  <c:v>1435</c:v>
                </c:pt>
                <c:pt idx="320">
                  <c:v>1436</c:v>
                </c:pt>
                <c:pt idx="321">
                  <c:v>1436</c:v>
                </c:pt>
                <c:pt idx="322">
                  <c:v>1433</c:v>
                </c:pt>
                <c:pt idx="323">
                  <c:v>1431</c:v>
                </c:pt>
                <c:pt idx="324">
                  <c:v>1428</c:v>
                </c:pt>
                <c:pt idx="325">
                  <c:v>1425</c:v>
                </c:pt>
                <c:pt idx="326">
                  <c:v>1423</c:v>
                </c:pt>
                <c:pt idx="327">
                  <c:v>1420</c:v>
                </c:pt>
                <c:pt idx="328">
                  <c:v>1417</c:v>
                </c:pt>
                <c:pt idx="329">
                  <c:v>1414</c:v>
                </c:pt>
                <c:pt idx="330">
                  <c:v>1413</c:v>
                </c:pt>
                <c:pt idx="331">
                  <c:v>1410</c:v>
                </c:pt>
                <c:pt idx="332">
                  <c:v>1406</c:v>
                </c:pt>
                <c:pt idx="333">
                  <c:v>1406</c:v>
                </c:pt>
                <c:pt idx="334">
                  <c:v>1408</c:v>
                </c:pt>
                <c:pt idx="335">
                  <c:v>1407</c:v>
                </c:pt>
                <c:pt idx="336">
                  <c:v>1406</c:v>
                </c:pt>
                <c:pt idx="337">
                  <c:v>1402</c:v>
                </c:pt>
                <c:pt idx="338">
                  <c:v>1398</c:v>
                </c:pt>
                <c:pt idx="339">
                  <c:v>1393</c:v>
                </c:pt>
                <c:pt idx="340">
                  <c:v>1389</c:v>
                </c:pt>
                <c:pt idx="341">
                  <c:v>1384</c:v>
                </c:pt>
                <c:pt idx="342">
                  <c:v>1380</c:v>
                </c:pt>
                <c:pt idx="343">
                  <c:v>1374</c:v>
                </c:pt>
                <c:pt idx="344">
                  <c:v>1369</c:v>
                </c:pt>
                <c:pt idx="345">
                  <c:v>1364</c:v>
                </c:pt>
                <c:pt idx="346">
                  <c:v>1359</c:v>
                </c:pt>
                <c:pt idx="347">
                  <c:v>1354</c:v>
                </c:pt>
                <c:pt idx="348">
                  <c:v>1349</c:v>
                </c:pt>
                <c:pt idx="349">
                  <c:v>1344</c:v>
                </c:pt>
                <c:pt idx="350">
                  <c:v>1340</c:v>
                </c:pt>
                <c:pt idx="351">
                  <c:v>1335</c:v>
                </c:pt>
                <c:pt idx="352">
                  <c:v>1330</c:v>
                </c:pt>
                <c:pt idx="353">
                  <c:v>1325</c:v>
                </c:pt>
                <c:pt idx="354">
                  <c:v>1321</c:v>
                </c:pt>
                <c:pt idx="355">
                  <c:v>1317</c:v>
                </c:pt>
                <c:pt idx="356">
                  <c:v>1313</c:v>
                </c:pt>
                <c:pt idx="357">
                  <c:v>1309</c:v>
                </c:pt>
                <c:pt idx="358">
                  <c:v>1315</c:v>
                </c:pt>
                <c:pt idx="359">
                  <c:v>1322</c:v>
                </c:pt>
                <c:pt idx="360">
                  <c:v>1332</c:v>
                </c:pt>
                <c:pt idx="361">
                  <c:v>1336</c:v>
                </c:pt>
                <c:pt idx="362">
                  <c:v>1338</c:v>
                </c:pt>
                <c:pt idx="363">
                  <c:v>1344</c:v>
                </c:pt>
                <c:pt idx="364">
                  <c:v>1352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4-44E6-89E6-E130FBC14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114059904"/>
        <c:axId val="114082176"/>
      </c:barChart>
      <c:dateAx>
        <c:axId val="11405990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m/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82176"/>
        <c:crosses val="autoZero"/>
        <c:auto val="1"/>
        <c:lblOffset val="100"/>
        <c:baseTimeUnit val="days"/>
      </c:dateAx>
      <c:valAx>
        <c:axId val="114082176"/>
        <c:scaling>
          <c:orientation val="minMax"/>
          <c:max val="2500"/>
          <c:min val="120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Acre-feet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5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BCRTemperature Average 1/2-2 Meters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 Temperature'!$A$7</c:f>
              <c:strCache>
                <c:ptCount val="1"/>
                <c:pt idx="0">
                  <c:v>Site 40 Central Pool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'W Temperature'!$B$2:$P$2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'W Temperature'!$B$23:$P$23</c:f>
              <c:numCache>
                <c:formatCode>0.00</c:formatCode>
                <c:ptCount val="15"/>
                <c:pt idx="0">
                  <c:v>4.4249999999999998</c:v>
                </c:pt>
                <c:pt idx="1">
                  <c:v>4.05</c:v>
                </c:pt>
                <c:pt idx="2">
                  <c:v>6.7750000000000004</c:v>
                </c:pt>
                <c:pt idx="3">
                  <c:v>9.5250000000000004</c:v>
                </c:pt>
                <c:pt idx="4">
                  <c:v>15.625</c:v>
                </c:pt>
                <c:pt idx="5">
                  <c:v>18.924999999999997</c:v>
                </c:pt>
                <c:pt idx="6">
                  <c:v>22.774999999999999</c:v>
                </c:pt>
                <c:pt idx="7">
                  <c:v>23.450000000000003</c:v>
                </c:pt>
                <c:pt idx="8">
                  <c:v>22.200000000000003</c:v>
                </c:pt>
                <c:pt idx="9">
                  <c:v>22.5</c:v>
                </c:pt>
                <c:pt idx="10">
                  <c:v>19.45</c:v>
                </c:pt>
                <c:pt idx="11">
                  <c:v>18.075000000000003</c:v>
                </c:pt>
                <c:pt idx="12">
                  <c:v>10.84</c:v>
                </c:pt>
                <c:pt idx="13">
                  <c:v>8.9</c:v>
                </c:pt>
                <c:pt idx="14">
                  <c:v>2.9400000000000004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B4-44FF-8F99-D372F05DB07F}"/>
            </c:ext>
          </c:extLst>
        </c:ser>
        <c:ser>
          <c:idx val="1"/>
          <c:order val="1"/>
          <c:tx>
            <c:strRef>
              <c:f>'W Temperature'!$A$25</c:f>
              <c:strCache>
                <c:ptCount val="1"/>
                <c:pt idx="0">
                  <c:v>Site 41- BC Outlet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'W Temperature'!$B$2:$P$2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'W Temperature'!$B$23:$L$23</c:f>
              <c:numCache>
                <c:formatCode>0.00</c:formatCode>
                <c:ptCount val="11"/>
                <c:pt idx="0">
                  <c:v>4.4249999999999998</c:v>
                </c:pt>
                <c:pt idx="1">
                  <c:v>4.05</c:v>
                </c:pt>
                <c:pt idx="2">
                  <c:v>6.7750000000000004</c:v>
                </c:pt>
                <c:pt idx="3">
                  <c:v>9.5250000000000004</c:v>
                </c:pt>
                <c:pt idx="4">
                  <c:v>15.625</c:v>
                </c:pt>
                <c:pt idx="5">
                  <c:v>18.924999999999997</c:v>
                </c:pt>
                <c:pt idx="6">
                  <c:v>22.774999999999999</c:v>
                </c:pt>
                <c:pt idx="7">
                  <c:v>23.450000000000003</c:v>
                </c:pt>
                <c:pt idx="8">
                  <c:v>22.200000000000003</c:v>
                </c:pt>
                <c:pt idx="9">
                  <c:v>22.5</c:v>
                </c:pt>
                <c:pt idx="10">
                  <c:v>19.45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B4-44FF-8F99-D372F05DB07F}"/>
            </c:ext>
          </c:extLst>
        </c:ser>
        <c:ser>
          <c:idx val="2"/>
          <c:order val="2"/>
          <c:tx>
            <c:strRef>
              <c:f>'W Temperature'!$A$40</c:f>
              <c:strCache>
                <c:ptCount val="1"/>
                <c:pt idx="0">
                  <c:v>Site 42 - South Dam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'W Temperature'!$B$2:$P$2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'W Temperature'!$B$51:$P$51</c:f>
              <c:numCache>
                <c:formatCode>0.00</c:formatCode>
                <c:ptCount val="15"/>
                <c:pt idx="1">
                  <c:v>4.4250000000000007</c:v>
                </c:pt>
                <c:pt idx="2">
                  <c:v>7.0750000000000002</c:v>
                </c:pt>
                <c:pt idx="3">
                  <c:v>9.5</c:v>
                </c:pt>
                <c:pt idx="4">
                  <c:v>15.5</c:v>
                </c:pt>
                <c:pt idx="5">
                  <c:v>18.950000000000003</c:v>
                </c:pt>
                <c:pt idx="6">
                  <c:v>22.900000000000002</c:v>
                </c:pt>
                <c:pt idx="7">
                  <c:v>23.200000000000003</c:v>
                </c:pt>
                <c:pt idx="8">
                  <c:v>22.35</c:v>
                </c:pt>
                <c:pt idx="9">
                  <c:v>22.675000000000001</c:v>
                </c:pt>
                <c:pt idx="10">
                  <c:v>19.649999999999999</c:v>
                </c:pt>
                <c:pt idx="11">
                  <c:v>18.119999999999997</c:v>
                </c:pt>
                <c:pt idx="12">
                  <c:v>10.860000000000001</c:v>
                </c:pt>
                <c:pt idx="13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B4-44FF-8F99-D372F05DB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245632"/>
        <c:axId val="114247168"/>
      </c:lineChart>
      <c:dateAx>
        <c:axId val="114245632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47168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114247168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4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Trends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 Temperature'!$A$3</c:f>
              <c:strCache>
                <c:ptCount val="1"/>
                <c:pt idx="0">
                  <c:v>16a-Turkey Creek Inflow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'W Temperature'!$B$2:$P$2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'W Temperature'!$B$3:$P$3</c:f>
              <c:numCache>
                <c:formatCode>#,##0.0</c:formatCode>
                <c:ptCount val="15"/>
                <c:pt idx="0">
                  <c:v>2.4</c:v>
                </c:pt>
                <c:pt idx="1">
                  <c:v>0.6</c:v>
                </c:pt>
                <c:pt idx="2">
                  <c:v>3.2</c:v>
                </c:pt>
                <c:pt idx="3">
                  <c:v>6.4</c:v>
                </c:pt>
                <c:pt idx="4">
                  <c:v>10.8</c:v>
                </c:pt>
                <c:pt idx="5">
                  <c:v>13.1</c:v>
                </c:pt>
                <c:pt idx="6">
                  <c:v>20.8</c:v>
                </c:pt>
                <c:pt idx="7">
                  <c:v>20.8</c:v>
                </c:pt>
                <c:pt idx="8">
                  <c:v>15.9</c:v>
                </c:pt>
                <c:pt idx="9">
                  <c:v>20.7</c:v>
                </c:pt>
                <c:pt idx="10">
                  <c:v>14.3</c:v>
                </c:pt>
                <c:pt idx="11">
                  <c:v>15.5</c:v>
                </c:pt>
                <c:pt idx="12">
                  <c:v>3.8</c:v>
                </c:pt>
                <c:pt idx="13">
                  <c:v>5.2</c:v>
                </c:pt>
                <c:pt idx="1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2B-4D58-B7B5-35C3B7367F17}"/>
            </c:ext>
          </c:extLst>
        </c:ser>
        <c:ser>
          <c:idx val="1"/>
          <c:order val="1"/>
          <c:tx>
            <c:strRef>
              <c:f>'W Temperature'!$A$4</c:f>
              <c:strCache>
                <c:ptCount val="1"/>
                <c:pt idx="0">
                  <c:v>15a-Bear Creek Inflow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'W Temperature'!$B$2:$P$2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'W Temperature'!$B$4:$P$4</c:f>
              <c:numCache>
                <c:formatCode>#,##0.0</c:formatCode>
                <c:ptCount val="15"/>
                <c:pt idx="0">
                  <c:v>7.0000000000000007E-2</c:v>
                </c:pt>
                <c:pt idx="1">
                  <c:v>-0.1</c:v>
                </c:pt>
                <c:pt idx="2">
                  <c:v>2.6</c:v>
                </c:pt>
                <c:pt idx="3">
                  <c:v>6.4</c:v>
                </c:pt>
                <c:pt idx="4">
                  <c:v>12.1</c:v>
                </c:pt>
                <c:pt idx="5">
                  <c:v>15.3</c:v>
                </c:pt>
                <c:pt idx="6">
                  <c:v>19.100000000000001</c:v>
                </c:pt>
                <c:pt idx="7">
                  <c:v>16.8</c:v>
                </c:pt>
                <c:pt idx="8">
                  <c:v>17.5</c:v>
                </c:pt>
                <c:pt idx="9">
                  <c:v>15.8</c:v>
                </c:pt>
                <c:pt idx="10">
                  <c:v>14.4</c:v>
                </c:pt>
                <c:pt idx="11">
                  <c:v>9.6999999999999993</c:v>
                </c:pt>
                <c:pt idx="12">
                  <c:v>1.2</c:v>
                </c:pt>
                <c:pt idx="13">
                  <c:v>4.2</c:v>
                </c:pt>
                <c:pt idx="14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B-4D58-B7B5-35C3B7367F17}"/>
            </c:ext>
          </c:extLst>
        </c:ser>
        <c:ser>
          <c:idx val="3"/>
          <c:order val="2"/>
          <c:tx>
            <c:strRef>
              <c:f>'W Temperature'!$A$24</c:f>
              <c:strCache>
                <c:ptCount val="1"/>
                <c:pt idx="0">
                  <c:v>BCR Site 40 Profile Average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'W Temperature'!$B$2:$P$2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'W Temperature'!$B$24:$O$24</c:f>
              <c:numCache>
                <c:formatCode>0.00</c:formatCode>
                <c:ptCount val="14"/>
                <c:pt idx="0">
                  <c:v>4.2642857142857142</c:v>
                </c:pt>
                <c:pt idx="1">
                  <c:v>4.6714285714285717</c:v>
                </c:pt>
                <c:pt idx="2">
                  <c:v>6.5142857142857133</c:v>
                </c:pt>
                <c:pt idx="3">
                  <c:v>9.3571428571428577</c:v>
                </c:pt>
                <c:pt idx="4">
                  <c:v>13.092857142857143</c:v>
                </c:pt>
                <c:pt idx="5">
                  <c:v>18.45</c:v>
                </c:pt>
                <c:pt idx="6">
                  <c:v>22.192307692307693</c:v>
                </c:pt>
                <c:pt idx="7">
                  <c:v>22.75</c:v>
                </c:pt>
                <c:pt idx="8">
                  <c:v>21.900000000000002</c:v>
                </c:pt>
                <c:pt idx="9">
                  <c:v>22.242857142857151</c:v>
                </c:pt>
                <c:pt idx="10">
                  <c:v>19.207142857142859</c:v>
                </c:pt>
                <c:pt idx="11">
                  <c:v>18.064285714285713</c:v>
                </c:pt>
                <c:pt idx="12">
                  <c:v>10.707692307692307</c:v>
                </c:pt>
                <c:pt idx="13">
                  <c:v>8.8384615384615373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2B-4D58-B7B5-35C3B7367F17}"/>
            </c:ext>
          </c:extLst>
        </c:ser>
        <c:ser>
          <c:idx val="2"/>
          <c:order val="3"/>
          <c:tx>
            <c:strRef>
              <c:f>'W Temperature'!$A$5</c:f>
              <c:strCache>
                <c:ptCount val="1"/>
                <c:pt idx="0">
                  <c:v>45-Bear Creek Discharge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'W Temperature'!$B$2:$P$2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'W Temperature'!$B$5:$P$5</c:f>
              <c:numCache>
                <c:formatCode>#,##0.0</c:formatCode>
                <c:ptCount val="15"/>
                <c:pt idx="0">
                  <c:v>4.2</c:v>
                </c:pt>
                <c:pt idx="1">
                  <c:v>4</c:v>
                </c:pt>
                <c:pt idx="2">
                  <c:v>8.1</c:v>
                </c:pt>
                <c:pt idx="3">
                  <c:v>10.199999999999999</c:v>
                </c:pt>
                <c:pt idx="4">
                  <c:v>15.9</c:v>
                </c:pt>
                <c:pt idx="5">
                  <c:v>20</c:v>
                </c:pt>
                <c:pt idx="6">
                  <c:v>23.2</c:v>
                </c:pt>
                <c:pt idx="7">
                  <c:v>21.2</c:v>
                </c:pt>
                <c:pt idx="8">
                  <c:v>23</c:v>
                </c:pt>
                <c:pt idx="9">
                  <c:v>23.3</c:v>
                </c:pt>
                <c:pt idx="10">
                  <c:v>20.8</c:v>
                </c:pt>
                <c:pt idx="11">
                  <c:v>18.7</c:v>
                </c:pt>
                <c:pt idx="12">
                  <c:v>11.7</c:v>
                </c:pt>
                <c:pt idx="13">
                  <c:v>9.1</c:v>
                </c:pt>
                <c:pt idx="14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2B-4D58-B7B5-35C3B7367F17}"/>
            </c:ext>
          </c:extLst>
        </c:ser>
        <c:ser>
          <c:idx val="4"/>
          <c:order val="4"/>
          <c:tx>
            <c:strRef>
              <c:f>'W Temperature'!$A$6</c:f>
              <c:strCache>
                <c:ptCount val="1"/>
                <c:pt idx="0">
                  <c:v>90- Wadsworth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'W Temperature'!$B$2:$P$2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'W Temperature'!$B$6:$P$6</c:f>
              <c:numCache>
                <c:formatCode>#,##0.0</c:formatCode>
                <c:ptCount val="15"/>
                <c:pt idx="0">
                  <c:v>3.3</c:v>
                </c:pt>
                <c:pt idx="1">
                  <c:v>2.4</c:v>
                </c:pt>
                <c:pt idx="2">
                  <c:v>7.4</c:v>
                </c:pt>
                <c:pt idx="3">
                  <c:v>11</c:v>
                </c:pt>
                <c:pt idx="4">
                  <c:v>16.600000000000001</c:v>
                </c:pt>
                <c:pt idx="5">
                  <c:v>19.8</c:v>
                </c:pt>
                <c:pt idx="6">
                  <c:v>23.1</c:v>
                </c:pt>
                <c:pt idx="7">
                  <c:v>22.5</c:v>
                </c:pt>
                <c:pt idx="8">
                  <c:v>23</c:v>
                </c:pt>
                <c:pt idx="9">
                  <c:v>20</c:v>
                </c:pt>
                <c:pt idx="10">
                  <c:v>20.3</c:v>
                </c:pt>
                <c:pt idx="11">
                  <c:v>14.5</c:v>
                </c:pt>
                <c:pt idx="12">
                  <c:v>7.8</c:v>
                </c:pt>
                <c:pt idx="13">
                  <c:v>8</c:v>
                </c:pt>
                <c:pt idx="1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9-4C13-A847-BAAB2C42B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294144"/>
        <c:axId val="114369664"/>
      </c:lineChart>
      <c:dateAx>
        <c:axId val="114294144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369664"/>
        <c:crosses val="autoZero"/>
        <c:auto val="1"/>
        <c:lblOffset val="100"/>
        <c:baseTimeUnit val="days"/>
        <c:majorUnit val="30"/>
        <c:majorTimeUnit val="days"/>
      </c:dateAx>
      <c:valAx>
        <c:axId val="1143696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9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Site 16a Turkey Creek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553149606299214E-2"/>
          <c:y val="0.17171296296296296"/>
          <c:w val="0.87030708661417333"/>
          <c:h val="0.68812481773111689"/>
        </c:manualLayout>
      </c:layout>
      <c:lineChart>
        <c:grouping val="standard"/>
        <c:varyColors val="0"/>
        <c:ser>
          <c:idx val="0"/>
          <c:order val="0"/>
          <c:tx>
            <c:strRef>
              <c:f>'Air Temp'!$B$9:$P$9</c:f>
              <c:strCache>
                <c:ptCount val="15"/>
                <c:pt idx="0">
                  <c:v>Water Temperature, oC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'Air Temp'!$B$2:$P$2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'Air Temp'!$B$10:$P$10</c:f>
              <c:numCache>
                <c:formatCode>#,##0.0</c:formatCode>
                <c:ptCount val="15"/>
                <c:pt idx="0">
                  <c:v>2.4</c:v>
                </c:pt>
                <c:pt idx="1">
                  <c:v>0.6</c:v>
                </c:pt>
                <c:pt idx="2">
                  <c:v>3.2</c:v>
                </c:pt>
                <c:pt idx="3">
                  <c:v>6.4</c:v>
                </c:pt>
                <c:pt idx="4">
                  <c:v>10.8</c:v>
                </c:pt>
                <c:pt idx="5">
                  <c:v>13.1</c:v>
                </c:pt>
                <c:pt idx="6">
                  <c:v>20.8</c:v>
                </c:pt>
                <c:pt idx="7">
                  <c:v>20.8</c:v>
                </c:pt>
                <c:pt idx="8">
                  <c:v>15.9</c:v>
                </c:pt>
                <c:pt idx="9">
                  <c:v>20.7</c:v>
                </c:pt>
                <c:pt idx="10">
                  <c:v>14.3</c:v>
                </c:pt>
                <c:pt idx="11">
                  <c:v>15.5</c:v>
                </c:pt>
                <c:pt idx="12">
                  <c:v>3.8</c:v>
                </c:pt>
                <c:pt idx="13">
                  <c:v>5.2</c:v>
                </c:pt>
                <c:pt idx="1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7B-45AF-B274-AC213093D7CE}"/>
            </c:ext>
          </c:extLst>
        </c:ser>
        <c:ser>
          <c:idx val="1"/>
          <c:order val="1"/>
          <c:tx>
            <c:strRef>
              <c:f>'Air Temp'!$B$1:$P$1</c:f>
              <c:strCache>
                <c:ptCount val="15"/>
                <c:pt idx="0">
                  <c:v>Air Temperature, oC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'Air Temp'!$B$2:$P$2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'Air Temp'!$B$3:$P$3</c:f>
              <c:numCache>
                <c:formatCode>#,##0.0</c:formatCode>
                <c:ptCount val="15"/>
                <c:pt idx="0">
                  <c:v>8.1</c:v>
                </c:pt>
                <c:pt idx="1">
                  <c:v>-4.7</c:v>
                </c:pt>
                <c:pt idx="2">
                  <c:v>7.1</c:v>
                </c:pt>
                <c:pt idx="3">
                  <c:v>6.6</c:v>
                </c:pt>
                <c:pt idx="4">
                  <c:v>15.1</c:v>
                </c:pt>
                <c:pt idx="5">
                  <c:v>20.8</c:v>
                </c:pt>
                <c:pt idx="6">
                  <c:v>28.9</c:v>
                </c:pt>
                <c:pt idx="7">
                  <c:v>20.3</c:v>
                </c:pt>
                <c:pt idx="8">
                  <c:v>22.8</c:v>
                </c:pt>
                <c:pt idx="9">
                  <c:v>20.8</c:v>
                </c:pt>
                <c:pt idx="10">
                  <c:v>23.7</c:v>
                </c:pt>
                <c:pt idx="11">
                  <c:v>14.4</c:v>
                </c:pt>
                <c:pt idx="12">
                  <c:v>4.4000000000000004</c:v>
                </c:pt>
                <c:pt idx="13">
                  <c:v>10</c:v>
                </c:pt>
                <c:pt idx="14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B-45AF-B274-AC213093D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239448"/>
        <c:axId val="622238792"/>
      </c:lineChart>
      <c:dateAx>
        <c:axId val="622239448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238792"/>
        <c:crosses val="autoZero"/>
        <c:auto val="1"/>
        <c:lblOffset val="100"/>
        <c:baseTimeUnit val="days"/>
      </c:dateAx>
      <c:valAx>
        <c:axId val="6222387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23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403521434820647"/>
          <c:y val="0.11615740740740743"/>
          <c:w val="0.69748512685914266"/>
          <c:h val="8.33339165937591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100"/>
              <a:t>Air vs Water Temperature at P-1 Sites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'Air Temp'!$B$3:$P$3</c:f>
              <c:strCache>
                <c:ptCount val="15"/>
                <c:pt idx="0">
                  <c:v>8.1</c:v>
                </c:pt>
                <c:pt idx="1">
                  <c:v>-4.7</c:v>
                </c:pt>
                <c:pt idx="2">
                  <c:v>7.1</c:v>
                </c:pt>
                <c:pt idx="3">
                  <c:v>6.6</c:v>
                </c:pt>
                <c:pt idx="4">
                  <c:v>15.1</c:v>
                </c:pt>
                <c:pt idx="5">
                  <c:v>20.8</c:v>
                </c:pt>
                <c:pt idx="6">
                  <c:v>28.9</c:v>
                </c:pt>
                <c:pt idx="7">
                  <c:v>20.3</c:v>
                </c:pt>
                <c:pt idx="8">
                  <c:v>22.8</c:v>
                </c:pt>
                <c:pt idx="9">
                  <c:v>20.8</c:v>
                </c:pt>
                <c:pt idx="10">
                  <c:v>23.7</c:v>
                </c:pt>
                <c:pt idx="11">
                  <c:v>14.4</c:v>
                </c:pt>
                <c:pt idx="12">
                  <c:v>4.4</c:v>
                </c:pt>
                <c:pt idx="13">
                  <c:v>10.0</c:v>
                </c:pt>
                <c:pt idx="14">
                  <c:v>6.3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'Air Temp'!$B$3:$P$3</c:f>
              <c:numCache>
                <c:formatCode>#,##0.0</c:formatCode>
                <c:ptCount val="15"/>
                <c:pt idx="0">
                  <c:v>8.1</c:v>
                </c:pt>
                <c:pt idx="1">
                  <c:v>-4.7</c:v>
                </c:pt>
                <c:pt idx="2">
                  <c:v>7.1</c:v>
                </c:pt>
                <c:pt idx="3">
                  <c:v>6.6</c:v>
                </c:pt>
                <c:pt idx="4">
                  <c:v>15.1</c:v>
                </c:pt>
                <c:pt idx="5">
                  <c:v>20.8</c:v>
                </c:pt>
                <c:pt idx="6">
                  <c:v>28.9</c:v>
                </c:pt>
                <c:pt idx="7">
                  <c:v>20.3</c:v>
                </c:pt>
                <c:pt idx="8">
                  <c:v>22.8</c:v>
                </c:pt>
                <c:pt idx="9">
                  <c:v>20.8</c:v>
                </c:pt>
                <c:pt idx="10">
                  <c:v>23.7</c:v>
                </c:pt>
                <c:pt idx="11">
                  <c:v>14.4</c:v>
                </c:pt>
                <c:pt idx="12">
                  <c:v>4.4000000000000004</c:v>
                </c:pt>
                <c:pt idx="13">
                  <c:v>10</c:v>
                </c:pt>
                <c:pt idx="14">
                  <c:v>6.3</c:v>
                </c:pt>
              </c:numCache>
            </c:numRef>
          </c:xVal>
          <c:yVal>
            <c:numRef>
              <c:f>'Air Temp'!$B$10:$P$10</c:f>
              <c:numCache>
                <c:formatCode>#,##0.0</c:formatCode>
                <c:ptCount val="15"/>
                <c:pt idx="0">
                  <c:v>2.4</c:v>
                </c:pt>
                <c:pt idx="1">
                  <c:v>0.6</c:v>
                </c:pt>
                <c:pt idx="2">
                  <c:v>3.2</c:v>
                </c:pt>
                <c:pt idx="3">
                  <c:v>6.4</c:v>
                </c:pt>
                <c:pt idx="4">
                  <c:v>10.8</c:v>
                </c:pt>
                <c:pt idx="5">
                  <c:v>13.1</c:v>
                </c:pt>
                <c:pt idx="6">
                  <c:v>20.8</c:v>
                </c:pt>
                <c:pt idx="7">
                  <c:v>20.8</c:v>
                </c:pt>
                <c:pt idx="8">
                  <c:v>15.9</c:v>
                </c:pt>
                <c:pt idx="9">
                  <c:v>20.7</c:v>
                </c:pt>
                <c:pt idx="10">
                  <c:v>14.3</c:v>
                </c:pt>
                <c:pt idx="11">
                  <c:v>15.5</c:v>
                </c:pt>
                <c:pt idx="12">
                  <c:v>3.8</c:v>
                </c:pt>
                <c:pt idx="13">
                  <c:v>5.2</c:v>
                </c:pt>
                <c:pt idx="14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A35-4681-AA90-5F59D8F1281D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176793525809274"/>
                  <c:y val="-0.105284339457567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'Air Temp'!$B$4:$P$4</c:f>
              <c:numCache>
                <c:formatCode>#,##0.0</c:formatCode>
                <c:ptCount val="15"/>
                <c:pt idx="0">
                  <c:v>8.1</c:v>
                </c:pt>
                <c:pt idx="1">
                  <c:v>-2.7</c:v>
                </c:pt>
                <c:pt idx="2">
                  <c:v>10.199999999999999</c:v>
                </c:pt>
                <c:pt idx="3">
                  <c:v>6.1</c:v>
                </c:pt>
                <c:pt idx="4">
                  <c:v>19.399999999999999</c:v>
                </c:pt>
                <c:pt idx="5">
                  <c:v>21.4</c:v>
                </c:pt>
                <c:pt idx="6">
                  <c:v>31.8</c:v>
                </c:pt>
                <c:pt idx="7">
                  <c:v>24.2</c:v>
                </c:pt>
                <c:pt idx="8">
                  <c:v>24.3</c:v>
                </c:pt>
                <c:pt idx="9">
                  <c:v>23</c:v>
                </c:pt>
                <c:pt idx="10">
                  <c:v>25.2</c:v>
                </c:pt>
                <c:pt idx="11">
                  <c:v>15.6</c:v>
                </c:pt>
                <c:pt idx="12">
                  <c:v>5.5</c:v>
                </c:pt>
                <c:pt idx="13">
                  <c:v>11.5</c:v>
                </c:pt>
                <c:pt idx="14">
                  <c:v>9.3000000000000007</c:v>
                </c:pt>
              </c:numCache>
            </c:numRef>
          </c:xVal>
          <c:yVal>
            <c:numRef>
              <c:f>'Air Temp'!$B$11:$P$11</c:f>
              <c:numCache>
                <c:formatCode>#,##0.0</c:formatCode>
                <c:ptCount val="15"/>
                <c:pt idx="0">
                  <c:v>7.0000000000000007E-2</c:v>
                </c:pt>
                <c:pt idx="1">
                  <c:v>-0.1</c:v>
                </c:pt>
                <c:pt idx="2">
                  <c:v>2.6</c:v>
                </c:pt>
                <c:pt idx="3">
                  <c:v>6.4</c:v>
                </c:pt>
                <c:pt idx="4">
                  <c:v>12.1</c:v>
                </c:pt>
                <c:pt idx="5">
                  <c:v>15.3</c:v>
                </c:pt>
                <c:pt idx="6">
                  <c:v>19.100000000000001</c:v>
                </c:pt>
                <c:pt idx="7">
                  <c:v>16.8</c:v>
                </c:pt>
                <c:pt idx="8">
                  <c:v>17.5</c:v>
                </c:pt>
                <c:pt idx="9">
                  <c:v>15.8</c:v>
                </c:pt>
                <c:pt idx="10">
                  <c:v>14.4</c:v>
                </c:pt>
                <c:pt idx="11">
                  <c:v>9.6999999999999993</c:v>
                </c:pt>
                <c:pt idx="12">
                  <c:v>1.2</c:v>
                </c:pt>
                <c:pt idx="13">
                  <c:v>4.2</c:v>
                </c:pt>
                <c:pt idx="14">
                  <c:v>1.7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A35-4681-AA90-5F59D8F1281D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19050" cap="rnd">
                <a:solidFill>
                  <a:schemeClr val="accent3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'Air Temp'!$B$5:$P$5</c:f>
              <c:numCache>
                <c:formatCode>#,##0.0</c:formatCode>
                <c:ptCount val="15"/>
                <c:pt idx="0">
                  <c:v>6.8</c:v>
                </c:pt>
                <c:pt idx="1">
                  <c:v>-3.3</c:v>
                </c:pt>
                <c:pt idx="2">
                  <c:v>12</c:v>
                </c:pt>
                <c:pt idx="3">
                  <c:v>13.8</c:v>
                </c:pt>
                <c:pt idx="4">
                  <c:v>21</c:v>
                </c:pt>
                <c:pt idx="5">
                  <c:v>29.8</c:v>
                </c:pt>
                <c:pt idx="6">
                  <c:v>33.4</c:v>
                </c:pt>
                <c:pt idx="7">
                  <c:v>27.5</c:v>
                </c:pt>
                <c:pt idx="8">
                  <c:v>31.4</c:v>
                </c:pt>
                <c:pt idx="9">
                  <c:v>27.5</c:v>
                </c:pt>
                <c:pt idx="10">
                  <c:v>34.9</c:v>
                </c:pt>
                <c:pt idx="11">
                  <c:v>20.399999999999999</c:v>
                </c:pt>
                <c:pt idx="12">
                  <c:v>13.6</c:v>
                </c:pt>
                <c:pt idx="13">
                  <c:v>12.4</c:v>
                </c:pt>
                <c:pt idx="14">
                  <c:v>12.9</c:v>
                </c:pt>
              </c:numCache>
            </c:numRef>
          </c:xVal>
          <c:yVal>
            <c:numRef>
              <c:f>'Air Temp'!$B$12:$P$12</c:f>
              <c:numCache>
                <c:formatCode>#,##0.0</c:formatCode>
                <c:ptCount val="15"/>
                <c:pt idx="0">
                  <c:v>4.2</c:v>
                </c:pt>
                <c:pt idx="1">
                  <c:v>4</c:v>
                </c:pt>
                <c:pt idx="2">
                  <c:v>8.1</c:v>
                </c:pt>
                <c:pt idx="3">
                  <c:v>10.199999999999999</c:v>
                </c:pt>
                <c:pt idx="4">
                  <c:v>15.9</c:v>
                </c:pt>
                <c:pt idx="5">
                  <c:v>20</c:v>
                </c:pt>
                <c:pt idx="6">
                  <c:v>23.2</c:v>
                </c:pt>
                <c:pt idx="7">
                  <c:v>21.2</c:v>
                </c:pt>
                <c:pt idx="8">
                  <c:v>23</c:v>
                </c:pt>
                <c:pt idx="9">
                  <c:v>23.3</c:v>
                </c:pt>
                <c:pt idx="10">
                  <c:v>20.8</c:v>
                </c:pt>
                <c:pt idx="11">
                  <c:v>18.7</c:v>
                </c:pt>
                <c:pt idx="12">
                  <c:v>11.7</c:v>
                </c:pt>
                <c:pt idx="13">
                  <c:v>9.1</c:v>
                </c:pt>
                <c:pt idx="14">
                  <c:v>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A35-4681-AA90-5F59D8F1281D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19050" cap="rnd">
                <a:solidFill>
                  <a:schemeClr val="accent4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4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'Air Temp'!$B$6:$P$6</c:f>
              <c:numCache>
                <c:formatCode>#,##0.0</c:formatCode>
                <c:ptCount val="15"/>
                <c:pt idx="0">
                  <c:v>8</c:v>
                </c:pt>
                <c:pt idx="1">
                  <c:v>-3</c:v>
                </c:pt>
                <c:pt idx="2">
                  <c:v>14</c:v>
                </c:pt>
                <c:pt idx="3">
                  <c:v>16.5</c:v>
                </c:pt>
                <c:pt idx="4">
                  <c:v>16.7</c:v>
                </c:pt>
                <c:pt idx="5">
                  <c:v>24</c:v>
                </c:pt>
                <c:pt idx="6">
                  <c:v>35</c:v>
                </c:pt>
                <c:pt idx="7">
                  <c:v>30.4</c:v>
                </c:pt>
                <c:pt idx="8">
                  <c:v>33.5</c:v>
                </c:pt>
                <c:pt idx="9">
                  <c:v>29.1</c:v>
                </c:pt>
                <c:pt idx="10">
                  <c:v>37.700000000000003</c:v>
                </c:pt>
                <c:pt idx="11">
                  <c:v>23</c:v>
                </c:pt>
                <c:pt idx="12">
                  <c:v>11.9</c:v>
                </c:pt>
                <c:pt idx="13">
                  <c:v>13.8</c:v>
                </c:pt>
                <c:pt idx="14">
                  <c:v>13.4</c:v>
                </c:pt>
              </c:numCache>
            </c:numRef>
          </c:xVal>
          <c:yVal>
            <c:numRef>
              <c:f>'Air Temp'!$B$13:$P$13</c:f>
              <c:numCache>
                <c:formatCode>#,##0.0</c:formatCode>
                <c:ptCount val="15"/>
                <c:pt idx="0">
                  <c:v>3.3</c:v>
                </c:pt>
                <c:pt idx="1">
                  <c:v>2.4</c:v>
                </c:pt>
                <c:pt idx="2">
                  <c:v>7.4</c:v>
                </c:pt>
                <c:pt idx="3">
                  <c:v>11</c:v>
                </c:pt>
                <c:pt idx="4">
                  <c:v>16.600000000000001</c:v>
                </c:pt>
                <c:pt idx="5">
                  <c:v>19.8</c:v>
                </c:pt>
                <c:pt idx="6">
                  <c:v>23.1</c:v>
                </c:pt>
                <c:pt idx="7">
                  <c:v>22.5</c:v>
                </c:pt>
                <c:pt idx="8">
                  <c:v>23</c:v>
                </c:pt>
                <c:pt idx="9">
                  <c:v>20</c:v>
                </c:pt>
                <c:pt idx="10">
                  <c:v>20.3</c:v>
                </c:pt>
                <c:pt idx="11">
                  <c:v>14.5</c:v>
                </c:pt>
                <c:pt idx="12">
                  <c:v>7.8</c:v>
                </c:pt>
                <c:pt idx="13">
                  <c:v>8.9</c:v>
                </c:pt>
                <c:pt idx="14">
                  <c:v>4.4000000000000004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A35-4681-AA90-5F59D8F12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765848"/>
        <c:axId val="568757648"/>
      </c:scatterChart>
      <c:valAx>
        <c:axId val="568765848"/>
        <c:scaling>
          <c:orientation val="minMax"/>
          <c:min val="-5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 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57648"/>
        <c:crossesAt val="-5"/>
        <c:crossBetween val="midCat"/>
      </c:valAx>
      <c:valAx>
        <c:axId val="56875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65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 vs Reservoir Temperature, </a:t>
            </a:r>
            <a:r>
              <a:rPr lang="en-US" baseline="30000"/>
              <a:t>o</a:t>
            </a:r>
            <a:r>
              <a:rPr lang="en-US"/>
              <a:t>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'Air Temp'!$B$1:$P$1</c:f>
              <c:strCache>
                <c:ptCount val="15"/>
                <c:pt idx="0">
                  <c:v>Air Temperature, oC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8494597550306211"/>
                  <c:y val="-1.893518518518520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'Air Temp'!$B$7:$P$7</c:f>
              <c:numCache>
                <c:formatCode>#,##0.0</c:formatCode>
                <c:ptCount val="15"/>
                <c:pt idx="0">
                  <c:v>6.8</c:v>
                </c:pt>
                <c:pt idx="1">
                  <c:v>-4.8</c:v>
                </c:pt>
                <c:pt idx="2">
                  <c:v>10.6</c:v>
                </c:pt>
                <c:pt idx="3">
                  <c:v>13.5</c:v>
                </c:pt>
                <c:pt idx="4">
                  <c:v>19.5</c:v>
                </c:pt>
                <c:pt idx="5">
                  <c:v>28.3</c:v>
                </c:pt>
                <c:pt idx="6">
                  <c:v>27</c:v>
                </c:pt>
                <c:pt idx="7">
                  <c:v>29.4</c:v>
                </c:pt>
                <c:pt idx="8">
                  <c:v>24.3</c:v>
                </c:pt>
                <c:pt idx="9">
                  <c:v>22.7</c:v>
                </c:pt>
                <c:pt idx="10">
                  <c:v>29.2</c:v>
                </c:pt>
                <c:pt idx="11">
                  <c:v>15</c:v>
                </c:pt>
                <c:pt idx="12">
                  <c:v>8</c:v>
                </c:pt>
                <c:pt idx="13">
                  <c:v>12.5</c:v>
                </c:pt>
                <c:pt idx="14">
                  <c:v>8.9</c:v>
                </c:pt>
              </c:numCache>
            </c:numRef>
          </c:xVal>
          <c:yVal>
            <c:numRef>
              <c:f>'Air Temp'!$B$15:$P$15</c:f>
              <c:numCache>
                <c:formatCode>#,##0.0</c:formatCode>
                <c:ptCount val="15"/>
                <c:pt idx="0">
                  <c:v>4.3</c:v>
                </c:pt>
                <c:pt idx="1">
                  <c:v>2.9</c:v>
                </c:pt>
                <c:pt idx="2">
                  <c:v>6.9</c:v>
                </c:pt>
                <c:pt idx="3">
                  <c:v>9.5</c:v>
                </c:pt>
                <c:pt idx="4">
                  <c:v>16.100000000000001</c:v>
                </c:pt>
                <c:pt idx="5">
                  <c:v>18.2</c:v>
                </c:pt>
                <c:pt idx="6">
                  <c:v>23.1</c:v>
                </c:pt>
                <c:pt idx="7">
                  <c:v>24.2</c:v>
                </c:pt>
                <c:pt idx="8">
                  <c:v>22.5</c:v>
                </c:pt>
                <c:pt idx="9">
                  <c:v>22.7</c:v>
                </c:pt>
                <c:pt idx="10">
                  <c:v>19.5</c:v>
                </c:pt>
                <c:pt idx="11">
                  <c:v>18</c:v>
                </c:pt>
                <c:pt idx="12">
                  <c:v>10.9</c:v>
                </c:pt>
                <c:pt idx="13">
                  <c:v>8.9</c:v>
                </c:pt>
                <c:pt idx="14">
                  <c:v>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45-4684-BAE5-E68B2E9EC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985728"/>
        <c:axId val="465980808"/>
      </c:scatterChart>
      <c:valAx>
        <c:axId val="465985728"/>
        <c:scaling>
          <c:orientation val="minMax"/>
          <c:max val="30"/>
          <c:min val="-5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 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980808"/>
        <c:crosses val="autoZero"/>
        <c:crossBetween val="midCat"/>
      </c:valAx>
      <c:valAx>
        <c:axId val="4659808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Reservoir at 1/2m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98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98756037848211"/>
          <c:y val="0.20875000000000005"/>
          <c:w val="0.81529411764705884"/>
          <c:h val="0.6283643190434529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'Air Temp'!$A$6</c:f>
              <c:strCache>
                <c:ptCount val="1"/>
                <c:pt idx="0">
                  <c:v>90- Wadsworth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9176465441819771"/>
                  <c:y val="-5.023439778361038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'Air Temp'!$B$6:$P$6</c:f>
              <c:numCache>
                <c:formatCode>#,##0.0</c:formatCode>
                <c:ptCount val="15"/>
                <c:pt idx="0">
                  <c:v>8</c:v>
                </c:pt>
                <c:pt idx="1">
                  <c:v>-3</c:v>
                </c:pt>
                <c:pt idx="2">
                  <c:v>14</c:v>
                </c:pt>
                <c:pt idx="3">
                  <c:v>16.5</c:v>
                </c:pt>
                <c:pt idx="4">
                  <c:v>16.7</c:v>
                </c:pt>
                <c:pt idx="5">
                  <c:v>24</c:v>
                </c:pt>
                <c:pt idx="6">
                  <c:v>35</c:v>
                </c:pt>
                <c:pt idx="7">
                  <c:v>30.4</c:v>
                </c:pt>
                <c:pt idx="8">
                  <c:v>33.5</c:v>
                </c:pt>
                <c:pt idx="9">
                  <c:v>29.1</c:v>
                </c:pt>
                <c:pt idx="10">
                  <c:v>37.700000000000003</c:v>
                </c:pt>
                <c:pt idx="11">
                  <c:v>23</c:v>
                </c:pt>
                <c:pt idx="12">
                  <c:v>11.9</c:v>
                </c:pt>
                <c:pt idx="13">
                  <c:v>13.8</c:v>
                </c:pt>
                <c:pt idx="14">
                  <c:v>13.4</c:v>
                </c:pt>
              </c:numCache>
            </c:numRef>
          </c:xVal>
          <c:yVal>
            <c:numRef>
              <c:f>'Air Temp'!$B$13:$P$13</c:f>
              <c:numCache>
                <c:formatCode>#,##0.0</c:formatCode>
                <c:ptCount val="15"/>
                <c:pt idx="0">
                  <c:v>3.3</c:v>
                </c:pt>
                <c:pt idx="1">
                  <c:v>2.4</c:v>
                </c:pt>
                <c:pt idx="2">
                  <c:v>7.4</c:v>
                </c:pt>
                <c:pt idx="3">
                  <c:v>11</c:v>
                </c:pt>
                <c:pt idx="4">
                  <c:v>16.600000000000001</c:v>
                </c:pt>
                <c:pt idx="5">
                  <c:v>19.8</c:v>
                </c:pt>
                <c:pt idx="6">
                  <c:v>23.1</c:v>
                </c:pt>
                <c:pt idx="7">
                  <c:v>22.5</c:v>
                </c:pt>
                <c:pt idx="8">
                  <c:v>23</c:v>
                </c:pt>
                <c:pt idx="9">
                  <c:v>20</c:v>
                </c:pt>
                <c:pt idx="10">
                  <c:v>20.3</c:v>
                </c:pt>
                <c:pt idx="11">
                  <c:v>14.5</c:v>
                </c:pt>
                <c:pt idx="12">
                  <c:v>7.8</c:v>
                </c:pt>
                <c:pt idx="13">
                  <c:v>8.9</c:v>
                </c:pt>
                <c:pt idx="14">
                  <c:v>4.4000000000000004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9E-4427-A1D8-7768661C1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798712"/>
        <c:axId val="455800024"/>
      </c:scatterChart>
      <c:valAx>
        <c:axId val="455798712"/>
        <c:scaling>
          <c:orientation val="minMax"/>
          <c:max val="40"/>
          <c:min val="-5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 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800024"/>
        <c:crosses val="autoZero"/>
        <c:crossBetween val="midCat"/>
      </c:valAx>
      <c:valAx>
        <c:axId val="45580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Stream 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98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BCR Specific Conductance Average 1/2-2 meters </a:t>
            </a:r>
          </a:p>
        </c:rich>
      </c:tx>
      <c:layout>
        <c:manualLayout>
          <c:xMode val="edge"/>
          <c:yMode val="edge"/>
          <c:x val="0.27253815239736856"/>
          <c:y val="1.749525768310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Conductance!$A$7</c:f>
              <c:strCache>
                <c:ptCount val="1"/>
                <c:pt idx="0">
                  <c:v>Site 40 Central Pool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Conductance!$B$2:$P$2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Conductance!$B$22:$P$22</c:f>
              <c:numCache>
                <c:formatCode>0.0</c:formatCode>
                <c:ptCount val="15"/>
                <c:pt idx="0">
                  <c:v>412.79999999999995</c:v>
                </c:pt>
                <c:pt idx="1">
                  <c:v>411.6</c:v>
                </c:pt>
                <c:pt idx="2">
                  <c:v>601.15</c:v>
                </c:pt>
                <c:pt idx="3">
                  <c:v>691.5</c:v>
                </c:pt>
                <c:pt idx="4">
                  <c:v>591.92499999999995</c:v>
                </c:pt>
                <c:pt idx="5">
                  <c:v>591.75</c:v>
                </c:pt>
                <c:pt idx="6">
                  <c:v>614.75</c:v>
                </c:pt>
                <c:pt idx="7">
                  <c:v>622.75</c:v>
                </c:pt>
                <c:pt idx="8">
                  <c:v>617.25</c:v>
                </c:pt>
                <c:pt idx="9">
                  <c:v>630</c:v>
                </c:pt>
                <c:pt idx="10">
                  <c:v>604</c:v>
                </c:pt>
                <c:pt idx="11">
                  <c:v>667.25</c:v>
                </c:pt>
                <c:pt idx="12">
                  <c:v>667.75</c:v>
                </c:pt>
                <c:pt idx="13">
                  <c:v>677</c:v>
                </c:pt>
                <c:pt idx="14">
                  <c:v>746.5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BC-4D69-ACE8-51068348639E}"/>
            </c:ext>
          </c:extLst>
        </c:ser>
        <c:ser>
          <c:idx val="1"/>
          <c:order val="1"/>
          <c:tx>
            <c:strRef>
              <c:f>Conductance!$A$24</c:f>
              <c:strCache>
                <c:ptCount val="1"/>
                <c:pt idx="0">
                  <c:v>Site 41- BC Outlet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Conductance!$B$2:$P$2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Conductance!$B$37:$P$37</c:f>
              <c:numCache>
                <c:formatCode>0.0</c:formatCode>
                <c:ptCount val="15"/>
                <c:pt idx="0">
                  <c:v>419.62499999999994</c:v>
                </c:pt>
                <c:pt idx="1">
                  <c:v>409.15</c:v>
                </c:pt>
                <c:pt idx="2">
                  <c:v>603.17499999999995</c:v>
                </c:pt>
                <c:pt idx="3">
                  <c:v>691.80000000000007</c:v>
                </c:pt>
                <c:pt idx="4">
                  <c:v>594.9</c:v>
                </c:pt>
                <c:pt idx="5">
                  <c:v>592.75</c:v>
                </c:pt>
                <c:pt idx="6">
                  <c:v>613.75</c:v>
                </c:pt>
                <c:pt idx="7">
                  <c:v>621.75</c:v>
                </c:pt>
                <c:pt idx="8">
                  <c:v>616.75</c:v>
                </c:pt>
                <c:pt idx="9">
                  <c:v>629</c:v>
                </c:pt>
                <c:pt idx="10">
                  <c:v>651.5</c:v>
                </c:pt>
                <c:pt idx="11">
                  <c:v>666</c:v>
                </c:pt>
                <c:pt idx="12">
                  <c:v>670.5</c:v>
                </c:pt>
                <c:pt idx="13">
                  <c:v>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BC-4D69-ACE8-51068348639E}"/>
            </c:ext>
          </c:extLst>
        </c:ser>
        <c:ser>
          <c:idx val="2"/>
          <c:order val="2"/>
          <c:tx>
            <c:strRef>
              <c:f>Conductance!$A$39</c:f>
              <c:strCache>
                <c:ptCount val="1"/>
                <c:pt idx="0">
                  <c:v>Site 42 - South Dam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Conductance!$B$2:$P$2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Conductance!$B$49:$P$49</c:f>
              <c:numCache>
                <c:formatCode>0.0</c:formatCode>
                <c:ptCount val="15"/>
                <c:pt idx="1">
                  <c:v>441.95</c:v>
                </c:pt>
                <c:pt idx="2">
                  <c:v>608.5</c:v>
                </c:pt>
                <c:pt idx="3">
                  <c:v>692.125</c:v>
                </c:pt>
                <c:pt idx="4">
                  <c:v>594.5</c:v>
                </c:pt>
                <c:pt idx="5">
                  <c:v>591.25</c:v>
                </c:pt>
                <c:pt idx="6">
                  <c:v>613.75</c:v>
                </c:pt>
                <c:pt idx="7">
                  <c:v>622.5</c:v>
                </c:pt>
                <c:pt idx="8">
                  <c:v>616.75</c:v>
                </c:pt>
                <c:pt idx="9">
                  <c:v>630</c:v>
                </c:pt>
                <c:pt idx="10">
                  <c:v>651</c:v>
                </c:pt>
                <c:pt idx="11">
                  <c:v>665.75</c:v>
                </c:pt>
                <c:pt idx="12">
                  <c:v>670</c:v>
                </c:pt>
                <c:pt idx="13">
                  <c:v>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BC-4D69-ACE8-510683486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536832"/>
        <c:axId val="114538368"/>
      </c:lineChart>
      <c:dateAx>
        <c:axId val="114536832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38368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14538368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3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100"/>
              <a:t>Bear Creek Reservoir Total Nitrogen [ug/l] Trend</a:t>
            </a:r>
          </a:p>
        </c:rich>
      </c:tx>
      <c:layout>
        <c:manualLayout>
          <c:xMode val="edge"/>
          <c:yMode val="edge"/>
          <c:x val="0.23845367507199255"/>
          <c:y val="4.6321843861031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519114688128479E-2"/>
          <c:y val="0.13001712679211971"/>
          <c:w val="0.89738430583491047"/>
          <c:h val="0.69293349275253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Trends'!$B$7</c:f>
              <c:strCache>
                <c:ptCount val="1"/>
                <c:pt idx="0">
                  <c:v>Top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'Annual Reservoir Trends'!$X$3:$AD$3</c:f>
              <c:numCache>
                <c:formatCode>0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'Annual Reservoir Trends'!$X$7:$AD$7</c:f>
              <c:numCache>
                <c:formatCode>0.0</c:formatCode>
                <c:ptCount val="7"/>
                <c:pt idx="0">
                  <c:v>491</c:v>
                </c:pt>
                <c:pt idx="1">
                  <c:v>782</c:v>
                </c:pt>
                <c:pt idx="2">
                  <c:v>677</c:v>
                </c:pt>
                <c:pt idx="3">
                  <c:v>926</c:v>
                </c:pt>
                <c:pt idx="4">
                  <c:v>759</c:v>
                </c:pt>
                <c:pt idx="5">
                  <c:v>746</c:v>
                </c:pt>
                <c:pt idx="6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77-471E-A673-49DDFEFAC85F}"/>
            </c:ext>
          </c:extLst>
        </c:ser>
        <c:ser>
          <c:idx val="1"/>
          <c:order val="1"/>
          <c:tx>
            <c:strRef>
              <c:f>'Annual Reservoir Trends'!$B$8</c:f>
              <c:strCache>
                <c:ptCount val="1"/>
                <c:pt idx="0">
                  <c:v>Bottom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'Annual Reservoir Trends'!$X$3:$AD$3</c:f>
              <c:numCache>
                <c:formatCode>0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'Annual Reservoir Trends'!$X$8:$AD$8</c:f>
              <c:numCache>
                <c:formatCode>0.0</c:formatCode>
                <c:ptCount val="7"/>
                <c:pt idx="0">
                  <c:v>516</c:v>
                </c:pt>
                <c:pt idx="1">
                  <c:v>721</c:v>
                </c:pt>
                <c:pt idx="2">
                  <c:v>728</c:v>
                </c:pt>
                <c:pt idx="3">
                  <c:v>929</c:v>
                </c:pt>
                <c:pt idx="4">
                  <c:v>799</c:v>
                </c:pt>
                <c:pt idx="5">
                  <c:v>795</c:v>
                </c:pt>
                <c:pt idx="6">
                  <c:v>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77-471E-A673-49DDFEFAC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6258816"/>
        <c:axId val="106260352"/>
      </c:barChart>
      <c:catAx>
        <c:axId val="106258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6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26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Watershed Specific Conductance Trends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42281031944691E-2"/>
          <c:y val="0.19550507455762639"/>
          <c:w val="0.91954891845512576"/>
          <c:h val="0.69732392037645252"/>
        </c:manualLayout>
      </c:layout>
      <c:lineChart>
        <c:grouping val="standard"/>
        <c:varyColors val="0"/>
        <c:ser>
          <c:idx val="1"/>
          <c:order val="0"/>
          <c:tx>
            <c:strRef>
              <c:f>Conductance!$A$3</c:f>
              <c:strCache>
                <c:ptCount val="1"/>
                <c:pt idx="0">
                  <c:v>16a-Turkey Creek Inflow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Conductance!$B$2:$P$2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Conductance!$B$3:$P$3</c:f>
              <c:numCache>
                <c:formatCode>0.0</c:formatCode>
                <c:ptCount val="15"/>
                <c:pt idx="0">
                  <c:v>1387</c:v>
                </c:pt>
                <c:pt idx="1">
                  <c:v>1323</c:v>
                </c:pt>
                <c:pt idx="2">
                  <c:v>1642</c:v>
                </c:pt>
                <c:pt idx="3">
                  <c:v>1355</c:v>
                </c:pt>
                <c:pt idx="4">
                  <c:v>997</c:v>
                </c:pt>
                <c:pt idx="5">
                  <c:v>1382</c:v>
                </c:pt>
                <c:pt idx="6">
                  <c:v>893</c:v>
                </c:pt>
                <c:pt idx="7">
                  <c:v>1028</c:v>
                </c:pt>
                <c:pt idx="8">
                  <c:v>2017</c:v>
                </c:pt>
                <c:pt idx="9">
                  <c:v>978</c:v>
                </c:pt>
                <c:pt idx="10">
                  <c:v>2075</c:v>
                </c:pt>
                <c:pt idx="11">
                  <c:v>1179</c:v>
                </c:pt>
                <c:pt idx="12">
                  <c:v>2088</c:v>
                </c:pt>
                <c:pt idx="13">
                  <c:v>1503</c:v>
                </c:pt>
                <c:pt idx="14">
                  <c:v>2020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7E-4B2E-9645-B75232296B87}"/>
            </c:ext>
          </c:extLst>
        </c:ser>
        <c:ser>
          <c:idx val="2"/>
          <c:order val="1"/>
          <c:tx>
            <c:strRef>
              <c:f>Conductance!$A$4</c:f>
              <c:strCache>
                <c:ptCount val="1"/>
                <c:pt idx="0">
                  <c:v>15a-Bear Creek Inflow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Conductance!$B$2:$P$2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Conductance!$B$4:$P$4</c:f>
              <c:numCache>
                <c:formatCode>0.0</c:formatCode>
                <c:ptCount val="15"/>
                <c:pt idx="0">
                  <c:v>320.5</c:v>
                </c:pt>
                <c:pt idx="1">
                  <c:v>335.5</c:v>
                </c:pt>
                <c:pt idx="2">
                  <c:v>441.6</c:v>
                </c:pt>
                <c:pt idx="3">
                  <c:v>409.5</c:v>
                </c:pt>
                <c:pt idx="4">
                  <c:v>296.2</c:v>
                </c:pt>
                <c:pt idx="5">
                  <c:v>335.8</c:v>
                </c:pt>
                <c:pt idx="6">
                  <c:v>492.6</c:v>
                </c:pt>
                <c:pt idx="7">
                  <c:v>292.39999999999998</c:v>
                </c:pt>
                <c:pt idx="8">
                  <c:v>446.1</c:v>
                </c:pt>
                <c:pt idx="9">
                  <c:v>433</c:v>
                </c:pt>
                <c:pt idx="10">
                  <c:v>267.5</c:v>
                </c:pt>
                <c:pt idx="11">
                  <c:v>336.6</c:v>
                </c:pt>
                <c:pt idx="12">
                  <c:v>329.3</c:v>
                </c:pt>
                <c:pt idx="13">
                  <c:v>372.1</c:v>
                </c:pt>
                <c:pt idx="14">
                  <c:v>546.70000000000005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7E-4B2E-9645-B75232296B87}"/>
            </c:ext>
          </c:extLst>
        </c:ser>
        <c:ser>
          <c:idx val="3"/>
          <c:order val="2"/>
          <c:tx>
            <c:strRef>
              <c:f>Conductance!$A$23</c:f>
              <c:strCache>
                <c:ptCount val="1"/>
                <c:pt idx="0">
                  <c:v>BCR Site 40 Profile Average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Conductance!$B$2:$P$2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Conductance!$B$23:$P$23</c:f>
              <c:numCache>
                <c:formatCode>0.0</c:formatCode>
                <c:ptCount val="15"/>
                <c:pt idx="0">
                  <c:v>551.79999999999995</c:v>
                </c:pt>
                <c:pt idx="1">
                  <c:v>628.23076923076928</c:v>
                </c:pt>
                <c:pt idx="2">
                  <c:v>650.2285714285714</c:v>
                </c:pt>
                <c:pt idx="3">
                  <c:v>692.2928571428572</c:v>
                </c:pt>
                <c:pt idx="4">
                  <c:v>656.15714285714296</c:v>
                </c:pt>
                <c:pt idx="5">
                  <c:v>592.57142857142856</c:v>
                </c:pt>
                <c:pt idx="6">
                  <c:v>614.71428571428567</c:v>
                </c:pt>
                <c:pt idx="7">
                  <c:v>624.92857142857144</c:v>
                </c:pt>
                <c:pt idx="8">
                  <c:v>619.5</c:v>
                </c:pt>
                <c:pt idx="9">
                  <c:v>633.5</c:v>
                </c:pt>
                <c:pt idx="10">
                  <c:v>618.57142857142856</c:v>
                </c:pt>
                <c:pt idx="11">
                  <c:v>666.76923076923072</c:v>
                </c:pt>
                <c:pt idx="12">
                  <c:v>669.69230769230774</c:v>
                </c:pt>
                <c:pt idx="13">
                  <c:v>677.23076923076928</c:v>
                </c:pt>
                <c:pt idx="14">
                  <c:v>742.875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7E-4B2E-9645-B75232296B87}"/>
            </c:ext>
          </c:extLst>
        </c:ser>
        <c:ser>
          <c:idx val="0"/>
          <c:order val="3"/>
          <c:tx>
            <c:strRef>
              <c:f>Conductance!$A$5</c:f>
              <c:strCache>
                <c:ptCount val="1"/>
                <c:pt idx="0">
                  <c:v>45-Bear Creek Discharge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Conductance!$B$2:$P$2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Conductance!$B$5:$P$5</c:f>
              <c:numCache>
                <c:formatCode>0.0</c:formatCode>
                <c:ptCount val="15"/>
                <c:pt idx="0">
                  <c:v>425.9</c:v>
                </c:pt>
                <c:pt idx="1">
                  <c:v>445.2</c:v>
                </c:pt>
                <c:pt idx="2">
                  <c:v>609.4</c:v>
                </c:pt>
                <c:pt idx="3">
                  <c:v>693.5</c:v>
                </c:pt>
                <c:pt idx="4">
                  <c:v>593.79999999999995</c:v>
                </c:pt>
                <c:pt idx="5">
                  <c:v>594</c:v>
                </c:pt>
                <c:pt idx="6">
                  <c:v>616</c:v>
                </c:pt>
                <c:pt idx="7">
                  <c:v>665</c:v>
                </c:pt>
                <c:pt idx="8">
                  <c:v>622</c:v>
                </c:pt>
                <c:pt idx="9">
                  <c:v>632</c:v>
                </c:pt>
                <c:pt idx="10">
                  <c:v>651</c:v>
                </c:pt>
                <c:pt idx="11">
                  <c:v>670</c:v>
                </c:pt>
                <c:pt idx="12">
                  <c:v>671</c:v>
                </c:pt>
                <c:pt idx="13">
                  <c:v>679.8</c:v>
                </c:pt>
                <c:pt idx="14">
                  <c:v>756.4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7E-4B2E-9645-B75232296B87}"/>
            </c:ext>
          </c:extLst>
        </c:ser>
        <c:ser>
          <c:idx val="4"/>
          <c:order val="4"/>
          <c:tx>
            <c:strRef>
              <c:f>Conductance!$A$6</c:f>
              <c:strCache>
                <c:ptCount val="1"/>
                <c:pt idx="0">
                  <c:v>90-Wadsworth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Conductance!$B$2:$P$2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Conductance!$B$6:$P$6</c:f>
              <c:numCache>
                <c:formatCode>0.0</c:formatCode>
                <c:ptCount val="15"/>
                <c:pt idx="0">
                  <c:v>484.1</c:v>
                </c:pt>
                <c:pt idx="1">
                  <c:v>553.70000000000005</c:v>
                </c:pt>
                <c:pt idx="2">
                  <c:v>824</c:v>
                </c:pt>
                <c:pt idx="3">
                  <c:v>828</c:v>
                </c:pt>
                <c:pt idx="4">
                  <c:v>626.70000000000005</c:v>
                </c:pt>
                <c:pt idx="5">
                  <c:v>738</c:v>
                </c:pt>
                <c:pt idx="6">
                  <c:v>789</c:v>
                </c:pt>
                <c:pt idx="7">
                  <c:v>733</c:v>
                </c:pt>
                <c:pt idx="8">
                  <c:v>776</c:v>
                </c:pt>
                <c:pt idx="9">
                  <c:v>816</c:v>
                </c:pt>
                <c:pt idx="10">
                  <c:v>811</c:v>
                </c:pt>
                <c:pt idx="11">
                  <c:v>861</c:v>
                </c:pt>
                <c:pt idx="12">
                  <c:v>839</c:v>
                </c:pt>
                <c:pt idx="13">
                  <c:v>796</c:v>
                </c:pt>
                <c:pt idx="14">
                  <c:v>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C4-4F20-A8C9-F800027CA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470912"/>
        <c:axId val="114472448"/>
      </c:lineChart>
      <c:dateAx>
        <c:axId val="114470912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472448"/>
        <c:crosses val="autoZero"/>
        <c:auto val="1"/>
        <c:lblOffset val="100"/>
        <c:baseTimeUnit val="days"/>
        <c:majorUnit val="31"/>
        <c:majorTimeUnit val="days"/>
        <c:minorUnit val="1"/>
        <c:minorTimeUnit val="days"/>
      </c:dateAx>
      <c:valAx>
        <c:axId val="114472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470912"/>
        <c:crossesAt val="42744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Bear Creek Watershed pH Trends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pH!$A$3</c:f>
              <c:strCache>
                <c:ptCount val="1"/>
                <c:pt idx="0">
                  <c:v>16a-Turkey Creek Inflow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pH!$B$2:$O$2</c:f>
              <c:numCache>
                <c:formatCode>[$-409]d\-mmm;@</c:formatCode>
                <c:ptCount val="14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</c:numCache>
            </c:numRef>
          </c:cat>
          <c:val>
            <c:numRef>
              <c:f>pH!$B$3:$O$3</c:f>
              <c:numCache>
                <c:formatCode>0.00</c:formatCode>
                <c:ptCount val="14"/>
                <c:pt idx="0">
                  <c:v>8.19</c:v>
                </c:pt>
                <c:pt idx="1">
                  <c:v>8.1999999999999993</c:v>
                </c:pt>
                <c:pt idx="2">
                  <c:v>8.07</c:v>
                </c:pt>
                <c:pt idx="3">
                  <c:v>8.1999999999999993</c:v>
                </c:pt>
                <c:pt idx="4">
                  <c:v>8.3000000000000007</c:v>
                </c:pt>
                <c:pt idx="5">
                  <c:v>7.95</c:v>
                </c:pt>
                <c:pt idx="6">
                  <c:v>8.2799999999999994</c:v>
                </c:pt>
                <c:pt idx="7">
                  <c:v>8.58</c:v>
                </c:pt>
                <c:pt idx="8">
                  <c:v>8.0299999999999994</c:v>
                </c:pt>
                <c:pt idx="9">
                  <c:v>8.5299999999999994</c:v>
                </c:pt>
                <c:pt idx="10">
                  <c:v>8.23</c:v>
                </c:pt>
                <c:pt idx="11">
                  <c:v>8.35</c:v>
                </c:pt>
                <c:pt idx="12">
                  <c:v>8.26</c:v>
                </c:pt>
                <c:pt idx="13">
                  <c:v>7.99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FC-40A3-B598-A2F8DFE29C76}"/>
            </c:ext>
          </c:extLst>
        </c:ser>
        <c:ser>
          <c:idx val="4"/>
          <c:order val="1"/>
          <c:tx>
            <c:strRef>
              <c:f>pH!$A$4</c:f>
              <c:strCache>
                <c:ptCount val="1"/>
                <c:pt idx="0">
                  <c:v>15a-Bear Creek Inflow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pH!$B$2:$O$2</c:f>
              <c:numCache>
                <c:formatCode>[$-409]d\-mmm;@</c:formatCode>
                <c:ptCount val="14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</c:numCache>
            </c:numRef>
          </c:cat>
          <c:val>
            <c:numRef>
              <c:f>pH!$B$4:$O$4</c:f>
              <c:numCache>
                <c:formatCode>0.00</c:formatCode>
                <c:ptCount val="14"/>
                <c:pt idx="0">
                  <c:v>8.1300000000000008</c:v>
                </c:pt>
                <c:pt idx="1">
                  <c:v>8.18</c:v>
                </c:pt>
                <c:pt idx="2">
                  <c:v>8.42</c:v>
                </c:pt>
                <c:pt idx="3">
                  <c:v>8.5</c:v>
                </c:pt>
                <c:pt idx="4">
                  <c:v>8.3800000000000008</c:v>
                </c:pt>
                <c:pt idx="5">
                  <c:v>8.25</c:v>
                </c:pt>
                <c:pt idx="6">
                  <c:v>8.26</c:v>
                </c:pt>
                <c:pt idx="7">
                  <c:v>8.23</c:v>
                </c:pt>
                <c:pt idx="8">
                  <c:v>8.19</c:v>
                </c:pt>
                <c:pt idx="9">
                  <c:v>8.2899999999999991</c:v>
                </c:pt>
                <c:pt idx="10">
                  <c:v>8.5</c:v>
                </c:pt>
                <c:pt idx="11">
                  <c:v>8.18</c:v>
                </c:pt>
                <c:pt idx="12">
                  <c:v>8.2899999999999991</c:v>
                </c:pt>
                <c:pt idx="13">
                  <c:v>8.15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FC-40A3-B598-A2F8DFE29C76}"/>
            </c:ext>
          </c:extLst>
        </c:ser>
        <c:ser>
          <c:idx val="3"/>
          <c:order val="2"/>
          <c:tx>
            <c:strRef>
              <c:f>pH!$A$24</c:f>
              <c:strCache>
                <c:ptCount val="1"/>
                <c:pt idx="0">
                  <c:v>BCR Site 40 Profile Average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pH!$B$2:$O$2</c:f>
              <c:numCache>
                <c:formatCode>[$-409]d\-mmm;@</c:formatCode>
                <c:ptCount val="14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</c:numCache>
            </c:numRef>
          </c:cat>
          <c:val>
            <c:numRef>
              <c:f>pH!$B$24:$O$24</c:f>
              <c:numCache>
                <c:formatCode>0.00</c:formatCode>
                <c:ptCount val="14"/>
                <c:pt idx="0">
                  <c:v>8.237857142857143</c:v>
                </c:pt>
                <c:pt idx="1">
                  <c:v>8.1292857142857144</c:v>
                </c:pt>
                <c:pt idx="2">
                  <c:v>7.9728571428571442</c:v>
                </c:pt>
                <c:pt idx="3">
                  <c:v>8.0014285714285727</c:v>
                </c:pt>
                <c:pt idx="4">
                  <c:v>8.1528571428571421</c:v>
                </c:pt>
                <c:pt idx="5">
                  <c:v>7.8614285714285712</c:v>
                </c:pt>
                <c:pt idx="6">
                  <c:v>7.8928571428571432</c:v>
                </c:pt>
                <c:pt idx="7">
                  <c:v>8.1071428571428559</c:v>
                </c:pt>
                <c:pt idx="8">
                  <c:v>8.2878571428571437</c:v>
                </c:pt>
                <c:pt idx="9">
                  <c:v>8.4828571428571404</c:v>
                </c:pt>
                <c:pt idx="10">
                  <c:v>8.1449999999999996</c:v>
                </c:pt>
                <c:pt idx="11">
                  <c:v>8.2292307692307691</c:v>
                </c:pt>
                <c:pt idx="12">
                  <c:v>8.1946153846153855</c:v>
                </c:pt>
                <c:pt idx="13">
                  <c:v>8.1369230769230789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FC-40A3-B598-A2F8DFE29C76}"/>
            </c:ext>
          </c:extLst>
        </c:ser>
        <c:ser>
          <c:idx val="2"/>
          <c:order val="3"/>
          <c:tx>
            <c:strRef>
              <c:f>pH!$A$5</c:f>
              <c:strCache>
                <c:ptCount val="1"/>
                <c:pt idx="0">
                  <c:v>45-Bear Creek Discharge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pH!$B$2:$O$2</c:f>
              <c:numCache>
                <c:formatCode>[$-409]d\-mmm;@</c:formatCode>
                <c:ptCount val="14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</c:numCache>
            </c:numRef>
          </c:cat>
          <c:val>
            <c:numRef>
              <c:f>pH!$B$5:$O$5</c:f>
              <c:numCache>
                <c:formatCode>0.00</c:formatCode>
                <c:ptCount val="14"/>
                <c:pt idx="0">
                  <c:v>8.23</c:v>
                </c:pt>
                <c:pt idx="1">
                  <c:v>8.42</c:v>
                </c:pt>
                <c:pt idx="2">
                  <c:v>8.09</c:v>
                </c:pt>
                <c:pt idx="3">
                  <c:v>8.49</c:v>
                </c:pt>
                <c:pt idx="4">
                  <c:v>8.31</c:v>
                </c:pt>
                <c:pt idx="5">
                  <c:v>8.4</c:v>
                </c:pt>
                <c:pt idx="6">
                  <c:v>8</c:v>
                </c:pt>
                <c:pt idx="7">
                  <c:v>8</c:v>
                </c:pt>
                <c:pt idx="8">
                  <c:v>8.4600000000000009</c:v>
                </c:pt>
                <c:pt idx="9">
                  <c:v>8.39</c:v>
                </c:pt>
                <c:pt idx="10">
                  <c:v>8.32</c:v>
                </c:pt>
                <c:pt idx="11">
                  <c:v>8.9</c:v>
                </c:pt>
                <c:pt idx="12">
                  <c:v>8.68</c:v>
                </c:pt>
                <c:pt idx="13">
                  <c:v>8.5500000000000007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FC-40A3-B598-A2F8DFE29C76}"/>
            </c:ext>
          </c:extLst>
        </c:ser>
        <c:ser>
          <c:idx val="1"/>
          <c:order val="4"/>
          <c:tx>
            <c:strRef>
              <c:f>pH!$A$6</c:f>
              <c:strCache>
                <c:ptCount val="1"/>
                <c:pt idx="0">
                  <c:v>90-Wadsworth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pH!$B$2:$O$2</c:f>
              <c:numCache>
                <c:formatCode>[$-409]d\-mmm;@</c:formatCode>
                <c:ptCount val="14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</c:numCache>
            </c:numRef>
          </c:cat>
          <c:val>
            <c:numRef>
              <c:f>pH!$B$6:$O$6</c:f>
              <c:numCache>
                <c:formatCode>0.00</c:formatCode>
                <c:ptCount val="14"/>
                <c:pt idx="0">
                  <c:v>7.89</c:v>
                </c:pt>
                <c:pt idx="1">
                  <c:v>8.0399999999999991</c:v>
                </c:pt>
                <c:pt idx="2">
                  <c:v>7.96</c:v>
                </c:pt>
                <c:pt idx="3">
                  <c:v>8.2100000000000009</c:v>
                </c:pt>
                <c:pt idx="4">
                  <c:v>7.92</c:v>
                </c:pt>
                <c:pt idx="5">
                  <c:v>8.1</c:v>
                </c:pt>
                <c:pt idx="6">
                  <c:v>8.01</c:v>
                </c:pt>
                <c:pt idx="7">
                  <c:v>8.15</c:v>
                </c:pt>
                <c:pt idx="8">
                  <c:v>8.42</c:v>
                </c:pt>
                <c:pt idx="9">
                  <c:v>8.3699999999999992</c:v>
                </c:pt>
                <c:pt idx="10">
                  <c:v>8.26</c:v>
                </c:pt>
                <c:pt idx="11">
                  <c:v>8.36</c:v>
                </c:pt>
                <c:pt idx="12">
                  <c:v>8.2899999999999991</c:v>
                </c:pt>
                <c:pt idx="13">
                  <c:v>8.24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F-493D-9670-2EA3508BD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679808"/>
        <c:axId val="114681344"/>
      </c:lineChart>
      <c:dateAx>
        <c:axId val="114679808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81344"/>
        <c:crosses val="autoZero"/>
        <c:auto val="0"/>
        <c:lblOffset val="100"/>
        <c:baseTimeUnit val="days"/>
        <c:majorUnit val="30"/>
        <c:majorTimeUnit val="days"/>
        <c:minorUnit val="1"/>
        <c:minorTimeUnit val="days"/>
      </c:dateAx>
      <c:valAx>
        <c:axId val="114681344"/>
        <c:scaling>
          <c:orientation val="minMax"/>
          <c:max val="9"/>
          <c:min val="7.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79808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BCR pH Average 1/2-2 Meters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pH!$A$7</c:f>
              <c:strCache>
                <c:ptCount val="1"/>
                <c:pt idx="0">
                  <c:v>Site 40 Central Pool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pH!$B$2:$O$2</c:f>
              <c:numCache>
                <c:formatCode>[$-409]d\-mmm;@</c:formatCode>
                <c:ptCount val="14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</c:numCache>
            </c:numRef>
          </c:cat>
          <c:val>
            <c:numRef>
              <c:f>pH!$B$23:$O$23</c:f>
              <c:numCache>
                <c:formatCode>0.00</c:formatCode>
                <c:ptCount val="14"/>
                <c:pt idx="0">
                  <c:v>8.3849999999999998</c:v>
                </c:pt>
                <c:pt idx="1">
                  <c:v>8.245000000000001</c:v>
                </c:pt>
                <c:pt idx="2">
                  <c:v>8.1199999999999992</c:v>
                </c:pt>
                <c:pt idx="3">
                  <c:v>8.0925000000000011</c:v>
                </c:pt>
                <c:pt idx="4">
                  <c:v>8.4124999999999996</c:v>
                </c:pt>
                <c:pt idx="5">
                  <c:v>7.9350000000000005</c:v>
                </c:pt>
                <c:pt idx="6">
                  <c:v>8.0025000000000013</c:v>
                </c:pt>
                <c:pt idx="7">
                  <c:v>8.2074999999999996</c:v>
                </c:pt>
                <c:pt idx="8">
                  <c:v>8.4025000000000016</c:v>
                </c:pt>
                <c:pt idx="9">
                  <c:v>8.5549999999999997</c:v>
                </c:pt>
                <c:pt idx="10">
                  <c:v>8.2674999999999983</c:v>
                </c:pt>
                <c:pt idx="11">
                  <c:v>8.24</c:v>
                </c:pt>
                <c:pt idx="12">
                  <c:v>8.2449999999999992</c:v>
                </c:pt>
                <c:pt idx="13">
                  <c:v>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0B-4A66-A230-E06D23E4E04F}"/>
            </c:ext>
          </c:extLst>
        </c:ser>
        <c:ser>
          <c:idx val="1"/>
          <c:order val="1"/>
          <c:tx>
            <c:strRef>
              <c:f>pH!$A$25</c:f>
              <c:strCache>
                <c:ptCount val="1"/>
                <c:pt idx="0">
                  <c:v>Site 41- BC Outlet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pH!$B$38:$O$38</c:f>
              <c:numCache>
                <c:formatCode>0.00</c:formatCode>
                <c:ptCount val="14"/>
                <c:pt idx="0">
                  <c:v>8.067499999999999</c:v>
                </c:pt>
                <c:pt idx="1">
                  <c:v>8.2249999999999996</c:v>
                </c:pt>
                <c:pt idx="2">
                  <c:v>7.91</c:v>
                </c:pt>
                <c:pt idx="3">
                  <c:v>7.96</c:v>
                </c:pt>
                <c:pt idx="4">
                  <c:v>8.25</c:v>
                </c:pt>
                <c:pt idx="5">
                  <c:v>7.8525</c:v>
                </c:pt>
                <c:pt idx="6">
                  <c:v>7.8075000000000001</c:v>
                </c:pt>
                <c:pt idx="7">
                  <c:v>8.0750000000000011</c:v>
                </c:pt>
                <c:pt idx="8">
                  <c:v>8.3800000000000008</c:v>
                </c:pt>
                <c:pt idx="9">
                  <c:v>8.5325000000000006</c:v>
                </c:pt>
                <c:pt idx="10">
                  <c:v>8.0675000000000008</c:v>
                </c:pt>
                <c:pt idx="11">
                  <c:v>8.32</c:v>
                </c:pt>
                <c:pt idx="12">
                  <c:v>8.27</c:v>
                </c:pt>
                <c:pt idx="13">
                  <c:v>8.1750000000000007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B-4A66-A230-E06D23E4E04F}"/>
            </c:ext>
          </c:extLst>
        </c:ser>
        <c:ser>
          <c:idx val="2"/>
          <c:order val="2"/>
          <c:tx>
            <c:strRef>
              <c:f>pH!$A$40</c:f>
              <c:strCache>
                <c:ptCount val="1"/>
                <c:pt idx="0">
                  <c:v>Site 42 - South Dam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pH!$B$50:$O$50</c:f>
              <c:numCache>
                <c:formatCode>0.00</c:formatCode>
                <c:ptCount val="14"/>
                <c:pt idx="1">
                  <c:v>8.3475000000000001</c:v>
                </c:pt>
                <c:pt idx="2">
                  <c:v>7.8674999999999997</c:v>
                </c:pt>
                <c:pt idx="3">
                  <c:v>7.91</c:v>
                </c:pt>
                <c:pt idx="4">
                  <c:v>8.3550000000000004</c:v>
                </c:pt>
                <c:pt idx="5">
                  <c:v>7.8025000000000002</c:v>
                </c:pt>
                <c:pt idx="6">
                  <c:v>7.8450000000000006</c:v>
                </c:pt>
                <c:pt idx="7">
                  <c:v>8.0075000000000003</c:v>
                </c:pt>
                <c:pt idx="8">
                  <c:v>8.4375</c:v>
                </c:pt>
                <c:pt idx="9">
                  <c:v>8.4750000000000014</c:v>
                </c:pt>
                <c:pt idx="10">
                  <c:v>7.9875000000000007</c:v>
                </c:pt>
                <c:pt idx="11">
                  <c:v>8.3349999999999991</c:v>
                </c:pt>
                <c:pt idx="12">
                  <c:v>8.3275000000000006</c:v>
                </c:pt>
                <c:pt idx="13">
                  <c:v>8.2000000000000011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0B-4A66-A230-E06D23E4E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245376"/>
        <c:axId val="108246912"/>
      </c:lineChart>
      <c:dateAx>
        <c:axId val="108245376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46912"/>
        <c:crosses val="autoZero"/>
        <c:auto val="1"/>
        <c:lblOffset val="100"/>
        <c:baseTimeUnit val="days"/>
        <c:majorUnit val="1"/>
        <c:majorTimeUnit val="months"/>
      </c:dateAx>
      <c:valAx>
        <c:axId val="108246912"/>
        <c:scaling>
          <c:orientation val="minMax"/>
          <c:max val="9"/>
          <c:min val="7.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4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BCR Dissolved Oxygen Average 1/2-2 Meters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Oxygen!$A$7</c:f>
              <c:strCache>
                <c:ptCount val="1"/>
                <c:pt idx="0">
                  <c:v>Site 40 Central Pool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Oxygen!$B$2:$O$2</c:f>
              <c:numCache>
                <c:formatCode>[$-409]d\-mmm;@</c:formatCode>
                <c:ptCount val="14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</c:numCache>
            </c:numRef>
          </c:cat>
          <c:val>
            <c:numRef>
              <c:f>Oxygen!$B$22:$O$22</c:f>
              <c:numCache>
                <c:formatCode>0.00</c:formatCode>
                <c:ptCount val="14"/>
                <c:pt idx="0">
                  <c:v>13.43</c:v>
                </c:pt>
                <c:pt idx="1">
                  <c:v>12.377500000000001</c:v>
                </c:pt>
                <c:pt idx="2">
                  <c:v>10.102499999999999</c:v>
                </c:pt>
                <c:pt idx="3">
                  <c:v>9.4625000000000004</c:v>
                </c:pt>
                <c:pt idx="4">
                  <c:v>10.25325</c:v>
                </c:pt>
                <c:pt idx="5">
                  <c:v>6.93</c:v>
                </c:pt>
                <c:pt idx="6">
                  <c:v>6.3650000000000002</c:v>
                </c:pt>
                <c:pt idx="7">
                  <c:v>7.0424999999999995</c:v>
                </c:pt>
                <c:pt idx="8">
                  <c:v>8.0424999999999986</c:v>
                </c:pt>
                <c:pt idx="9">
                  <c:v>7.9949999999999992</c:v>
                </c:pt>
                <c:pt idx="10">
                  <c:v>7.5125000000000002</c:v>
                </c:pt>
                <c:pt idx="11">
                  <c:v>7.56</c:v>
                </c:pt>
                <c:pt idx="12">
                  <c:v>8.5025000000000013</c:v>
                </c:pt>
                <c:pt idx="13">
                  <c:v>8.6774999999999984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0-449F-B9BB-DF42B4540E27}"/>
            </c:ext>
          </c:extLst>
        </c:ser>
        <c:ser>
          <c:idx val="1"/>
          <c:order val="1"/>
          <c:tx>
            <c:strRef>
              <c:f>Oxygen!$A$24</c:f>
              <c:strCache>
                <c:ptCount val="1"/>
                <c:pt idx="0">
                  <c:v>Site 41- BC Outlet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Oxygen!$B$37:$O$37</c:f>
              <c:numCache>
                <c:formatCode>0.00</c:formatCode>
                <c:ptCount val="14"/>
                <c:pt idx="0">
                  <c:v>12.852499999999999</c:v>
                </c:pt>
                <c:pt idx="1">
                  <c:v>12.2325</c:v>
                </c:pt>
                <c:pt idx="2">
                  <c:v>9.5349999999999984</c:v>
                </c:pt>
                <c:pt idx="3">
                  <c:v>8.7974999999999994</c:v>
                </c:pt>
                <c:pt idx="4">
                  <c:v>10.1975</c:v>
                </c:pt>
                <c:pt idx="5">
                  <c:v>6.36</c:v>
                </c:pt>
                <c:pt idx="6">
                  <c:v>5.8275000000000006</c:v>
                </c:pt>
                <c:pt idx="7">
                  <c:v>6.9475000000000007</c:v>
                </c:pt>
                <c:pt idx="8">
                  <c:v>8.7324999999999999</c:v>
                </c:pt>
                <c:pt idx="9">
                  <c:v>8.48</c:v>
                </c:pt>
                <c:pt idx="10">
                  <c:v>7.1624999999999996</c:v>
                </c:pt>
                <c:pt idx="11">
                  <c:v>6.6974999999999998</c:v>
                </c:pt>
                <c:pt idx="12">
                  <c:v>8.2650000000000006</c:v>
                </c:pt>
                <c:pt idx="13">
                  <c:v>8.8825000000000003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0-449F-B9BB-DF42B4540E27}"/>
            </c:ext>
          </c:extLst>
        </c:ser>
        <c:ser>
          <c:idx val="2"/>
          <c:order val="2"/>
          <c:tx>
            <c:strRef>
              <c:f>Oxygen!$A$39</c:f>
              <c:strCache>
                <c:ptCount val="1"/>
                <c:pt idx="0">
                  <c:v>Site 42 - South Dam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Oxygen!$B$49:$O$49</c:f>
              <c:numCache>
                <c:formatCode>0.00</c:formatCode>
                <c:ptCount val="14"/>
                <c:pt idx="1">
                  <c:v>12.664999999999999</c:v>
                </c:pt>
                <c:pt idx="2">
                  <c:v>9.245000000000001</c:v>
                </c:pt>
                <c:pt idx="3">
                  <c:v>8.8674999999999997</c:v>
                </c:pt>
                <c:pt idx="4">
                  <c:v>10.047499999999999</c:v>
                </c:pt>
                <c:pt idx="5">
                  <c:v>6.1474999999999991</c:v>
                </c:pt>
                <c:pt idx="6">
                  <c:v>5.9325000000000001</c:v>
                </c:pt>
                <c:pt idx="7">
                  <c:v>6.7925000000000004</c:v>
                </c:pt>
                <c:pt idx="8">
                  <c:v>8.6024999999999991</c:v>
                </c:pt>
                <c:pt idx="9">
                  <c:v>8.0250000000000004</c:v>
                </c:pt>
                <c:pt idx="10">
                  <c:v>6.6549999999999994</c:v>
                </c:pt>
                <c:pt idx="11">
                  <c:v>7.15</c:v>
                </c:pt>
                <c:pt idx="12">
                  <c:v>8.5625</c:v>
                </c:pt>
                <c:pt idx="13">
                  <c:v>9.0725000000000016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60-449F-B9BB-DF42B4540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000448"/>
        <c:axId val="115001984"/>
      </c:lineChart>
      <c:dateAx>
        <c:axId val="115000448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01984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115001984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00448"/>
        <c:crosses val="autoZero"/>
        <c:crossBetween val="between"/>
        <c:majorUnit val="2"/>
        <c:min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Dissolved Oxygen Trends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Oxygen!$A$3</c:f>
              <c:strCache>
                <c:ptCount val="1"/>
                <c:pt idx="0">
                  <c:v>16a-Turkey Creek Inflow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Oxygen!$B$2:$O$2</c:f>
              <c:numCache>
                <c:formatCode>[$-409]d\-mmm;@</c:formatCode>
                <c:ptCount val="14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</c:numCache>
            </c:numRef>
          </c:cat>
          <c:val>
            <c:numRef>
              <c:f>Oxygen!$B$3:$O$3</c:f>
              <c:numCache>
                <c:formatCode>0.00</c:formatCode>
                <c:ptCount val="14"/>
                <c:pt idx="0">
                  <c:v>12.62</c:v>
                </c:pt>
                <c:pt idx="1">
                  <c:v>12.1</c:v>
                </c:pt>
                <c:pt idx="2">
                  <c:v>11.16</c:v>
                </c:pt>
                <c:pt idx="3">
                  <c:v>12.23</c:v>
                </c:pt>
                <c:pt idx="4">
                  <c:v>11.2</c:v>
                </c:pt>
                <c:pt idx="5">
                  <c:v>8.7799999999999994</c:v>
                </c:pt>
                <c:pt idx="6">
                  <c:v>7.02</c:v>
                </c:pt>
                <c:pt idx="7">
                  <c:v>7.47</c:v>
                </c:pt>
                <c:pt idx="8">
                  <c:v>8.58</c:v>
                </c:pt>
                <c:pt idx="9">
                  <c:v>7.3</c:v>
                </c:pt>
                <c:pt idx="10">
                  <c:v>8.48</c:v>
                </c:pt>
                <c:pt idx="11">
                  <c:v>8.15</c:v>
                </c:pt>
                <c:pt idx="12">
                  <c:v>13.1</c:v>
                </c:pt>
                <c:pt idx="13">
                  <c:v>10.11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39-4B89-8404-E0903221767C}"/>
            </c:ext>
          </c:extLst>
        </c:ser>
        <c:ser>
          <c:idx val="1"/>
          <c:order val="1"/>
          <c:tx>
            <c:strRef>
              <c:f>Oxygen!$A$4</c:f>
              <c:strCache>
                <c:ptCount val="1"/>
                <c:pt idx="0">
                  <c:v>15a-Bear Creek Inflow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Oxygen!$B$4:$O$4</c:f>
              <c:numCache>
                <c:formatCode>0.00</c:formatCode>
                <c:ptCount val="14"/>
                <c:pt idx="0">
                  <c:v>11.05</c:v>
                </c:pt>
                <c:pt idx="1">
                  <c:v>8.44</c:v>
                </c:pt>
                <c:pt idx="2">
                  <c:v>10.51</c:v>
                </c:pt>
                <c:pt idx="3">
                  <c:v>10.58</c:v>
                </c:pt>
                <c:pt idx="4">
                  <c:v>8.39</c:v>
                </c:pt>
                <c:pt idx="5">
                  <c:v>7.48</c:v>
                </c:pt>
                <c:pt idx="6">
                  <c:v>7.49</c:v>
                </c:pt>
                <c:pt idx="7">
                  <c:v>8.02</c:v>
                </c:pt>
                <c:pt idx="8">
                  <c:v>8.0500000000000007</c:v>
                </c:pt>
                <c:pt idx="9">
                  <c:v>7.98</c:v>
                </c:pt>
                <c:pt idx="10">
                  <c:v>8.56</c:v>
                </c:pt>
                <c:pt idx="11">
                  <c:v>10.050000000000001</c:v>
                </c:pt>
                <c:pt idx="12">
                  <c:v>12.31</c:v>
                </c:pt>
                <c:pt idx="13">
                  <c:v>10.24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39-4B89-8404-E0903221767C}"/>
            </c:ext>
          </c:extLst>
        </c:ser>
        <c:ser>
          <c:idx val="3"/>
          <c:order val="2"/>
          <c:tx>
            <c:strRef>
              <c:f>Oxygen!$A$23</c:f>
              <c:strCache>
                <c:ptCount val="1"/>
                <c:pt idx="0">
                  <c:v>BCR Site 40 Profile Average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Oxygen!$B$23:$O$23</c:f>
              <c:numCache>
                <c:formatCode>0.00</c:formatCode>
                <c:ptCount val="14"/>
                <c:pt idx="0">
                  <c:v>10.99642857142857</c:v>
                </c:pt>
                <c:pt idx="1">
                  <c:v>9.1185714285714266</c:v>
                </c:pt>
                <c:pt idx="2">
                  <c:v>8.2035714285714274</c:v>
                </c:pt>
                <c:pt idx="3">
                  <c:v>8.9407142857142858</c:v>
                </c:pt>
                <c:pt idx="4">
                  <c:v>7.7859285714285722</c:v>
                </c:pt>
                <c:pt idx="5">
                  <c:v>5.8407142857142853</c:v>
                </c:pt>
                <c:pt idx="6">
                  <c:v>5.3121428571428577</c:v>
                </c:pt>
                <c:pt idx="7">
                  <c:v>5.8421428571428562</c:v>
                </c:pt>
                <c:pt idx="8">
                  <c:v>6.5435714285714282</c:v>
                </c:pt>
                <c:pt idx="9">
                  <c:v>6.339999999999999</c:v>
                </c:pt>
                <c:pt idx="10">
                  <c:v>6.1542857142857148</c:v>
                </c:pt>
                <c:pt idx="11">
                  <c:v>7.0907692307692312</c:v>
                </c:pt>
                <c:pt idx="12">
                  <c:v>8.1400000000000023</c:v>
                </c:pt>
                <c:pt idx="13">
                  <c:v>8.5292307692307681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39-4B89-8404-E0903221767C}"/>
            </c:ext>
          </c:extLst>
        </c:ser>
        <c:ser>
          <c:idx val="2"/>
          <c:order val="3"/>
          <c:tx>
            <c:strRef>
              <c:f>Oxygen!$A$5</c:f>
              <c:strCache>
                <c:ptCount val="1"/>
                <c:pt idx="0">
                  <c:v>45-Bear Creek Discharge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Oxygen!$B$5:$O$5</c:f>
              <c:numCache>
                <c:formatCode>0.00</c:formatCode>
                <c:ptCount val="14"/>
                <c:pt idx="0">
                  <c:v>12.06</c:v>
                </c:pt>
                <c:pt idx="1">
                  <c:v>9.75</c:v>
                </c:pt>
                <c:pt idx="2">
                  <c:v>10.75</c:v>
                </c:pt>
                <c:pt idx="3">
                  <c:v>9.7200000000000006</c:v>
                </c:pt>
                <c:pt idx="4">
                  <c:v>8.9</c:v>
                </c:pt>
                <c:pt idx="5">
                  <c:v>6.3</c:v>
                </c:pt>
                <c:pt idx="6">
                  <c:v>6.05</c:v>
                </c:pt>
                <c:pt idx="7">
                  <c:v>7.54</c:v>
                </c:pt>
                <c:pt idx="8">
                  <c:v>5.81</c:v>
                </c:pt>
                <c:pt idx="9">
                  <c:v>6.85</c:v>
                </c:pt>
                <c:pt idx="10">
                  <c:v>8.0399999999999991</c:v>
                </c:pt>
                <c:pt idx="11">
                  <c:v>9.32</c:v>
                </c:pt>
                <c:pt idx="12">
                  <c:v>10.19</c:v>
                </c:pt>
                <c:pt idx="13">
                  <c:v>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39-4B89-8404-E0903221767C}"/>
            </c:ext>
          </c:extLst>
        </c:ser>
        <c:ser>
          <c:idx val="4"/>
          <c:order val="4"/>
          <c:tx>
            <c:strRef>
              <c:f>Oxygen!$A$6</c:f>
              <c:strCache>
                <c:ptCount val="1"/>
                <c:pt idx="0">
                  <c:v>90-Wadsworth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Oxygen!$B$6:$O$6</c:f>
              <c:numCache>
                <c:formatCode>0.00</c:formatCode>
                <c:ptCount val="14"/>
                <c:pt idx="0">
                  <c:v>11.28</c:v>
                </c:pt>
                <c:pt idx="1">
                  <c:v>11.38</c:v>
                </c:pt>
                <c:pt idx="2">
                  <c:v>10.75</c:v>
                </c:pt>
                <c:pt idx="3">
                  <c:v>12.1</c:v>
                </c:pt>
                <c:pt idx="4">
                  <c:v>8.4</c:v>
                </c:pt>
                <c:pt idx="5">
                  <c:v>8.7100000000000009</c:v>
                </c:pt>
                <c:pt idx="6">
                  <c:v>9.7899999999999991</c:v>
                </c:pt>
                <c:pt idx="7">
                  <c:v>9.7100000000000009</c:v>
                </c:pt>
                <c:pt idx="8">
                  <c:v>11.11</c:v>
                </c:pt>
                <c:pt idx="9">
                  <c:v>10.86</c:v>
                </c:pt>
                <c:pt idx="10">
                  <c:v>10.29</c:v>
                </c:pt>
                <c:pt idx="11">
                  <c:v>11.24</c:v>
                </c:pt>
                <c:pt idx="12">
                  <c:v>11.35</c:v>
                </c:pt>
                <c:pt idx="13">
                  <c:v>11.63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1D-4364-BB97-C8FEBC5BD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032832"/>
        <c:axId val="115034368"/>
      </c:lineChart>
      <c:dateAx>
        <c:axId val="115032832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34368"/>
        <c:crosses val="autoZero"/>
        <c:auto val="1"/>
        <c:lblOffset val="100"/>
        <c:baseTimeUnit val="days"/>
        <c:majorUnit val="1"/>
        <c:majorTimeUnit val="months"/>
      </c:dateAx>
      <c:valAx>
        <c:axId val="115034368"/>
        <c:scaling>
          <c:orientation val="minMax"/>
          <c:max val="15"/>
          <c:min val="4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BCR Temperature C (0.5-2m)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'Temp DO Comp'!$A$4</c:f>
              <c:strCache>
                <c:ptCount val="1"/>
                <c:pt idx="0">
                  <c:v>site 40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'Temp DO Comp'!$B$2:$P$2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'Temp DO Comp'!$B$4:$P$4</c:f>
              <c:numCache>
                <c:formatCode>0.00</c:formatCode>
                <c:ptCount val="15"/>
                <c:pt idx="0">
                  <c:v>4.43</c:v>
                </c:pt>
                <c:pt idx="1">
                  <c:v>4.05</c:v>
                </c:pt>
                <c:pt idx="2">
                  <c:v>6.72</c:v>
                </c:pt>
                <c:pt idx="3">
                  <c:v>9.5299999999999994</c:v>
                </c:pt>
                <c:pt idx="4">
                  <c:v>15.63</c:v>
                </c:pt>
                <c:pt idx="5">
                  <c:v>18.93</c:v>
                </c:pt>
                <c:pt idx="6">
                  <c:v>22.78</c:v>
                </c:pt>
                <c:pt idx="7">
                  <c:v>23.45</c:v>
                </c:pt>
                <c:pt idx="8">
                  <c:v>22.2</c:v>
                </c:pt>
                <c:pt idx="9">
                  <c:v>22.5</c:v>
                </c:pt>
                <c:pt idx="10">
                  <c:v>19.45</c:v>
                </c:pt>
                <c:pt idx="11">
                  <c:v>18.079999999999998</c:v>
                </c:pt>
                <c:pt idx="12">
                  <c:v>10.84</c:v>
                </c:pt>
                <c:pt idx="13">
                  <c:v>8.9</c:v>
                </c:pt>
                <c:pt idx="14">
                  <c:v>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0E-414B-933A-BCA55D0D96CF}"/>
            </c:ext>
          </c:extLst>
        </c:ser>
        <c:ser>
          <c:idx val="1"/>
          <c:order val="1"/>
          <c:tx>
            <c:strRef>
              <c:f>'Temp DO Comp'!$A$5</c:f>
              <c:strCache>
                <c:ptCount val="1"/>
                <c:pt idx="0">
                  <c:v>Site 41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'Temp DO Comp'!$B$2:$P$2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'Temp DO Comp'!$B$5:$P$5</c:f>
              <c:numCache>
                <c:formatCode>0.00</c:formatCode>
                <c:ptCount val="15"/>
                <c:pt idx="0">
                  <c:v>4.3</c:v>
                </c:pt>
                <c:pt idx="1">
                  <c:v>3.55</c:v>
                </c:pt>
                <c:pt idx="2">
                  <c:v>7.08</c:v>
                </c:pt>
                <c:pt idx="3">
                  <c:v>9.5299999999999994</c:v>
                </c:pt>
                <c:pt idx="4">
                  <c:v>15.85</c:v>
                </c:pt>
                <c:pt idx="5">
                  <c:v>19.13</c:v>
                </c:pt>
                <c:pt idx="6">
                  <c:v>22.9</c:v>
                </c:pt>
                <c:pt idx="7">
                  <c:v>23.15</c:v>
                </c:pt>
                <c:pt idx="8">
                  <c:v>22.33</c:v>
                </c:pt>
                <c:pt idx="9">
                  <c:v>22.68</c:v>
                </c:pt>
                <c:pt idx="10">
                  <c:v>19.7</c:v>
                </c:pt>
                <c:pt idx="11">
                  <c:v>18.149999999999999</c:v>
                </c:pt>
                <c:pt idx="12">
                  <c:v>10.9</c:v>
                </c:pt>
                <c:pt idx="13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0E-414B-933A-BCA55D0D96CF}"/>
            </c:ext>
          </c:extLst>
        </c:ser>
        <c:ser>
          <c:idx val="2"/>
          <c:order val="2"/>
          <c:tx>
            <c:strRef>
              <c:f>'Temp DO Comp'!$A$6</c:f>
              <c:strCache>
                <c:ptCount val="1"/>
                <c:pt idx="0">
                  <c:v>Site 42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'Temp DO Comp'!$B$2:$P$2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'Temp DO Comp'!$B$6:$P$6</c:f>
              <c:numCache>
                <c:formatCode>0.00</c:formatCode>
                <c:ptCount val="15"/>
                <c:pt idx="1">
                  <c:v>4.43</c:v>
                </c:pt>
                <c:pt idx="2">
                  <c:v>7.08</c:v>
                </c:pt>
                <c:pt idx="3">
                  <c:v>9.5</c:v>
                </c:pt>
                <c:pt idx="4">
                  <c:v>15.5</c:v>
                </c:pt>
                <c:pt idx="5">
                  <c:v>18.95</c:v>
                </c:pt>
                <c:pt idx="6">
                  <c:v>22.9</c:v>
                </c:pt>
                <c:pt idx="7">
                  <c:v>23.14</c:v>
                </c:pt>
                <c:pt idx="8">
                  <c:v>22.3</c:v>
                </c:pt>
                <c:pt idx="9">
                  <c:v>22.68</c:v>
                </c:pt>
                <c:pt idx="10">
                  <c:v>19.649999999999999</c:v>
                </c:pt>
                <c:pt idx="11">
                  <c:v>18.12</c:v>
                </c:pt>
                <c:pt idx="12">
                  <c:v>10.86</c:v>
                </c:pt>
                <c:pt idx="13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0E-414B-933A-BCA55D0D96CF}"/>
            </c:ext>
          </c:extLst>
        </c:ser>
        <c:ser>
          <c:idx val="5"/>
          <c:order val="3"/>
          <c:tx>
            <c:strRef>
              <c:f>'Temp DO Comp'!$A$7</c:f>
              <c:strCache>
                <c:ptCount val="1"/>
                <c:pt idx="0">
                  <c:v>S(Jan-Mar)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'Temp DO Comp'!$B$7:$D$7</c:f>
              <c:numCache>
                <c:formatCode>0</c:formatCode>
                <c:ptCount val="3"/>
                <c:pt idx="0" formatCode="#,##0">
                  <c:v>9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0E-414B-933A-BCA55D0D96CF}"/>
            </c:ext>
          </c:extLst>
        </c:ser>
        <c:ser>
          <c:idx val="6"/>
          <c:order val="4"/>
          <c:tx>
            <c:strRef>
              <c:f>'Temp DO Comp'!$A$8</c:f>
              <c:strCache>
                <c:ptCount val="1"/>
                <c:pt idx="0">
                  <c:v>S(Apr-Dec)</c:v>
                </c:pt>
              </c:strCache>
            </c:strRef>
          </c:tx>
          <c:spPr>
            <a:ln w="34925" cap="rnd">
              <a:solidFill>
                <a:srgbClr val="00B0F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'Temp DO Comp'!$B$8:$P$8</c:f>
              <c:numCache>
                <c:formatCode>0.00</c:formatCode>
                <c:ptCount val="15"/>
                <c:pt idx="3" formatCode="#,##0">
                  <c:v>23.3</c:v>
                </c:pt>
                <c:pt idx="4" formatCode="#,##0">
                  <c:v>23.3</c:v>
                </c:pt>
                <c:pt idx="5" formatCode="#,##0">
                  <c:v>23.3</c:v>
                </c:pt>
                <c:pt idx="6" formatCode="#,##0">
                  <c:v>23.3</c:v>
                </c:pt>
                <c:pt idx="7" formatCode="#,##0">
                  <c:v>23.3</c:v>
                </c:pt>
                <c:pt idx="8" formatCode="#,##0">
                  <c:v>23.3</c:v>
                </c:pt>
                <c:pt idx="9" formatCode="#,##0">
                  <c:v>23.3</c:v>
                </c:pt>
                <c:pt idx="10" formatCode="#,##0">
                  <c:v>23.3</c:v>
                </c:pt>
                <c:pt idx="11" formatCode="#,##0">
                  <c:v>23.3</c:v>
                </c:pt>
                <c:pt idx="12" formatCode="#,##0">
                  <c:v>23.3</c:v>
                </c:pt>
                <c:pt idx="13" formatCode="#,##0">
                  <c:v>23.3</c:v>
                </c:pt>
                <c:pt idx="14" formatCode="#,##0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0E-414B-933A-BCA55D0D9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096576"/>
        <c:axId val="115106560"/>
      </c:lineChart>
      <c:dateAx>
        <c:axId val="115096576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06560"/>
        <c:crosses val="autoZero"/>
        <c:auto val="1"/>
        <c:lblOffset val="100"/>
        <c:baseTimeUnit val="days"/>
      </c:dateAx>
      <c:valAx>
        <c:axId val="11510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965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DO Compliance Bear Creek Reservoir Site 40 Central Pool</a:t>
            </a:r>
          </a:p>
        </c:rich>
      </c:tx>
      <c:layout>
        <c:manualLayout>
          <c:xMode val="edge"/>
          <c:yMode val="edge"/>
          <c:x val="0.22833274093836303"/>
          <c:y val="3.63818918297273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138200074865365"/>
          <c:y val="0.11462692163479567"/>
          <c:w val="0.79717028914465227"/>
          <c:h val="0.63168820791375524"/>
        </c:manualLayout>
      </c:layout>
      <c:lineChart>
        <c:grouping val="standard"/>
        <c:varyColors val="0"/>
        <c:ser>
          <c:idx val="3"/>
          <c:order val="0"/>
          <c:tx>
            <c:strRef>
              <c:f>'Temp DO Comp'!$S$4</c:f>
              <c:strCache>
                <c:ptCount val="1"/>
                <c:pt idx="0">
                  <c:v>Average1/2-2m (mg/l)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'Temp DO Comp'!$T$2:$AG$2</c:f>
              <c:numCache>
                <c:formatCode>[$-409]d\-mmm;@</c:formatCode>
                <c:ptCount val="14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</c:numCache>
            </c:numRef>
          </c:cat>
          <c:val>
            <c:numRef>
              <c:f>'Temp DO Comp'!$T$4:$AG$4</c:f>
              <c:numCache>
                <c:formatCode>0.00</c:formatCode>
                <c:ptCount val="14"/>
                <c:pt idx="0">
                  <c:v>12.85</c:v>
                </c:pt>
                <c:pt idx="1">
                  <c:v>12.38</c:v>
                </c:pt>
                <c:pt idx="2">
                  <c:v>9.4600000000000009</c:v>
                </c:pt>
                <c:pt idx="3">
                  <c:v>10.25</c:v>
                </c:pt>
                <c:pt idx="4">
                  <c:v>6.93</c:v>
                </c:pt>
                <c:pt idx="5">
                  <c:v>6.73</c:v>
                </c:pt>
                <c:pt idx="6">
                  <c:v>6.37</c:v>
                </c:pt>
                <c:pt idx="7">
                  <c:v>7.04</c:v>
                </c:pt>
                <c:pt idx="8">
                  <c:v>8.0399999999999991</c:v>
                </c:pt>
                <c:pt idx="9">
                  <c:v>8</c:v>
                </c:pt>
                <c:pt idx="10">
                  <c:v>7.51</c:v>
                </c:pt>
                <c:pt idx="11">
                  <c:v>7.56</c:v>
                </c:pt>
                <c:pt idx="12">
                  <c:v>8.5</c:v>
                </c:pt>
                <c:pt idx="13">
                  <c:v>8.68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5F-4FDE-9CC8-559F1ADAF69F}"/>
            </c:ext>
          </c:extLst>
        </c:ser>
        <c:ser>
          <c:idx val="2"/>
          <c:order val="1"/>
          <c:tx>
            <c:strRef>
              <c:f>'Temp DO Comp'!$S$5</c:f>
              <c:strCache>
                <c:ptCount val="1"/>
                <c:pt idx="0">
                  <c:v>Profile Average (mg/l)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'Temp DO Comp'!$T$2:$AG$2</c:f>
              <c:numCache>
                <c:formatCode>[$-409]d\-mmm;@</c:formatCode>
                <c:ptCount val="14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</c:numCache>
            </c:numRef>
          </c:cat>
          <c:val>
            <c:numRef>
              <c:f>'Temp DO Comp'!$T$5:$AG$5</c:f>
              <c:numCache>
                <c:formatCode>0.00</c:formatCode>
                <c:ptCount val="14"/>
                <c:pt idx="0">
                  <c:v>11.48</c:v>
                </c:pt>
                <c:pt idx="1">
                  <c:v>9.1199999999999992</c:v>
                </c:pt>
                <c:pt idx="2">
                  <c:v>8.94</c:v>
                </c:pt>
                <c:pt idx="3">
                  <c:v>7.79</c:v>
                </c:pt>
                <c:pt idx="4">
                  <c:v>5.84</c:v>
                </c:pt>
                <c:pt idx="5">
                  <c:v>5.31</c:v>
                </c:pt>
                <c:pt idx="6">
                  <c:v>5.31</c:v>
                </c:pt>
                <c:pt idx="7">
                  <c:v>5.89</c:v>
                </c:pt>
                <c:pt idx="8">
                  <c:v>6.54</c:v>
                </c:pt>
                <c:pt idx="9">
                  <c:v>6.34</c:v>
                </c:pt>
                <c:pt idx="10">
                  <c:v>6.15</c:v>
                </c:pt>
                <c:pt idx="11">
                  <c:v>7.09</c:v>
                </c:pt>
                <c:pt idx="12">
                  <c:v>8.14</c:v>
                </c:pt>
                <c:pt idx="13">
                  <c:v>8.5299999999999994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5F-4FDE-9CC8-559F1ADAF69F}"/>
            </c:ext>
          </c:extLst>
        </c:ser>
        <c:ser>
          <c:idx val="0"/>
          <c:order val="2"/>
          <c:tx>
            <c:strRef>
              <c:f>'Temp DO Comp'!$S$6</c:f>
              <c:strCache>
                <c:ptCount val="1"/>
                <c:pt idx="0">
                  <c:v>DO Compliance (mg/l)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'Temp DO Comp'!$T$2:$AG$2</c:f>
              <c:numCache>
                <c:formatCode>[$-409]d\-mmm;@</c:formatCode>
                <c:ptCount val="14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</c:numCache>
            </c:numRef>
          </c:cat>
          <c:val>
            <c:numRef>
              <c:f>'Temp DO Comp'!$T$6:$AG$6</c:f>
              <c:numCache>
                <c:formatCode>0.0</c:formatCode>
                <c:ptCount val="1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A-48EB-BD79-7E7F79C5A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140096"/>
        <c:axId val="115141632"/>
      </c:lineChart>
      <c:dateAx>
        <c:axId val="115140096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41632"/>
        <c:crosses val="autoZero"/>
        <c:auto val="1"/>
        <c:lblOffset val="100"/>
        <c:baseTimeUnit val="days"/>
        <c:majorUnit val="1"/>
        <c:majorTimeUnit val="months"/>
      </c:dateAx>
      <c:valAx>
        <c:axId val="115141632"/>
        <c:scaling>
          <c:orientation val="minMax"/>
          <c:max val="15"/>
          <c:min val="4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Dissolved Oxygen (mg/l)</a:t>
                </a:r>
              </a:p>
            </c:rich>
          </c:tx>
          <c:layout>
            <c:manualLayout>
              <c:xMode val="edge"/>
              <c:yMode val="edge"/>
              <c:x val="9.2362537057704169E-2"/>
              <c:y val="0.248552371479652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400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2018 Total Phosphorus Bear Creek Watershed</a:t>
            </a:r>
          </a:p>
        </c:rich>
      </c:tx>
      <c:layout>
        <c:manualLayout>
          <c:xMode val="edge"/>
          <c:yMode val="edge"/>
          <c:x val="0.39156360846268018"/>
          <c:y val="2.60042420627741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1"/>
          <c:tx>
            <c:strRef>
              <c:f>'T Phosphorus'!$A$16</c:f>
              <c:strCache>
                <c:ptCount val="1"/>
                <c:pt idx="0">
                  <c:v>Site 16a-Turkey Creek Inflow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'T Phosphorus'!$B$15:$M$15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Phosphorus'!$B$16:$M$16</c:f>
              <c:numCache>
                <c:formatCode>0.0</c:formatCode>
                <c:ptCount val="12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21</c:v>
                </c:pt>
                <c:pt idx="4">
                  <c:v>18</c:v>
                </c:pt>
                <c:pt idx="5">
                  <c:v>53</c:v>
                </c:pt>
                <c:pt idx="6">
                  <c:v>29.5</c:v>
                </c:pt>
                <c:pt idx="7">
                  <c:v>49</c:v>
                </c:pt>
                <c:pt idx="8">
                  <c:v>17</c:v>
                </c:pt>
                <c:pt idx="9">
                  <c:v>10</c:v>
                </c:pt>
                <c:pt idx="10">
                  <c:v>6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F-4768-AE6B-46D2A3133848}"/>
            </c:ext>
          </c:extLst>
        </c:ser>
        <c:ser>
          <c:idx val="3"/>
          <c:order val="2"/>
          <c:tx>
            <c:strRef>
              <c:f>'T Phosphorus'!$A$17</c:f>
              <c:strCache>
                <c:ptCount val="1"/>
                <c:pt idx="0">
                  <c:v>Site 15a-Bear Creek Inflow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'T Phosphorus'!$B$15:$M$15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Phosphorus'!$B$17:$M$17</c:f>
              <c:numCache>
                <c:formatCode>0.0</c:formatCode>
                <c:ptCount val="12"/>
                <c:pt idx="0">
                  <c:v>32</c:v>
                </c:pt>
                <c:pt idx="1">
                  <c:v>21</c:v>
                </c:pt>
                <c:pt idx="2">
                  <c:v>56</c:v>
                </c:pt>
                <c:pt idx="3">
                  <c:v>17</c:v>
                </c:pt>
                <c:pt idx="4">
                  <c:v>30</c:v>
                </c:pt>
                <c:pt idx="5">
                  <c:v>62</c:v>
                </c:pt>
                <c:pt idx="6">
                  <c:v>72.5</c:v>
                </c:pt>
                <c:pt idx="7">
                  <c:v>29.5</c:v>
                </c:pt>
                <c:pt idx="8">
                  <c:v>63.5</c:v>
                </c:pt>
                <c:pt idx="9">
                  <c:v>79</c:v>
                </c:pt>
                <c:pt idx="10">
                  <c:v>51</c:v>
                </c:pt>
                <c:pt idx="1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F-4768-AE6B-46D2A3133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270400"/>
        <c:axId val="115271936"/>
      </c:barChart>
      <c:lineChart>
        <c:grouping val="standard"/>
        <c:varyColors val="0"/>
        <c:ser>
          <c:idx val="0"/>
          <c:order val="0"/>
          <c:tx>
            <c:strRef>
              <c:f>'T Phosphorus'!$A$18</c:f>
              <c:strCache>
                <c:ptCount val="1"/>
                <c:pt idx="0">
                  <c:v>Site 45-Reservoir Discharge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'T Phosphorus'!$B$15:$M$15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Phosphorus'!$B$18:$M$18</c:f>
              <c:numCache>
                <c:formatCode>0.0</c:formatCode>
                <c:ptCount val="12"/>
                <c:pt idx="0">
                  <c:v>16</c:v>
                </c:pt>
                <c:pt idx="1">
                  <c:v>15</c:v>
                </c:pt>
                <c:pt idx="2">
                  <c:v>12</c:v>
                </c:pt>
                <c:pt idx="3">
                  <c:v>16</c:v>
                </c:pt>
                <c:pt idx="4">
                  <c:v>14</c:v>
                </c:pt>
                <c:pt idx="5">
                  <c:v>44</c:v>
                </c:pt>
                <c:pt idx="6">
                  <c:v>26</c:v>
                </c:pt>
                <c:pt idx="7">
                  <c:v>46</c:v>
                </c:pt>
                <c:pt idx="8">
                  <c:v>52.5</c:v>
                </c:pt>
                <c:pt idx="9">
                  <c:v>48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6F-4768-AE6B-46D2A3133848}"/>
            </c:ext>
          </c:extLst>
        </c:ser>
        <c:ser>
          <c:idx val="1"/>
          <c:order val="3"/>
          <c:tx>
            <c:strRef>
              <c:f>'T Phosphorus'!$A$22</c:f>
              <c:strCache>
                <c:ptCount val="1"/>
                <c:pt idx="0">
                  <c:v>BCR Water Column Average TP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val>
            <c:numRef>
              <c:f>'T Phosphorus'!$B$22:$M$22</c:f>
              <c:numCache>
                <c:formatCode>0.0</c:formatCode>
                <c:ptCount val="12"/>
                <c:pt idx="0">
                  <c:v>13.5</c:v>
                </c:pt>
                <c:pt idx="1">
                  <c:v>22</c:v>
                </c:pt>
                <c:pt idx="2">
                  <c:v>26.5</c:v>
                </c:pt>
                <c:pt idx="3">
                  <c:v>20</c:v>
                </c:pt>
                <c:pt idx="4">
                  <c:v>15.5</c:v>
                </c:pt>
                <c:pt idx="5">
                  <c:v>44.5</c:v>
                </c:pt>
                <c:pt idx="6">
                  <c:v>54</c:v>
                </c:pt>
                <c:pt idx="7">
                  <c:v>62.5</c:v>
                </c:pt>
                <c:pt idx="8">
                  <c:v>69</c:v>
                </c:pt>
                <c:pt idx="9">
                  <c:v>51</c:v>
                </c:pt>
                <c:pt idx="10">
                  <c:v>61</c:v>
                </c:pt>
                <c:pt idx="11">
                  <c:v>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6F-4768-AE6B-46D2A3133848}"/>
            </c:ext>
          </c:extLst>
        </c:ser>
        <c:ser>
          <c:idx val="4"/>
          <c:order val="4"/>
          <c:tx>
            <c:strRef>
              <c:f>'T Phosphorus'!$A$19</c:f>
              <c:strCache>
                <c:ptCount val="1"/>
                <c:pt idx="0">
                  <c:v>Site 90 - Lower Bear Creek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val>
            <c:numRef>
              <c:f>'T Phosphorus'!$B$19:$M$19</c:f>
              <c:numCache>
                <c:formatCode>0.0</c:formatCode>
                <c:ptCount val="12"/>
                <c:pt idx="0">
                  <c:v>17</c:v>
                </c:pt>
                <c:pt idx="1">
                  <c:v>19</c:v>
                </c:pt>
                <c:pt idx="2">
                  <c:v>18</c:v>
                </c:pt>
                <c:pt idx="3">
                  <c:v>27</c:v>
                </c:pt>
                <c:pt idx="4">
                  <c:v>30</c:v>
                </c:pt>
                <c:pt idx="5">
                  <c:v>46</c:v>
                </c:pt>
                <c:pt idx="6">
                  <c:v>30.5</c:v>
                </c:pt>
                <c:pt idx="7">
                  <c:v>25.5</c:v>
                </c:pt>
                <c:pt idx="8">
                  <c:v>21.5</c:v>
                </c:pt>
                <c:pt idx="9">
                  <c:v>26</c:v>
                </c:pt>
                <c:pt idx="10">
                  <c:v>19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E-4562-AEF3-2D82852DA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70400"/>
        <c:axId val="115271936"/>
      </c:lineChart>
      <c:catAx>
        <c:axId val="11527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7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7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Phosphorus ug/l</a:t>
                </a:r>
              </a:p>
            </c:rich>
          </c:tx>
          <c:layout>
            <c:manualLayout>
              <c:xMode val="edge"/>
              <c:yMode val="edge"/>
              <c:x val="0.13524590163934441"/>
              <c:y val="0.23410599165452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704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2018 Bear Creek Reservoir Total Phosphorus Trends</a:t>
            </a:r>
          </a:p>
        </c:rich>
      </c:tx>
      <c:layout>
        <c:manualLayout>
          <c:xMode val="edge"/>
          <c:yMode val="edge"/>
          <c:x val="0.28038455287962505"/>
          <c:y val="2.9392610539067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54409001432931"/>
          <c:y val="0.11874999999999998"/>
          <c:w val="0.72797098031228058"/>
          <c:h val="0.704753677994200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 Phosphorus'!$A$22</c:f>
              <c:strCache>
                <c:ptCount val="1"/>
                <c:pt idx="0">
                  <c:v>BCR Water Column Average TP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'T Phosphorus'!$B$15:$M$15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Phosphorus'!$B$22:$M$22</c:f>
              <c:numCache>
                <c:formatCode>0.0</c:formatCode>
                <c:ptCount val="12"/>
                <c:pt idx="0">
                  <c:v>13.5</c:v>
                </c:pt>
                <c:pt idx="1">
                  <c:v>22</c:v>
                </c:pt>
                <c:pt idx="2">
                  <c:v>26.5</c:v>
                </c:pt>
                <c:pt idx="3">
                  <c:v>20</c:v>
                </c:pt>
                <c:pt idx="4">
                  <c:v>15.5</c:v>
                </c:pt>
                <c:pt idx="5">
                  <c:v>44.5</c:v>
                </c:pt>
                <c:pt idx="6">
                  <c:v>54</c:v>
                </c:pt>
                <c:pt idx="7">
                  <c:v>62.5</c:v>
                </c:pt>
                <c:pt idx="8">
                  <c:v>69</c:v>
                </c:pt>
                <c:pt idx="9">
                  <c:v>51</c:v>
                </c:pt>
                <c:pt idx="10">
                  <c:v>61</c:v>
                </c:pt>
                <c:pt idx="11">
                  <c:v>55.5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D-4896-A422-B67E442F4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196288"/>
        <c:axId val="115197824"/>
      </c:barChart>
      <c:catAx>
        <c:axId val="11519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9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Phosphorus, ug/l</a:t>
                </a:r>
              </a:p>
            </c:rich>
          </c:tx>
          <c:layout>
            <c:manualLayout>
              <c:xMode val="edge"/>
              <c:yMode val="edge"/>
              <c:x val="0.12784090909090909"/>
              <c:y val="0.353413023207641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96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2018 Total Nitrogen Bear Creek Watershed</a:t>
            </a:r>
          </a:p>
        </c:rich>
      </c:tx>
      <c:layout>
        <c:manualLayout>
          <c:xMode val="edge"/>
          <c:yMode val="edge"/>
          <c:x val="0.39156360846268018"/>
          <c:y val="2.60042420627741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 Nitrogen'!$A$16</c:f>
              <c:strCache>
                <c:ptCount val="1"/>
                <c:pt idx="0">
                  <c:v>Site 16a-Turkey Creek Inflow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'T Nitrogen'!$B$15:$M$15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Nitrogen'!$B$16:$M$16</c:f>
              <c:numCache>
                <c:formatCode>0</c:formatCode>
                <c:ptCount val="12"/>
                <c:pt idx="0">
                  <c:v>911</c:v>
                </c:pt>
                <c:pt idx="1">
                  <c:v>769</c:v>
                </c:pt>
                <c:pt idx="2">
                  <c:v>872</c:v>
                </c:pt>
                <c:pt idx="3">
                  <c:v>662</c:v>
                </c:pt>
                <c:pt idx="4">
                  <c:v>554</c:v>
                </c:pt>
                <c:pt idx="5">
                  <c:v>617</c:v>
                </c:pt>
                <c:pt idx="6">
                  <c:v>1149</c:v>
                </c:pt>
                <c:pt idx="7">
                  <c:v>704</c:v>
                </c:pt>
                <c:pt idx="8">
                  <c:v>675.5</c:v>
                </c:pt>
                <c:pt idx="9">
                  <c:v>672</c:v>
                </c:pt>
                <c:pt idx="10">
                  <c:v>392</c:v>
                </c:pt>
                <c:pt idx="11">
                  <c:v>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9F-4603-B61E-27443A3EAAAE}"/>
            </c:ext>
          </c:extLst>
        </c:ser>
        <c:ser>
          <c:idx val="1"/>
          <c:order val="1"/>
          <c:tx>
            <c:strRef>
              <c:f>'T Nitrogen'!$A$17</c:f>
              <c:strCache>
                <c:ptCount val="1"/>
                <c:pt idx="0">
                  <c:v>Site 15a-Bear Creek Inflow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'T Nitrogen'!$B$15:$M$15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Nitrogen'!$B$17:$M$17</c:f>
              <c:numCache>
                <c:formatCode>0</c:formatCode>
                <c:ptCount val="12"/>
                <c:pt idx="0">
                  <c:v>1252</c:v>
                </c:pt>
                <c:pt idx="1">
                  <c:v>1245</c:v>
                </c:pt>
                <c:pt idx="2">
                  <c:v>1333</c:v>
                </c:pt>
                <c:pt idx="3">
                  <c:v>1143</c:v>
                </c:pt>
                <c:pt idx="4">
                  <c:v>769</c:v>
                </c:pt>
                <c:pt idx="5">
                  <c:v>833</c:v>
                </c:pt>
                <c:pt idx="6">
                  <c:v>956.5</c:v>
                </c:pt>
                <c:pt idx="7">
                  <c:v>1220.5</c:v>
                </c:pt>
                <c:pt idx="8">
                  <c:v>934</c:v>
                </c:pt>
                <c:pt idx="9">
                  <c:v>790</c:v>
                </c:pt>
                <c:pt idx="10">
                  <c:v>1066</c:v>
                </c:pt>
                <c:pt idx="11">
                  <c:v>2342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9F-4603-B61E-27443A3EAAAE}"/>
            </c:ext>
          </c:extLst>
        </c:ser>
        <c:ser>
          <c:idx val="2"/>
          <c:order val="2"/>
          <c:tx>
            <c:strRef>
              <c:f>'T Nitrogen'!$A$18</c:f>
              <c:strCache>
                <c:ptCount val="1"/>
                <c:pt idx="0">
                  <c:v>Site 45-Reservoir Discharge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'T Nitrogen'!$B$15:$M$15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Nitrogen'!$B$18:$M$18</c:f>
              <c:numCache>
                <c:formatCode>0</c:formatCode>
                <c:ptCount val="12"/>
                <c:pt idx="0">
                  <c:v>906</c:v>
                </c:pt>
                <c:pt idx="1">
                  <c:v>1002</c:v>
                </c:pt>
                <c:pt idx="2">
                  <c:v>829</c:v>
                </c:pt>
                <c:pt idx="3">
                  <c:v>874</c:v>
                </c:pt>
                <c:pt idx="4">
                  <c:v>653</c:v>
                </c:pt>
                <c:pt idx="5">
                  <c:v>693</c:v>
                </c:pt>
                <c:pt idx="6">
                  <c:v>589</c:v>
                </c:pt>
                <c:pt idx="7">
                  <c:v>585</c:v>
                </c:pt>
                <c:pt idx="8">
                  <c:v>595.5</c:v>
                </c:pt>
                <c:pt idx="9">
                  <c:v>643</c:v>
                </c:pt>
                <c:pt idx="10">
                  <c:v>546</c:v>
                </c:pt>
                <c:pt idx="11">
                  <c:v>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9F-4603-B61E-27443A3EAAAE}"/>
            </c:ext>
          </c:extLst>
        </c:ser>
        <c:ser>
          <c:idx val="3"/>
          <c:order val="3"/>
          <c:tx>
            <c:strRef>
              <c:f>'T Nitrogen'!$A$19</c:f>
              <c:strCache>
                <c:ptCount val="1"/>
                <c:pt idx="0">
                  <c:v>Site 90 - Lower Bear Creek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'T Nitrogen'!$B$15:$M$15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Nitrogen'!$B$19:$M$19</c:f>
              <c:numCache>
                <c:formatCode>0</c:formatCode>
                <c:ptCount val="12"/>
                <c:pt idx="0">
                  <c:v>1037</c:v>
                </c:pt>
                <c:pt idx="1">
                  <c:v>1127</c:v>
                </c:pt>
                <c:pt idx="2">
                  <c:v>1015</c:v>
                </c:pt>
                <c:pt idx="3">
                  <c:v>987</c:v>
                </c:pt>
                <c:pt idx="4">
                  <c:v>823</c:v>
                </c:pt>
                <c:pt idx="5">
                  <c:v>811</c:v>
                </c:pt>
                <c:pt idx="6">
                  <c:v>936</c:v>
                </c:pt>
                <c:pt idx="7">
                  <c:v>758</c:v>
                </c:pt>
                <c:pt idx="8">
                  <c:v>863.5</c:v>
                </c:pt>
                <c:pt idx="9">
                  <c:v>896</c:v>
                </c:pt>
                <c:pt idx="10">
                  <c:v>709</c:v>
                </c:pt>
                <c:pt idx="11">
                  <c:v>1225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9F-4603-B61E-27443A3EA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270400"/>
        <c:axId val="115271936"/>
      </c:lineChart>
      <c:catAx>
        <c:axId val="11527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7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7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Nitrogen, ug/l</a:t>
                </a:r>
              </a:p>
            </c:rich>
          </c:tx>
          <c:layout>
            <c:manualLayout>
              <c:xMode val="edge"/>
              <c:yMode val="edge"/>
              <c:x val="0.13524590163934441"/>
              <c:y val="0.23410599165452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704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Bear Creek Reservoir Total </a:t>
            </a:r>
            <a:r>
              <a:rPr lang="en-US" sz="1000"/>
              <a:t>Suspended</a:t>
            </a:r>
            <a:r>
              <a:rPr lang="en-US" sz="900"/>
              <a:t> Sediments [mg/l] Trend</a:t>
            </a:r>
          </a:p>
        </c:rich>
      </c:tx>
      <c:layout>
        <c:manualLayout>
          <c:xMode val="edge"/>
          <c:yMode val="edge"/>
          <c:x val="0.22063492063492063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84924981063934E-2"/>
          <c:y val="0.14769733051664197"/>
          <c:w val="0.92268983282716865"/>
          <c:h val="0.73650574577054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Trends'!$B$18</c:f>
              <c:strCache>
                <c:ptCount val="1"/>
                <c:pt idx="0">
                  <c:v>Top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'Annual Reservoir Trends'!$C$3:$AC$3</c:f>
              <c:numCache>
                <c:formatCode>0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'Annual Reservoir Trends'!$C$18:$AC$18</c:f>
              <c:numCache>
                <c:formatCode>#,##0</c:formatCode>
                <c:ptCount val="27"/>
                <c:pt idx="0">
                  <c:v>6</c:v>
                </c:pt>
                <c:pt idx="1">
                  <c:v>7</c:v>
                </c:pt>
                <c:pt idx="2">
                  <c:v>4</c:v>
                </c:pt>
                <c:pt idx="3">
                  <c:v>9</c:v>
                </c:pt>
                <c:pt idx="4">
                  <c:v>6</c:v>
                </c:pt>
                <c:pt idx="5">
                  <c:v>4</c:v>
                </c:pt>
                <c:pt idx="6">
                  <c:v>12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5</c:v>
                </c:pt>
                <c:pt idx="12">
                  <c:v>7</c:v>
                </c:pt>
                <c:pt idx="13">
                  <c:v>3</c:v>
                </c:pt>
                <c:pt idx="14" formatCode="0.0">
                  <c:v>5.4026666666666667</c:v>
                </c:pt>
                <c:pt idx="15" formatCode="0.0">
                  <c:v>6.2935111111111111</c:v>
                </c:pt>
                <c:pt idx="16" formatCode="0.0">
                  <c:v>5.7373968253968224</c:v>
                </c:pt>
                <c:pt idx="17" formatCode="0.0">
                  <c:v>11.2</c:v>
                </c:pt>
                <c:pt idx="18" formatCode="0.0">
                  <c:v>6.9</c:v>
                </c:pt>
                <c:pt idx="19" formatCode="0.0">
                  <c:v>7.3</c:v>
                </c:pt>
                <c:pt idx="20" formatCode="0.0">
                  <c:v>6.2</c:v>
                </c:pt>
                <c:pt idx="21" formatCode="0.0">
                  <c:v>6.4</c:v>
                </c:pt>
                <c:pt idx="22" formatCode="0.0">
                  <c:v>7.1</c:v>
                </c:pt>
                <c:pt idx="23" formatCode="0.0">
                  <c:v>5</c:v>
                </c:pt>
                <c:pt idx="24" formatCode="0.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9-4784-A785-75F3F067115B}"/>
            </c:ext>
          </c:extLst>
        </c:ser>
        <c:ser>
          <c:idx val="3"/>
          <c:order val="1"/>
          <c:tx>
            <c:strRef>
              <c:f>'Annual Reservoir Trends'!$B$20</c:f>
              <c:strCache>
                <c:ptCount val="1"/>
                <c:pt idx="0">
                  <c:v>Bottom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'Annual Reservoir Trends'!$C$3:$AC$3</c:f>
              <c:numCache>
                <c:formatCode>0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'Annual Reservoir Trends'!$C$20:$AB$20</c:f>
              <c:numCache>
                <c:formatCode>#,##0</c:formatCode>
                <c:ptCount val="26"/>
                <c:pt idx="0">
                  <c:v>19</c:v>
                </c:pt>
                <c:pt idx="1">
                  <c:v>8</c:v>
                </c:pt>
                <c:pt idx="2">
                  <c:v>5</c:v>
                </c:pt>
                <c:pt idx="3">
                  <c:v>9</c:v>
                </c:pt>
                <c:pt idx="4">
                  <c:v>13</c:v>
                </c:pt>
                <c:pt idx="5">
                  <c:v>7</c:v>
                </c:pt>
                <c:pt idx="6">
                  <c:v>22</c:v>
                </c:pt>
                <c:pt idx="7">
                  <c:v>12</c:v>
                </c:pt>
                <c:pt idx="8">
                  <c:v>12</c:v>
                </c:pt>
                <c:pt idx="9">
                  <c:v>8</c:v>
                </c:pt>
                <c:pt idx="10">
                  <c:v>10</c:v>
                </c:pt>
                <c:pt idx="11">
                  <c:v>5</c:v>
                </c:pt>
                <c:pt idx="12">
                  <c:v>8</c:v>
                </c:pt>
                <c:pt idx="13">
                  <c:v>9</c:v>
                </c:pt>
                <c:pt idx="14" formatCode="0.0">
                  <c:v>7.4459215686274529</c:v>
                </c:pt>
                <c:pt idx="15" formatCode="0.0">
                  <c:v>10.296394771241831</c:v>
                </c:pt>
                <c:pt idx="16" formatCode="0.0">
                  <c:v>6.033309794757165</c:v>
                </c:pt>
                <c:pt idx="17" formatCode="0.0">
                  <c:v>20.9</c:v>
                </c:pt>
                <c:pt idx="18" formatCode="0.0">
                  <c:v>10</c:v>
                </c:pt>
                <c:pt idx="19" formatCode="0.0">
                  <c:v>8.9</c:v>
                </c:pt>
                <c:pt idx="20" formatCode="0.0">
                  <c:v>10.5</c:v>
                </c:pt>
                <c:pt idx="21" formatCode="0.0">
                  <c:v>13.4</c:v>
                </c:pt>
                <c:pt idx="22" formatCode="0.0">
                  <c:v>10.7</c:v>
                </c:pt>
                <c:pt idx="23" formatCode="0.0">
                  <c:v>10</c:v>
                </c:pt>
                <c:pt idx="24" formatCode="0.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39-4784-A785-75F3F0671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77888"/>
        <c:axId val="106312448"/>
      </c:barChart>
      <c:catAx>
        <c:axId val="1062778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1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31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27788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041751939599551"/>
          <c:y val="0.16149833122712701"/>
          <c:w val="0.32548787679076008"/>
          <c:h val="0.10820128965361477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2018 Bear Creek Reservoir Total Nitrogen Trends</a:t>
            </a:r>
          </a:p>
        </c:rich>
      </c:tx>
      <c:layout>
        <c:manualLayout>
          <c:xMode val="edge"/>
          <c:yMode val="edge"/>
          <c:x val="0.35182485815497516"/>
          <c:y val="2.6315789473684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330275907200607"/>
          <c:y val="0.11874999999999998"/>
          <c:w val="0.77321225011082728"/>
          <c:h val="0.704753677994200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 Nitrogen'!$A$22</c:f>
              <c:strCache>
                <c:ptCount val="1"/>
                <c:pt idx="0">
                  <c:v>Water Column TP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'T Nitrogen'!$B$15:$M$15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Nitrogen'!$B$22:$M$22</c:f>
              <c:numCache>
                <c:formatCode>0</c:formatCode>
                <c:ptCount val="12"/>
                <c:pt idx="0">
                  <c:v>1048</c:v>
                </c:pt>
                <c:pt idx="1">
                  <c:v>1218.5</c:v>
                </c:pt>
                <c:pt idx="2">
                  <c:v>1027.5</c:v>
                </c:pt>
                <c:pt idx="3">
                  <c:v>874</c:v>
                </c:pt>
                <c:pt idx="4">
                  <c:v>804.5</c:v>
                </c:pt>
                <c:pt idx="5">
                  <c:v>692.5</c:v>
                </c:pt>
                <c:pt idx="6">
                  <c:v>850</c:v>
                </c:pt>
                <c:pt idx="7">
                  <c:v>652</c:v>
                </c:pt>
                <c:pt idx="8">
                  <c:v>672.5</c:v>
                </c:pt>
                <c:pt idx="9">
                  <c:v>613</c:v>
                </c:pt>
                <c:pt idx="10">
                  <c:v>710.5</c:v>
                </c:pt>
                <c:pt idx="11">
                  <c:v>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CC-4DB7-9556-DAA7A4A77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196288"/>
        <c:axId val="115197824"/>
      </c:barChart>
      <c:catAx>
        <c:axId val="11519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9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 Nitrogen, ug/l</a:t>
                </a:r>
              </a:p>
            </c:rich>
          </c:tx>
          <c:layout>
            <c:manualLayout>
              <c:xMode val="edge"/>
              <c:yMode val="edge"/>
              <c:x val="6.7519157290325302E-2"/>
              <c:y val="0.356814505329690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96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Chlorophyll-a Bear Creek Reservoir </a:t>
            </a:r>
          </a:p>
        </c:rich>
      </c:tx>
      <c:layout>
        <c:manualLayout>
          <c:xMode val="edge"/>
          <c:yMode val="edge"/>
          <c:x val="0.28942053572304"/>
          <c:y val="6.49904441556455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83671404095908"/>
          <c:y val="0.13058817399686082"/>
          <c:w val="0.8497114636318982"/>
          <c:h val="0.73015729199143753"/>
        </c:manualLayout>
      </c:layout>
      <c:areaChart>
        <c:grouping val="stacked"/>
        <c:varyColors val="0"/>
        <c:ser>
          <c:idx val="0"/>
          <c:order val="0"/>
          <c:tx>
            <c:strRef>
              <c:f>Chlsecchi!$A$3</c:f>
              <c:strCache>
                <c:ptCount val="1"/>
                <c:pt idx="0">
                  <c:v>Chlorophyll, ug/L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Chlsecchi!$B$17:$M$17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Chlsecchi!$B$18:$M$18</c:f>
              <c:numCache>
                <c:formatCode>#,##0.0</c:formatCode>
                <c:ptCount val="12"/>
                <c:pt idx="0">
                  <c:v>1.25</c:v>
                </c:pt>
                <c:pt idx="1">
                  <c:v>15.45</c:v>
                </c:pt>
                <c:pt idx="2">
                  <c:v>5.9</c:v>
                </c:pt>
                <c:pt idx="3">
                  <c:v>1.5</c:v>
                </c:pt>
                <c:pt idx="4">
                  <c:v>8.15</c:v>
                </c:pt>
                <c:pt idx="5">
                  <c:v>2.4</c:v>
                </c:pt>
                <c:pt idx="6">
                  <c:v>8.9250000000000007</c:v>
                </c:pt>
                <c:pt idx="7">
                  <c:v>19.024999999999999</c:v>
                </c:pt>
                <c:pt idx="8">
                  <c:v>15.975000000000001</c:v>
                </c:pt>
                <c:pt idx="9">
                  <c:v>37.950000000000003</c:v>
                </c:pt>
                <c:pt idx="10">
                  <c:v>41.45</c:v>
                </c:pt>
                <c:pt idx="11">
                  <c:v>44.5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F-416D-A7F7-328E3EB16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847168"/>
        <c:axId val="115848704"/>
      </c:areaChart>
      <c:lineChart>
        <c:grouping val="standard"/>
        <c:varyColors val="0"/>
        <c:ser>
          <c:idx val="1"/>
          <c:order val="1"/>
          <c:tx>
            <c:strRef>
              <c:f>Chlsecchi!$A$21</c:f>
              <c:strCache>
                <c:ptCount val="1"/>
                <c:pt idx="0">
                  <c:v>Chlorophyll Standard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Chlsecchi!$B$21:$M$21</c:f>
              <c:numCache>
                <c:formatCode>#,##0.0</c:formatCode>
                <c:ptCount val="12"/>
                <c:pt idx="0">
                  <c:v>12.2</c:v>
                </c:pt>
                <c:pt idx="1">
                  <c:v>12.2</c:v>
                </c:pt>
                <c:pt idx="2">
                  <c:v>12.2</c:v>
                </c:pt>
                <c:pt idx="3">
                  <c:v>12.2</c:v>
                </c:pt>
                <c:pt idx="4">
                  <c:v>12.2</c:v>
                </c:pt>
                <c:pt idx="5">
                  <c:v>12.2</c:v>
                </c:pt>
                <c:pt idx="6">
                  <c:v>12.2</c:v>
                </c:pt>
                <c:pt idx="7">
                  <c:v>12.2</c:v>
                </c:pt>
                <c:pt idx="8">
                  <c:v>12.2</c:v>
                </c:pt>
                <c:pt idx="9">
                  <c:v>12.2</c:v>
                </c:pt>
                <c:pt idx="10">
                  <c:v>12.2</c:v>
                </c:pt>
                <c:pt idx="11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5A-4AAE-BAB5-E29A0CC3C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47168"/>
        <c:axId val="115848704"/>
      </c:lineChart>
      <c:catAx>
        <c:axId val="11584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4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84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Chlorophyll-a (ug/l)</a:t>
                </a:r>
              </a:p>
            </c:rich>
          </c:tx>
          <c:layout>
            <c:manualLayout>
              <c:xMode val="edge"/>
              <c:yMode val="edge"/>
              <c:x val="1.8634028440128327E-2"/>
              <c:y val="0.228687154957501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4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Secchi Depth Bear Creek Reservoir</a:t>
            </a:r>
          </a:p>
        </c:rich>
      </c:tx>
      <c:layout>
        <c:manualLayout>
          <c:xMode val="edge"/>
          <c:yMode val="edge"/>
          <c:x val="0.2990808676682743"/>
          <c:y val="3.164527203536689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53717842584651"/>
          <c:y val="0.19847858105757338"/>
          <c:w val="0.85262054183255886"/>
          <c:h val="0.67865431614364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Chlsecchi!$A$19</c:f>
              <c:strCache>
                <c:ptCount val="1"/>
                <c:pt idx="0">
                  <c:v>Secchi (ft)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Chlsecchi!$B$17:$M$17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Chlsecchi!$B$19:$M$19</c:f>
              <c:numCache>
                <c:formatCode>0.0</c:formatCode>
                <c:ptCount val="12"/>
                <c:pt idx="0">
                  <c:v>12.218</c:v>
                </c:pt>
                <c:pt idx="1">
                  <c:v>7.5767999999999995</c:v>
                </c:pt>
                <c:pt idx="2">
                  <c:v>4.9965333333333337</c:v>
                </c:pt>
                <c:pt idx="3">
                  <c:v>7.325333333333333</c:v>
                </c:pt>
                <c:pt idx="4">
                  <c:v>6.0679999999999996</c:v>
                </c:pt>
                <c:pt idx="5">
                  <c:v>8.3640000000000008</c:v>
                </c:pt>
                <c:pt idx="6">
                  <c:v>6.4779999999999998</c:v>
                </c:pt>
                <c:pt idx="7">
                  <c:v>3.1706666666666665</c:v>
                </c:pt>
                <c:pt idx="8">
                  <c:v>2.2577333333333334</c:v>
                </c:pt>
                <c:pt idx="9">
                  <c:v>2.952</c:v>
                </c:pt>
                <c:pt idx="10">
                  <c:v>3.0613333333333328</c:v>
                </c:pt>
                <c:pt idx="11">
                  <c:v>2.6240000000000001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C-44E7-89BE-6CF9CC53C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64704"/>
        <c:axId val="115866240"/>
      </c:barChart>
      <c:lineChart>
        <c:grouping val="standard"/>
        <c:varyColors val="0"/>
        <c:ser>
          <c:idx val="1"/>
          <c:order val="1"/>
          <c:tx>
            <c:strRef>
              <c:f>Chlsecchi!$A$22</c:f>
              <c:strCache>
                <c:ptCount val="1"/>
                <c:pt idx="0">
                  <c:v>Secchi Target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Chlsecchi!$B$22:$M$23</c:f>
              <c:strCach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strCache>
            </c:strRef>
          </c:cat>
          <c:val>
            <c:numRef>
              <c:f>Chlsecchi!$B$22:$M$22</c:f>
              <c:numCache>
                <c:formatCode>#,##0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E7-4B0D-9245-D12F6B489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64704"/>
        <c:axId val="115866240"/>
      </c:lineChart>
      <c:catAx>
        <c:axId val="1158647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66240"/>
        <c:crosses val="autoZero"/>
        <c:auto val="1"/>
        <c:lblAlgn val="ctr"/>
        <c:lblOffset val="100"/>
        <c:noMultiLvlLbl val="0"/>
      </c:catAx>
      <c:valAx>
        <c:axId val="11586624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Secchi Depth (feet)</a:t>
                </a:r>
              </a:p>
            </c:rich>
          </c:tx>
          <c:layout>
            <c:manualLayout>
              <c:xMode val="edge"/>
              <c:yMode val="edge"/>
              <c:x val="1.7452416968351508E-2"/>
              <c:y val="0.321221748962206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6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Phosphorus BCR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998469727374345E-2"/>
          <c:y val="0.14324279262664905"/>
          <c:w val="0.89136850984255223"/>
          <c:h val="0.62602050353635497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Summary'!$A$7:$A$11</c:f>
              <c:strCache>
                <c:ptCount val="1"/>
                <c:pt idx="0">
                  <c:v>BCR Top, Site 40a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'P1 Summary'!$C$8:$Q$8</c:f>
              <c:numCache>
                <c:formatCode>General</c:formatCode>
                <c:ptCount val="15"/>
                <c:pt idx="0">
                  <c:v>13</c:v>
                </c:pt>
                <c:pt idx="1">
                  <c:v>25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39</c:v>
                </c:pt>
                <c:pt idx="6">
                  <c:v>64</c:v>
                </c:pt>
                <c:pt idx="7">
                  <c:v>35</c:v>
                </c:pt>
                <c:pt idx="8">
                  <c:v>50</c:v>
                </c:pt>
                <c:pt idx="9">
                  <c:v>48</c:v>
                </c:pt>
                <c:pt idx="10">
                  <c:v>94</c:v>
                </c:pt>
                <c:pt idx="11">
                  <c:v>48</c:v>
                </c:pt>
                <c:pt idx="12">
                  <c:v>48</c:v>
                </c:pt>
                <c:pt idx="13">
                  <c:v>69</c:v>
                </c:pt>
                <c:pt idx="14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05A-4D17-9756-BEEC14513399}"/>
            </c:ext>
          </c:extLst>
        </c:ser>
        <c:ser>
          <c:idx val="1"/>
          <c:order val="1"/>
          <c:tx>
            <c:strRef>
              <c:f>'P1 Summary'!$B$21</c:f>
              <c:strCache>
                <c:ptCount val="1"/>
                <c:pt idx="0">
                  <c:v>Phosphorus Standard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'P1 Summary'!$C$21:$Q$21</c:f>
              <c:numCache>
                <c:formatCode>#,##0.0</c:formatCode>
                <c:ptCount val="15"/>
                <c:pt idx="0">
                  <c:v>22.2</c:v>
                </c:pt>
                <c:pt idx="1">
                  <c:v>22.2</c:v>
                </c:pt>
                <c:pt idx="2">
                  <c:v>22.2</c:v>
                </c:pt>
                <c:pt idx="3">
                  <c:v>22.2</c:v>
                </c:pt>
                <c:pt idx="4">
                  <c:v>22.2</c:v>
                </c:pt>
                <c:pt idx="5">
                  <c:v>22.2</c:v>
                </c:pt>
                <c:pt idx="6">
                  <c:v>22.2</c:v>
                </c:pt>
                <c:pt idx="7">
                  <c:v>22.2</c:v>
                </c:pt>
                <c:pt idx="8">
                  <c:v>22.2</c:v>
                </c:pt>
                <c:pt idx="9">
                  <c:v>22.2</c:v>
                </c:pt>
                <c:pt idx="10">
                  <c:v>22.2</c:v>
                </c:pt>
                <c:pt idx="11">
                  <c:v>22.2</c:v>
                </c:pt>
                <c:pt idx="12">
                  <c:v>22.2</c:v>
                </c:pt>
                <c:pt idx="13">
                  <c:v>22.2</c:v>
                </c:pt>
                <c:pt idx="14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15-4AD0-A784-E02A7DFC2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014464"/>
        <c:axId val="116049024"/>
      </c:lineChart>
      <c:dateAx>
        <c:axId val="116014464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49024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11604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Phosphorus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14464"/>
        <c:crossesAt val="40203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Chlorophyll Trend BCR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54149567755768E-2"/>
          <c:y val="0.15135816896792867"/>
          <c:w val="0.88545748937399327"/>
          <c:h val="0.64230524841612247"/>
        </c:manualLayout>
      </c:layout>
      <c:areaChart>
        <c:grouping val="standard"/>
        <c:varyColors val="0"/>
        <c:ser>
          <c:idx val="0"/>
          <c:order val="0"/>
          <c:tx>
            <c:strRef>
              <c:f>'P1 Summary'!$B$9</c:f>
              <c:strCache>
                <c:ptCount val="1"/>
                <c:pt idx="0">
                  <c:v>Chlorophyll 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numRef>
              <c:f>'P1 Summary'!$C$2:$Q$2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'P1 Summary'!$C$11:$Q$11</c:f>
              <c:numCache>
                <c:formatCode>0.0</c:formatCode>
                <c:ptCount val="15"/>
                <c:pt idx="0">
                  <c:v>1.25</c:v>
                </c:pt>
                <c:pt idx="1">
                  <c:v>15.45</c:v>
                </c:pt>
                <c:pt idx="2">
                  <c:v>5.9</c:v>
                </c:pt>
                <c:pt idx="3">
                  <c:v>1.5</c:v>
                </c:pt>
                <c:pt idx="4">
                  <c:v>8.15</c:v>
                </c:pt>
                <c:pt idx="5">
                  <c:v>2.4</c:v>
                </c:pt>
                <c:pt idx="6">
                  <c:v>5.75</c:v>
                </c:pt>
                <c:pt idx="7">
                  <c:v>12.1</c:v>
                </c:pt>
                <c:pt idx="8">
                  <c:v>17.850000000000001</c:v>
                </c:pt>
                <c:pt idx="9">
                  <c:v>20.2</c:v>
                </c:pt>
                <c:pt idx="10">
                  <c:v>22.1</c:v>
                </c:pt>
                <c:pt idx="11">
                  <c:v>9.85</c:v>
                </c:pt>
                <c:pt idx="12">
                  <c:v>37.950000000000003</c:v>
                </c:pt>
                <c:pt idx="13">
                  <c:v>41.45</c:v>
                </c:pt>
                <c:pt idx="14">
                  <c:v>44.5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1-43F9-9BD4-83887CB60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53024"/>
        <c:axId val="113958912"/>
      </c:areaChart>
      <c:lineChart>
        <c:grouping val="standard"/>
        <c:varyColors val="0"/>
        <c:ser>
          <c:idx val="1"/>
          <c:order val="1"/>
          <c:tx>
            <c:strRef>
              <c:f>'P1 Summary'!$B$22</c:f>
              <c:strCache>
                <c:ptCount val="1"/>
                <c:pt idx="0">
                  <c:v>Chlorophyll Standard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'P1 Summary'!$C$22:$Q$22</c:f>
              <c:numCache>
                <c:formatCode>#,##0.0</c:formatCode>
                <c:ptCount val="15"/>
                <c:pt idx="0">
                  <c:v>12.2</c:v>
                </c:pt>
                <c:pt idx="1">
                  <c:v>12.2</c:v>
                </c:pt>
                <c:pt idx="2">
                  <c:v>12.2</c:v>
                </c:pt>
                <c:pt idx="3">
                  <c:v>12.2</c:v>
                </c:pt>
                <c:pt idx="4">
                  <c:v>12.2</c:v>
                </c:pt>
                <c:pt idx="5">
                  <c:v>12.2</c:v>
                </c:pt>
                <c:pt idx="6">
                  <c:v>12.2</c:v>
                </c:pt>
                <c:pt idx="7">
                  <c:v>12.2</c:v>
                </c:pt>
                <c:pt idx="8">
                  <c:v>12.2</c:v>
                </c:pt>
                <c:pt idx="9">
                  <c:v>12.2</c:v>
                </c:pt>
                <c:pt idx="10">
                  <c:v>12.2</c:v>
                </c:pt>
                <c:pt idx="11">
                  <c:v>12.2</c:v>
                </c:pt>
                <c:pt idx="12">
                  <c:v>12.2</c:v>
                </c:pt>
                <c:pt idx="13">
                  <c:v>12.2</c:v>
                </c:pt>
                <c:pt idx="14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4-46F6-AB9A-86B867DAC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53024"/>
        <c:axId val="113958912"/>
      </c:lineChart>
      <c:dateAx>
        <c:axId val="113953024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58912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1395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Chlorophyll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53024"/>
        <c:crossesAt val="40179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Bear Creek Reservoir 2018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781951550787238E-2"/>
          <c:y val="0.12280201461303822"/>
          <c:w val="0.88478385501297241"/>
          <c:h val="0.67521004469035961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Summary'!$B$9</c:f>
              <c:strCache>
                <c:ptCount val="1"/>
                <c:pt idx="0">
                  <c:v>Chlorophyll 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'P1 Summary'!$C$11:$Q$11</c:f>
              <c:numCache>
                <c:formatCode>0.0</c:formatCode>
                <c:ptCount val="15"/>
                <c:pt idx="0">
                  <c:v>1.25</c:v>
                </c:pt>
                <c:pt idx="1">
                  <c:v>15.45</c:v>
                </c:pt>
                <c:pt idx="2">
                  <c:v>5.9</c:v>
                </c:pt>
                <c:pt idx="3">
                  <c:v>1.5</c:v>
                </c:pt>
                <c:pt idx="4">
                  <c:v>8.15</c:v>
                </c:pt>
                <c:pt idx="5">
                  <c:v>2.4</c:v>
                </c:pt>
                <c:pt idx="6">
                  <c:v>5.75</c:v>
                </c:pt>
                <c:pt idx="7">
                  <c:v>12.1</c:v>
                </c:pt>
                <c:pt idx="8">
                  <c:v>17.850000000000001</c:v>
                </c:pt>
                <c:pt idx="9">
                  <c:v>20.2</c:v>
                </c:pt>
                <c:pt idx="10">
                  <c:v>22.1</c:v>
                </c:pt>
                <c:pt idx="11">
                  <c:v>9.85</c:v>
                </c:pt>
                <c:pt idx="12">
                  <c:v>37.950000000000003</c:v>
                </c:pt>
                <c:pt idx="13">
                  <c:v>41.45</c:v>
                </c:pt>
                <c:pt idx="14">
                  <c:v>44.5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B-4B6E-A44C-5A613EC673D5}"/>
            </c:ext>
          </c:extLst>
        </c:ser>
        <c:ser>
          <c:idx val="3"/>
          <c:order val="1"/>
          <c:tx>
            <c:strRef>
              <c:f>'P1 Summary'!$B$22</c:f>
              <c:strCache>
                <c:ptCount val="1"/>
                <c:pt idx="0">
                  <c:v>Chlorophyll Standard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'P1 Summary'!$C$22:$Q$22</c:f>
              <c:numCache>
                <c:formatCode>#,##0.0</c:formatCode>
                <c:ptCount val="15"/>
                <c:pt idx="0">
                  <c:v>12.2</c:v>
                </c:pt>
                <c:pt idx="1">
                  <c:v>12.2</c:v>
                </c:pt>
                <c:pt idx="2">
                  <c:v>12.2</c:v>
                </c:pt>
                <c:pt idx="3">
                  <c:v>12.2</c:v>
                </c:pt>
                <c:pt idx="4">
                  <c:v>12.2</c:v>
                </c:pt>
                <c:pt idx="5">
                  <c:v>12.2</c:v>
                </c:pt>
                <c:pt idx="6">
                  <c:v>12.2</c:v>
                </c:pt>
                <c:pt idx="7">
                  <c:v>12.2</c:v>
                </c:pt>
                <c:pt idx="8">
                  <c:v>12.2</c:v>
                </c:pt>
                <c:pt idx="9">
                  <c:v>12.2</c:v>
                </c:pt>
                <c:pt idx="10">
                  <c:v>12.2</c:v>
                </c:pt>
                <c:pt idx="11">
                  <c:v>12.2</c:v>
                </c:pt>
                <c:pt idx="12">
                  <c:v>12.2</c:v>
                </c:pt>
                <c:pt idx="13">
                  <c:v>12.2</c:v>
                </c:pt>
                <c:pt idx="14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B-472F-9766-7171D54437FB}"/>
            </c:ext>
          </c:extLst>
        </c:ser>
        <c:ser>
          <c:idx val="1"/>
          <c:order val="2"/>
          <c:tx>
            <c:strRef>
              <c:f>'P1 Summary'!$B$8</c:f>
              <c:strCache>
                <c:ptCount val="1"/>
                <c:pt idx="0">
                  <c:v>Phosphorus, total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'P1 Summary'!$C$8:$Q$8</c:f>
              <c:numCache>
                <c:formatCode>General</c:formatCode>
                <c:ptCount val="15"/>
                <c:pt idx="0">
                  <c:v>13</c:v>
                </c:pt>
                <c:pt idx="1">
                  <c:v>25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39</c:v>
                </c:pt>
                <c:pt idx="6">
                  <c:v>64</c:v>
                </c:pt>
                <c:pt idx="7">
                  <c:v>35</c:v>
                </c:pt>
                <c:pt idx="8">
                  <c:v>50</c:v>
                </c:pt>
                <c:pt idx="9">
                  <c:v>48</c:v>
                </c:pt>
                <c:pt idx="10">
                  <c:v>94</c:v>
                </c:pt>
                <c:pt idx="11">
                  <c:v>48</c:v>
                </c:pt>
                <c:pt idx="12">
                  <c:v>48</c:v>
                </c:pt>
                <c:pt idx="13">
                  <c:v>69</c:v>
                </c:pt>
                <c:pt idx="14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B-4B6E-A44C-5A613EC673D5}"/>
            </c:ext>
          </c:extLst>
        </c:ser>
        <c:ser>
          <c:idx val="2"/>
          <c:order val="3"/>
          <c:tx>
            <c:strRef>
              <c:f>'P1 Summary'!$B$21</c:f>
              <c:strCache>
                <c:ptCount val="1"/>
                <c:pt idx="0">
                  <c:v>Phosphorus Standard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'P1 Summary'!$C$21:$Q$21</c:f>
              <c:numCache>
                <c:formatCode>#,##0.0</c:formatCode>
                <c:ptCount val="15"/>
                <c:pt idx="0">
                  <c:v>22.2</c:v>
                </c:pt>
                <c:pt idx="1">
                  <c:v>22.2</c:v>
                </c:pt>
                <c:pt idx="2">
                  <c:v>22.2</c:v>
                </c:pt>
                <c:pt idx="3">
                  <c:v>22.2</c:v>
                </c:pt>
                <c:pt idx="4">
                  <c:v>22.2</c:v>
                </c:pt>
                <c:pt idx="5">
                  <c:v>22.2</c:v>
                </c:pt>
                <c:pt idx="6">
                  <c:v>22.2</c:v>
                </c:pt>
                <c:pt idx="7">
                  <c:v>22.2</c:v>
                </c:pt>
                <c:pt idx="8">
                  <c:v>22.2</c:v>
                </c:pt>
                <c:pt idx="9">
                  <c:v>22.2</c:v>
                </c:pt>
                <c:pt idx="10">
                  <c:v>22.2</c:v>
                </c:pt>
                <c:pt idx="11">
                  <c:v>22.2</c:v>
                </c:pt>
                <c:pt idx="12">
                  <c:v>22.2</c:v>
                </c:pt>
                <c:pt idx="13">
                  <c:v>22.2</c:v>
                </c:pt>
                <c:pt idx="14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0B-472F-9766-7171D5443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09536"/>
        <c:axId val="116211072"/>
      </c:lineChart>
      <c:dateAx>
        <c:axId val="116209536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11072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1621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09536"/>
        <c:crossesAt val="40544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Nitrogen </a:t>
            </a:r>
          </a:p>
        </c:rich>
      </c:tx>
      <c:layout>
        <c:manualLayout>
          <c:xMode val="edge"/>
          <c:yMode val="edge"/>
          <c:x val="0.36081012416673797"/>
          <c:y val="3.91391584735146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978090089321424E-2"/>
          <c:y val="0.13490922025886434"/>
          <c:w val="0.88123154893333056"/>
          <c:h val="0.55823591754990365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Summary'!$A$3:$A$4</c:f>
              <c:strCache>
                <c:ptCount val="1"/>
                <c:pt idx="0">
                  <c:v>Bear Creek Inflow, Site 15a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'P1 Summary'!$C$3:$Q$3</c:f>
              <c:numCache>
                <c:formatCode>General</c:formatCode>
                <c:ptCount val="15"/>
                <c:pt idx="0">
                  <c:v>1252</c:v>
                </c:pt>
                <c:pt idx="1">
                  <c:v>1245</c:v>
                </c:pt>
                <c:pt idx="2">
                  <c:v>1333</c:v>
                </c:pt>
                <c:pt idx="3">
                  <c:v>1143</c:v>
                </c:pt>
                <c:pt idx="4">
                  <c:v>769</c:v>
                </c:pt>
                <c:pt idx="5">
                  <c:v>833</c:v>
                </c:pt>
                <c:pt idx="6">
                  <c:v>704</c:v>
                </c:pt>
                <c:pt idx="7">
                  <c:v>1209</c:v>
                </c:pt>
                <c:pt idx="8">
                  <c:v>1170</c:v>
                </c:pt>
                <c:pt idx="9">
                  <c:v>1271</c:v>
                </c:pt>
                <c:pt idx="10">
                  <c:v>965</c:v>
                </c:pt>
                <c:pt idx="11">
                  <c:v>903</c:v>
                </c:pt>
                <c:pt idx="12">
                  <c:v>790</c:v>
                </c:pt>
                <c:pt idx="13">
                  <c:v>1066</c:v>
                </c:pt>
                <c:pt idx="14">
                  <c:v>2342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9-463D-B2D5-291E80E18ECF}"/>
            </c:ext>
          </c:extLst>
        </c:ser>
        <c:ser>
          <c:idx val="1"/>
          <c:order val="1"/>
          <c:tx>
            <c:strRef>
              <c:f>'P1 Summary'!$A$5:$A$6</c:f>
              <c:strCache>
                <c:ptCount val="1"/>
                <c:pt idx="0">
                  <c:v>Turkey Creek Inflow, Site 16a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'P1 Summary'!$C$5:$Q$5</c:f>
              <c:numCache>
                <c:formatCode>General</c:formatCode>
                <c:ptCount val="15"/>
                <c:pt idx="0">
                  <c:v>911</c:v>
                </c:pt>
                <c:pt idx="1">
                  <c:v>769</c:v>
                </c:pt>
                <c:pt idx="2">
                  <c:v>872</c:v>
                </c:pt>
                <c:pt idx="3">
                  <c:v>662</c:v>
                </c:pt>
                <c:pt idx="4">
                  <c:v>554</c:v>
                </c:pt>
                <c:pt idx="5">
                  <c:v>617</c:v>
                </c:pt>
                <c:pt idx="6">
                  <c:v>1759</c:v>
                </c:pt>
                <c:pt idx="7">
                  <c:v>539</c:v>
                </c:pt>
                <c:pt idx="8">
                  <c:v>664</c:v>
                </c:pt>
                <c:pt idx="9">
                  <c:v>744</c:v>
                </c:pt>
                <c:pt idx="10">
                  <c:v>783</c:v>
                </c:pt>
                <c:pt idx="11">
                  <c:v>568</c:v>
                </c:pt>
                <c:pt idx="12">
                  <c:v>672</c:v>
                </c:pt>
                <c:pt idx="13">
                  <c:v>392</c:v>
                </c:pt>
                <c:pt idx="14">
                  <c:v>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9-463D-B2D5-291E80E18ECF}"/>
            </c:ext>
          </c:extLst>
        </c:ser>
        <c:ser>
          <c:idx val="2"/>
          <c:order val="2"/>
          <c:tx>
            <c:strRef>
              <c:f>'P1 Summary'!$A$7:$A$11</c:f>
              <c:strCache>
                <c:ptCount val="1"/>
                <c:pt idx="0">
                  <c:v>BCR Top, Site 40a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'P1 Summary'!$C$7:$Q$7</c:f>
              <c:numCache>
                <c:formatCode>General</c:formatCode>
                <c:ptCount val="15"/>
                <c:pt idx="0">
                  <c:v>1050</c:v>
                </c:pt>
                <c:pt idx="1">
                  <c:v>1170</c:v>
                </c:pt>
                <c:pt idx="2">
                  <c:v>906</c:v>
                </c:pt>
                <c:pt idx="3">
                  <c:v>882</c:v>
                </c:pt>
                <c:pt idx="4">
                  <c:v>679</c:v>
                </c:pt>
                <c:pt idx="5">
                  <c:v>627</c:v>
                </c:pt>
                <c:pt idx="6">
                  <c:v>831</c:v>
                </c:pt>
                <c:pt idx="7">
                  <c:v>865</c:v>
                </c:pt>
                <c:pt idx="8">
                  <c:v>632</c:v>
                </c:pt>
                <c:pt idx="9">
                  <c:v>606</c:v>
                </c:pt>
                <c:pt idx="10">
                  <c:v>903</c:v>
                </c:pt>
                <c:pt idx="11">
                  <c:v>542</c:v>
                </c:pt>
                <c:pt idx="12">
                  <c:v>676</c:v>
                </c:pt>
                <c:pt idx="13">
                  <c:v>825</c:v>
                </c:pt>
                <c:pt idx="14">
                  <c:v>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69-463D-B2D5-291E80E18ECF}"/>
            </c:ext>
          </c:extLst>
        </c:ser>
        <c:ser>
          <c:idx val="3"/>
          <c:order val="3"/>
          <c:tx>
            <c:strRef>
              <c:f>'P1 Summary'!$A$12:$A$13</c:f>
              <c:strCache>
                <c:ptCount val="1"/>
                <c:pt idx="0">
                  <c:v>BCR  -10m, Site 40c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'P1 Summary'!$C$12:$Q$12</c:f>
              <c:numCache>
                <c:formatCode>General</c:formatCode>
                <c:ptCount val="15"/>
                <c:pt idx="0">
                  <c:v>1046</c:v>
                </c:pt>
                <c:pt idx="1">
                  <c:v>1267</c:v>
                </c:pt>
                <c:pt idx="2">
                  <c:v>1149</c:v>
                </c:pt>
                <c:pt idx="3">
                  <c:v>866</c:v>
                </c:pt>
                <c:pt idx="4">
                  <c:v>930</c:v>
                </c:pt>
                <c:pt idx="5">
                  <c:v>758</c:v>
                </c:pt>
                <c:pt idx="6">
                  <c:v>836</c:v>
                </c:pt>
                <c:pt idx="7">
                  <c:v>868</c:v>
                </c:pt>
                <c:pt idx="8">
                  <c:v>720</c:v>
                </c:pt>
                <c:pt idx="9">
                  <c:v>650</c:v>
                </c:pt>
                <c:pt idx="10">
                  <c:v>757</c:v>
                </c:pt>
                <c:pt idx="11">
                  <c:v>488</c:v>
                </c:pt>
                <c:pt idx="12" formatCode="0.0">
                  <c:v>550</c:v>
                </c:pt>
                <c:pt idx="13">
                  <c:v>596</c:v>
                </c:pt>
                <c:pt idx="14">
                  <c:v>1076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69-463D-B2D5-291E80E18ECF}"/>
            </c:ext>
          </c:extLst>
        </c:ser>
        <c:ser>
          <c:idx val="4"/>
          <c:order val="4"/>
          <c:tx>
            <c:strRef>
              <c:f>'P1 Summary'!$A$14:$A$16</c:f>
              <c:strCache>
                <c:ptCount val="1"/>
                <c:pt idx="0">
                  <c:v>Lower Bear Creek Outflow, Site 45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'P1 Summary'!$C$14:$Q$14</c:f>
              <c:numCache>
                <c:formatCode>General</c:formatCode>
                <c:ptCount val="15"/>
                <c:pt idx="0">
                  <c:v>1046</c:v>
                </c:pt>
                <c:pt idx="1">
                  <c:v>1267</c:v>
                </c:pt>
                <c:pt idx="2">
                  <c:v>1149</c:v>
                </c:pt>
                <c:pt idx="3">
                  <c:v>866</c:v>
                </c:pt>
                <c:pt idx="4">
                  <c:v>930</c:v>
                </c:pt>
                <c:pt idx="5">
                  <c:v>758</c:v>
                </c:pt>
                <c:pt idx="6">
                  <c:v>836</c:v>
                </c:pt>
                <c:pt idx="7">
                  <c:v>868</c:v>
                </c:pt>
                <c:pt idx="8">
                  <c:v>720</c:v>
                </c:pt>
                <c:pt idx="9">
                  <c:v>650</c:v>
                </c:pt>
                <c:pt idx="10">
                  <c:v>757</c:v>
                </c:pt>
                <c:pt idx="11">
                  <c:v>488</c:v>
                </c:pt>
                <c:pt idx="12" formatCode="0.0">
                  <c:v>550</c:v>
                </c:pt>
                <c:pt idx="13">
                  <c:v>596</c:v>
                </c:pt>
                <c:pt idx="14">
                  <c:v>1076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69-463D-B2D5-291E80E18ECF}"/>
            </c:ext>
          </c:extLst>
        </c:ser>
        <c:ser>
          <c:idx val="5"/>
          <c:order val="5"/>
          <c:tx>
            <c:strRef>
              <c:f>'P1 Summary'!$A$17:$A$19</c:f>
              <c:strCache>
                <c:ptCount val="1"/>
                <c:pt idx="0">
                  <c:v>Lower Bear Creek, Wadsworth Site 90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'P1 Summary'!$C$17:$Q$17</c:f>
              <c:numCache>
                <c:formatCode>General</c:formatCode>
                <c:ptCount val="15"/>
                <c:pt idx="0">
                  <c:v>1037</c:v>
                </c:pt>
                <c:pt idx="1">
                  <c:v>1127</c:v>
                </c:pt>
                <c:pt idx="2">
                  <c:v>1015</c:v>
                </c:pt>
                <c:pt idx="3">
                  <c:v>987</c:v>
                </c:pt>
                <c:pt idx="4">
                  <c:v>823</c:v>
                </c:pt>
                <c:pt idx="5">
                  <c:v>811</c:v>
                </c:pt>
                <c:pt idx="6">
                  <c:v>742</c:v>
                </c:pt>
                <c:pt idx="7">
                  <c:v>1130</c:v>
                </c:pt>
                <c:pt idx="8">
                  <c:v>652</c:v>
                </c:pt>
                <c:pt idx="9">
                  <c:v>864</c:v>
                </c:pt>
                <c:pt idx="10">
                  <c:v>859</c:v>
                </c:pt>
                <c:pt idx="11">
                  <c:v>868</c:v>
                </c:pt>
                <c:pt idx="12">
                  <c:v>896</c:v>
                </c:pt>
                <c:pt idx="13">
                  <c:v>709</c:v>
                </c:pt>
                <c:pt idx="14">
                  <c:v>1225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1A-40D9-9A74-4B1C5B3AB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62016"/>
        <c:axId val="116263552"/>
      </c:lineChart>
      <c:dateAx>
        <c:axId val="116262016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63552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1626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TN ug/l</a:t>
                </a:r>
              </a:p>
            </c:rich>
          </c:tx>
          <c:layout>
            <c:manualLayout>
              <c:xMode val="edge"/>
              <c:yMode val="edge"/>
              <c:x val="1.5832009199716883E-3"/>
              <c:y val="0.420447399200896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6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39110667192705"/>
          <c:y val="0.7789760943290972"/>
          <c:w val="0.78026341795128284"/>
          <c:h val="0.154563458539845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Nitrogen Bear Creek Reservoir </a:t>
            </a:r>
          </a:p>
        </c:rich>
      </c:tx>
      <c:layout>
        <c:manualLayout>
          <c:xMode val="edge"/>
          <c:yMode val="edge"/>
          <c:x val="0.33446057497643067"/>
          <c:y val="1.52278102011349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57595997938693"/>
          <c:y val="0.2082293341152974"/>
          <c:w val="0.8051691260852254"/>
          <c:h val="0.57759862499556058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Summary'!$A$7:$A$11</c:f>
              <c:strCache>
                <c:ptCount val="1"/>
                <c:pt idx="0">
                  <c:v>BCR Top, Site 40a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43297</c:v>
                </c:pt>
                <c:pt idx="8">
                  <c:v>43319</c:v>
                </c:pt>
                <c:pt idx="9">
                  <c:v>43325</c:v>
                </c:pt>
                <c:pt idx="10">
                  <c:v>43353</c:v>
                </c:pt>
                <c:pt idx="11">
                  <c:v>43369</c:v>
                </c:pt>
                <c:pt idx="12">
                  <c:v>43388</c:v>
                </c:pt>
                <c:pt idx="13">
                  <c:v>43409</c:v>
                </c:pt>
                <c:pt idx="14">
                  <c:v>43444</c:v>
                </c:pt>
              </c:numCache>
            </c:numRef>
          </c:cat>
          <c:val>
            <c:numRef>
              <c:f>'P1 Summary'!$C$7:$Q$7</c:f>
              <c:numCache>
                <c:formatCode>General</c:formatCode>
                <c:ptCount val="15"/>
                <c:pt idx="0">
                  <c:v>1050</c:v>
                </c:pt>
                <c:pt idx="1">
                  <c:v>1170</c:v>
                </c:pt>
                <c:pt idx="2">
                  <c:v>906</c:v>
                </c:pt>
                <c:pt idx="3">
                  <c:v>882</c:v>
                </c:pt>
                <c:pt idx="4">
                  <c:v>679</c:v>
                </c:pt>
                <c:pt idx="5">
                  <c:v>627</c:v>
                </c:pt>
                <c:pt idx="6">
                  <c:v>831</c:v>
                </c:pt>
                <c:pt idx="7">
                  <c:v>865</c:v>
                </c:pt>
                <c:pt idx="8">
                  <c:v>632</c:v>
                </c:pt>
                <c:pt idx="9">
                  <c:v>606</c:v>
                </c:pt>
                <c:pt idx="10">
                  <c:v>903</c:v>
                </c:pt>
                <c:pt idx="11">
                  <c:v>542</c:v>
                </c:pt>
                <c:pt idx="12">
                  <c:v>676</c:v>
                </c:pt>
                <c:pt idx="13">
                  <c:v>825</c:v>
                </c:pt>
                <c:pt idx="14">
                  <c:v>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02-4557-BA5B-C0D0AE64A842}"/>
            </c:ext>
          </c:extLst>
        </c:ser>
        <c:ser>
          <c:idx val="1"/>
          <c:order val="1"/>
          <c:tx>
            <c:strRef>
              <c:f>'P1 Summary'!$A$12:$A$13</c:f>
              <c:strCache>
                <c:ptCount val="1"/>
                <c:pt idx="0">
                  <c:v>BCR  -10m, Site 40c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'P1 Summary'!$C$12:$Q$12</c:f>
              <c:numCache>
                <c:formatCode>General</c:formatCode>
                <c:ptCount val="15"/>
                <c:pt idx="0">
                  <c:v>1046</c:v>
                </c:pt>
                <c:pt idx="1">
                  <c:v>1267</c:v>
                </c:pt>
                <c:pt idx="2">
                  <c:v>1149</c:v>
                </c:pt>
                <c:pt idx="3">
                  <c:v>866</c:v>
                </c:pt>
                <c:pt idx="4">
                  <c:v>930</c:v>
                </c:pt>
                <c:pt idx="5">
                  <c:v>758</c:v>
                </c:pt>
                <c:pt idx="6">
                  <c:v>836</c:v>
                </c:pt>
                <c:pt idx="7">
                  <c:v>868</c:v>
                </c:pt>
                <c:pt idx="8">
                  <c:v>720</c:v>
                </c:pt>
                <c:pt idx="9">
                  <c:v>650</c:v>
                </c:pt>
                <c:pt idx="10">
                  <c:v>757</c:v>
                </c:pt>
                <c:pt idx="11">
                  <c:v>488</c:v>
                </c:pt>
                <c:pt idx="12" formatCode="0.0">
                  <c:v>550</c:v>
                </c:pt>
                <c:pt idx="13">
                  <c:v>596</c:v>
                </c:pt>
                <c:pt idx="14">
                  <c:v>1076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EF-4B9E-9A76-4974300C4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372608"/>
        <c:axId val="116374144"/>
      </c:lineChart>
      <c:dateAx>
        <c:axId val="116372608"/>
        <c:scaling>
          <c:orientation val="minMax"/>
        </c:scaling>
        <c:delete val="1"/>
        <c:axPos val="t"/>
        <c:numFmt formatCode="[$-409]d\-mmm;@" sourceLinked="1"/>
        <c:majorTickMark val="none"/>
        <c:minorTickMark val="none"/>
        <c:tickLblPos val="nextTo"/>
        <c:crossAx val="116374144"/>
        <c:crosses val="autoZero"/>
        <c:auto val="1"/>
        <c:lblOffset val="100"/>
        <c:baseTimeUnit val="days"/>
      </c:dateAx>
      <c:valAx>
        <c:axId val="11637414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Nitrogen ug/l</a:t>
                </a:r>
              </a:p>
            </c:rich>
          </c:tx>
          <c:layout>
            <c:manualLayout>
              <c:xMode val="edge"/>
              <c:yMode val="edge"/>
              <c:x val="9.3691646834728998E-2"/>
              <c:y val="0.278437841756135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726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Phosphorus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'Mt Evans Summary'!$I$16</c:f>
              <c:strCache>
                <c:ptCount val="1"/>
                <c:pt idx="0">
                  <c:v>site 36 through Culverts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'Mt Evans Summary'!$J$11:$M$11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</c:v>
                </c:pt>
              </c:strCache>
            </c:strRef>
          </c:cat>
          <c:val>
            <c:numRef>
              <c:f>'Mt Evans Summary'!$J$16:$M$16</c:f>
              <c:numCache>
                <c:formatCode>#,##0.00</c:formatCode>
                <c:ptCount val="4"/>
                <c:pt idx="0">
                  <c:v>3.1532340000000004E-3</c:v>
                </c:pt>
                <c:pt idx="1">
                  <c:v>0.59256406565999997</c:v>
                </c:pt>
                <c:pt idx="2">
                  <c:v>0.9039112866000002</c:v>
                </c:pt>
                <c:pt idx="3">
                  <c:v>0.28348472250000001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1-4CF4-A768-F149EA493D07}"/>
            </c:ext>
          </c:extLst>
        </c:ser>
        <c:ser>
          <c:idx val="1"/>
          <c:order val="1"/>
          <c:tx>
            <c:strRef>
              <c:f>'Mt Evans Summary'!$I$17</c:f>
              <c:strCache>
                <c:ptCount val="1"/>
                <c:pt idx="0">
                  <c:v>site 37 - Bear Creek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'Mt Evans Summary'!$J$17:$M$17</c:f>
              <c:numCache>
                <c:formatCode>#,##0.00</c:formatCode>
                <c:ptCount val="4"/>
                <c:pt idx="0">
                  <c:v>1.9827731448000001</c:v>
                </c:pt>
                <c:pt idx="1">
                  <c:v>1.3642364788500001</c:v>
                </c:pt>
                <c:pt idx="2">
                  <c:v>1.8680833256399998</c:v>
                </c:pt>
                <c:pt idx="3">
                  <c:v>0.5054127624000001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1-4CF4-A768-F149EA493D07}"/>
            </c:ext>
          </c:extLst>
        </c:ser>
        <c:ser>
          <c:idx val="2"/>
          <c:order val="2"/>
          <c:tx>
            <c:strRef>
              <c:f>'Mt Evans Summary'!$I$18</c:f>
              <c:strCache>
                <c:ptCount val="1"/>
                <c:pt idx="0">
                  <c:v>Site 63 - Bottom Fen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'Mt Evans Summary'!$J$18:$M$18</c:f>
              <c:numCache>
                <c:formatCode>#,##0.00</c:formatCode>
                <c:ptCount val="4"/>
                <c:pt idx="0">
                  <c:v>1.3040297235000002</c:v>
                </c:pt>
                <c:pt idx="1">
                  <c:v>7.2507292452000005</c:v>
                </c:pt>
                <c:pt idx="2">
                  <c:v>0</c:v>
                </c:pt>
                <c:pt idx="3">
                  <c:v>3.6253646226000003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0-4A34-9354-22EA6211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03719144"/>
        <c:axId val="603720456"/>
      </c:barChart>
      <c:catAx>
        <c:axId val="60371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20456"/>
        <c:crosses val="autoZero"/>
        <c:auto val="1"/>
        <c:lblAlgn val="ctr"/>
        <c:lblOffset val="100"/>
        <c:noMultiLvlLbl val="0"/>
      </c:catAx>
      <c:valAx>
        <c:axId val="60372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TP Pounds/Month</a:t>
                </a:r>
              </a:p>
            </c:rich>
          </c:tx>
          <c:layout>
            <c:manualLayout>
              <c:xMode val="edge"/>
              <c:yMode val="edge"/>
              <c:x val="0.19722222222222222"/>
              <c:y val="0.273607465733449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191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Nitrogen</a:t>
            </a:r>
          </a:p>
        </c:rich>
      </c:tx>
      <c:layout>
        <c:manualLayout>
          <c:xMode val="edge"/>
          <c:yMode val="edge"/>
          <c:x val="0.3858541119860017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'Mt Evans Summary'!$I$20</c:f>
              <c:strCache>
                <c:ptCount val="1"/>
                <c:pt idx="0">
                  <c:v>site 36 through Culverts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'Mt Evans Summary'!$J$11:$M$11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</c:v>
                </c:pt>
              </c:strCache>
            </c:strRef>
          </c:cat>
          <c:val>
            <c:numRef>
              <c:f>'Mt Evans Summary'!$J$20:$M$20</c:f>
              <c:numCache>
                <c:formatCode>#,##0.0</c:formatCode>
                <c:ptCount val="4"/>
                <c:pt idx="0">
                  <c:v>0.37996469700000007</c:v>
                </c:pt>
                <c:pt idx="1">
                  <c:v>39.405510366389997</c:v>
                </c:pt>
                <c:pt idx="2">
                  <c:v>40.676007897000012</c:v>
                </c:pt>
                <c:pt idx="3">
                  <c:v>8.5450394925000008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4-47E7-B986-10A076406C55}"/>
            </c:ext>
          </c:extLst>
        </c:ser>
        <c:ser>
          <c:idx val="1"/>
          <c:order val="1"/>
          <c:tx>
            <c:strRef>
              <c:f>'Mt Evans Summary'!$I$21</c:f>
              <c:strCache>
                <c:ptCount val="1"/>
                <c:pt idx="0">
                  <c:v>site 37 - Bear Creek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'Mt Evans Summary'!$J$11:$M$11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</c:v>
                </c:pt>
              </c:strCache>
            </c:strRef>
          </c:cat>
          <c:val>
            <c:numRef>
              <c:f>'Mt Evans Summary'!$J$21:$M$21</c:f>
              <c:numCache>
                <c:formatCode>#,##0.0</c:formatCode>
                <c:ptCount val="4"/>
                <c:pt idx="0">
                  <c:v>122.6840883345</c:v>
                </c:pt>
                <c:pt idx="1">
                  <c:v>51.022444308989996</c:v>
                </c:pt>
                <c:pt idx="2">
                  <c:v>52.513897931879995</c:v>
                </c:pt>
                <c:pt idx="3">
                  <c:v>13.730380045200002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4-47E7-B986-10A076406C55}"/>
            </c:ext>
          </c:extLst>
        </c:ser>
        <c:ser>
          <c:idx val="2"/>
          <c:order val="2"/>
          <c:tx>
            <c:strRef>
              <c:f>'Mt Evans Summary'!$I$22</c:f>
              <c:strCache>
                <c:ptCount val="1"/>
                <c:pt idx="0">
                  <c:v>Site 63 - Bottom Fen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'Mt Evans Summary'!$J$22:$M$22</c:f>
              <c:numCache>
                <c:formatCode>#,##0.0</c:formatCode>
                <c:ptCount val="4"/>
                <c:pt idx="0">
                  <c:v>2.9028835584000006</c:v>
                </c:pt>
                <c:pt idx="1">
                  <c:v>15.536582705700001</c:v>
                </c:pt>
                <c:pt idx="2">
                  <c:v>0</c:v>
                </c:pt>
                <c:pt idx="3">
                  <c:v>7.8436172934000004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4-4746-AB7F-F89932338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608920"/>
        <c:axId val="504606296"/>
      </c:barChart>
      <c:catAx>
        <c:axId val="50460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606296"/>
        <c:crosses val="autoZero"/>
        <c:auto val="1"/>
        <c:lblAlgn val="ctr"/>
        <c:lblOffset val="100"/>
        <c:noMultiLvlLbl val="0"/>
      </c:catAx>
      <c:valAx>
        <c:axId val="504606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TN Pounds/Month</a:t>
                </a:r>
              </a:p>
            </c:rich>
          </c:tx>
          <c:layout>
            <c:manualLayout>
              <c:xMode val="edge"/>
              <c:yMode val="edge"/>
              <c:x val="0.19722222222222222"/>
              <c:y val="0.252450058326042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6089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Secchi Depth [meter] Trend</a:t>
            </a:r>
          </a:p>
        </c:rich>
      </c:tx>
      <c:layout>
        <c:manualLayout>
          <c:xMode val="edge"/>
          <c:yMode val="edge"/>
          <c:x val="0.35785126859142607"/>
          <c:y val="1.7827779631084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68135240420389E-2"/>
          <c:y val="0.25062563178037861"/>
          <c:w val="0.89243114692708359"/>
          <c:h val="0.7046476538665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Trends'!$A$22</c:f>
              <c:strCache>
                <c:ptCount val="1"/>
                <c:pt idx="0">
                  <c:v>Secchi Depth (m)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'Annual Reservoir Trends'!$C$3:$AD$3</c:f>
              <c:numCache>
                <c:formatCode>0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'Annual Reservoir Trends'!$C$22:$AD$22</c:f>
              <c:numCache>
                <c:formatCode>#,##0</c:formatCode>
                <c:ptCount val="28"/>
                <c:pt idx="0">
                  <c:v>2.17</c:v>
                </c:pt>
                <c:pt idx="1">
                  <c:v>2.1</c:v>
                </c:pt>
                <c:pt idx="2">
                  <c:v>2.84</c:v>
                </c:pt>
                <c:pt idx="3">
                  <c:v>1.79</c:v>
                </c:pt>
                <c:pt idx="4">
                  <c:v>2.14</c:v>
                </c:pt>
                <c:pt idx="5">
                  <c:v>2.5099999999999998</c:v>
                </c:pt>
                <c:pt idx="6">
                  <c:v>1.7</c:v>
                </c:pt>
                <c:pt idx="7">
                  <c:v>1.8</c:v>
                </c:pt>
                <c:pt idx="8">
                  <c:v>1.8</c:v>
                </c:pt>
                <c:pt idx="9">
                  <c:v>2.4</c:v>
                </c:pt>
                <c:pt idx="10">
                  <c:v>2.2999999999999998</c:v>
                </c:pt>
                <c:pt idx="11">
                  <c:v>3</c:v>
                </c:pt>
                <c:pt idx="12">
                  <c:v>1.7</c:v>
                </c:pt>
                <c:pt idx="13">
                  <c:v>2.6</c:v>
                </c:pt>
                <c:pt idx="14" formatCode="0.0">
                  <c:v>2.0656249999999998</c:v>
                </c:pt>
                <c:pt idx="15" formatCode="0.0">
                  <c:v>2.4</c:v>
                </c:pt>
                <c:pt idx="16" formatCode="0.0">
                  <c:v>1.7</c:v>
                </c:pt>
                <c:pt idx="17" formatCode="0.0">
                  <c:v>2.4</c:v>
                </c:pt>
                <c:pt idx="18" formatCode="0.0">
                  <c:v>2.7</c:v>
                </c:pt>
                <c:pt idx="19" formatCode="0.0">
                  <c:v>1.7</c:v>
                </c:pt>
                <c:pt idx="20" formatCode="0.0">
                  <c:v>2.2000000000000002</c:v>
                </c:pt>
                <c:pt idx="21" formatCode="0.0">
                  <c:v>2.1800000000000002</c:v>
                </c:pt>
                <c:pt idx="22" formatCode="0.0">
                  <c:v>1.86</c:v>
                </c:pt>
                <c:pt idx="23" formatCode="0.0">
                  <c:v>1.98</c:v>
                </c:pt>
                <c:pt idx="24" formatCode="0.0">
                  <c:v>1.17</c:v>
                </c:pt>
                <c:pt idx="25" formatCode="0.0">
                  <c:v>1.22</c:v>
                </c:pt>
                <c:pt idx="26" formatCode="0.0">
                  <c:v>2.17</c:v>
                </c:pt>
                <c:pt idx="27" formatCode="0.0">
                  <c:v>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26-44EA-81EB-4285F31CC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6348928"/>
        <c:axId val="106350464"/>
      </c:barChart>
      <c:catAx>
        <c:axId val="106348928"/>
        <c:scaling>
          <c:orientation val="minMax"/>
        </c:scaling>
        <c:delete val="0"/>
        <c:axPos val="t"/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5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35046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4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0.19888597258676"/>
          <c:w val="0.84444444444444444"/>
          <c:h val="0.69523731408573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'Mt Evans Summary'!$I$10:$N$10</c:f>
              <c:strCache>
                <c:ptCount val="1"/>
                <c:pt idx="0">
                  <c:v>Flow acre-feet/month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'Mt Evans Summary'!$I$12:$I$13</c:f>
              <c:strCache>
                <c:ptCount val="2"/>
                <c:pt idx="0">
                  <c:v>site 36 through Culverts</c:v>
                </c:pt>
                <c:pt idx="1">
                  <c:v>site 37 - Bear Creek</c:v>
                </c:pt>
              </c:strCache>
            </c:strRef>
          </c:cat>
          <c:val>
            <c:numRef>
              <c:f>'Mt Evans Summary'!$N$12:$N$13</c:f>
              <c:numCache>
                <c:formatCode>#,##0</c:formatCode>
                <c:ptCount val="2"/>
                <c:pt idx="0">
                  <c:v>207.24726000000001</c:v>
                </c:pt>
                <c:pt idx="1">
                  <c:v>282.91460999999998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D-4DA6-86E4-8C2B754BD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519832"/>
        <c:axId val="620523768"/>
      </c:barChart>
      <c:catAx>
        <c:axId val="620519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523768"/>
        <c:crosses val="autoZero"/>
        <c:auto val="1"/>
        <c:lblAlgn val="ctr"/>
        <c:lblOffset val="100"/>
        <c:noMultiLvlLbl val="0"/>
      </c:catAx>
      <c:valAx>
        <c:axId val="620523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519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Nitrogen &amp; Phosphorus Seasonal Averages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'Fen Study'!$M$22:$M$23</c:f>
              <c:strCache>
                <c:ptCount val="1"/>
                <c:pt idx="0">
                  <c:v>Total Nirogen, ug/l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'Fen Study'!$X$21:$Z$21</c:f>
              <c:strCache>
                <c:ptCount val="3"/>
                <c:pt idx="0">
                  <c:v>All Fens</c:v>
                </c:pt>
                <c:pt idx="1">
                  <c:v>Control Fen</c:v>
                </c:pt>
                <c:pt idx="2">
                  <c:v>Northern Fens</c:v>
                </c:pt>
              </c:strCache>
            </c:strRef>
          </c:cat>
          <c:val>
            <c:numRef>
              <c:f>'Fen Study'!$X$22:$Z$22</c:f>
              <c:numCache>
                <c:formatCode>#,##0</c:formatCode>
                <c:ptCount val="3"/>
                <c:pt idx="0">
                  <c:v>269</c:v>
                </c:pt>
                <c:pt idx="1">
                  <c:v>99</c:v>
                </c:pt>
                <c:pt idx="2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C-4FCE-909B-D122FDEEBFB2}"/>
            </c:ext>
          </c:extLst>
        </c:ser>
        <c:ser>
          <c:idx val="0"/>
          <c:order val="1"/>
          <c:tx>
            <c:strRef>
              <c:f>'Fen Study'!$M$24:$M$25</c:f>
              <c:strCache>
                <c:ptCount val="1"/>
                <c:pt idx="0">
                  <c:v>Total Phosphorus, ug/l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'Fen Study'!$X$21:$Z$21</c:f>
              <c:strCache>
                <c:ptCount val="3"/>
                <c:pt idx="0">
                  <c:v>All Fens</c:v>
                </c:pt>
                <c:pt idx="1">
                  <c:v>Control Fen</c:v>
                </c:pt>
                <c:pt idx="2">
                  <c:v>Northern Fens</c:v>
                </c:pt>
              </c:strCache>
            </c:strRef>
          </c:cat>
          <c:val>
            <c:numRef>
              <c:f>'Fen Study'!$X$25:$Z$25</c:f>
              <c:numCache>
                <c:formatCode>#,##0</c:formatCode>
                <c:ptCount val="3"/>
                <c:pt idx="0">
                  <c:v>171.20454545454547</c:v>
                </c:pt>
                <c:pt idx="1">
                  <c:v>18.454545454545453</c:v>
                </c:pt>
                <c:pt idx="2">
                  <c:v>222.12121212121212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B8-4693-9B80-98C608422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4351024"/>
        <c:axId val="554351352"/>
      </c:barChart>
      <c:catAx>
        <c:axId val="55435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51352"/>
        <c:crosses val="autoZero"/>
        <c:auto val="1"/>
        <c:lblAlgn val="ctr"/>
        <c:lblOffset val="100"/>
        <c:noMultiLvlLbl val="0"/>
      </c:catAx>
      <c:valAx>
        <c:axId val="554351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TN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5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'Copper Study'!$B$4</c:f>
              <c:strCache>
                <c:ptCount val="1"/>
                <c:pt idx="0">
                  <c:v>Site 14a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'Copper Study'!$D$3:$O$3</c:f>
              <c:numCache>
                <c:formatCode>[$-409]d\-mmm;@</c:formatCode>
                <c:ptCount val="12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43319</c:v>
                </c:pt>
                <c:pt idx="8">
                  <c:v>43353</c:v>
                </c:pt>
                <c:pt idx="9">
                  <c:v>43388</c:v>
                </c:pt>
                <c:pt idx="10">
                  <c:v>43409</c:v>
                </c:pt>
                <c:pt idx="11">
                  <c:v>43444</c:v>
                </c:pt>
              </c:numCache>
            </c:numRef>
          </c:cat>
          <c:val>
            <c:numRef>
              <c:f>'Copper Study'!$D$4:$O$4</c:f>
              <c:numCache>
                <c:formatCode>0.0</c:formatCode>
                <c:ptCount val="12"/>
                <c:pt idx="0">
                  <c:v>1.5</c:v>
                </c:pt>
                <c:pt idx="1">
                  <c:v>2</c:v>
                </c:pt>
                <c:pt idx="2">
                  <c:v>1.8</c:v>
                </c:pt>
                <c:pt idx="3">
                  <c:v>1.4</c:v>
                </c:pt>
                <c:pt idx="4">
                  <c:v>1.5</c:v>
                </c:pt>
                <c:pt idx="5">
                  <c:v>1.8</c:v>
                </c:pt>
                <c:pt idx="6">
                  <c:v>4.7</c:v>
                </c:pt>
                <c:pt idx="7">
                  <c:v>2</c:v>
                </c:pt>
                <c:pt idx="8">
                  <c:v>1.4</c:v>
                </c:pt>
                <c:pt idx="9">
                  <c:v>1.6</c:v>
                </c:pt>
                <c:pt idx="10">
                  <c:v>2.2999999999999998</c:v>
                </c:pt>
                <c:pt idx="11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95-48DE-992F-6071B6205A11}"/>
            </c:ext>
          </c:extLst>
        </c:ser>
        <c:ser>
          <c:idx val="1"/>
          <c:order val="1"/>
          <c:tx>
            <c:strRef>
              <c:f>'Copper Study'!$B$5</c:f>
              <c:strCache>
                <c:ptCount val="1"/>
                <c:pt idx="0">
                  <c:v>Site 34b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'Copper Study'!$D$3:$O$3</c:f>
              <c:numCache>
                <c:formatCode>[$-409]d\-mmm;@</c:formatCode>
                <c:ptCount val="12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43319</c:v>
                </c:pt>
                <c:pt idx="8">
                  <c:v>43353</c:v>
                </c:pt>
                <c:pt idx="9">
                  <c:v>43388</c:v>
                </c:pt>
                <c:pt idx="10">
                  <c:v>43409</c:v>
                </c:pt>
                <c:pt idx="11">
                  <c:v>43444</c:v>
                </c:pt>
              </c:numCache>
            </c:numRef>
          </c:cat>
          <c:val>
            <c:numRef>
              <c:f>'Copper Study'!$D$6:$O$6</c:f>
              <c:numCache>
                <c:formatCode>0.0</c:formatCode>
                <c:ptCount val="12"/>
                <c:pt idx="0">
                  <c:v>1.7</c:v>
                </c:pt>
                <c:pt idx="1">
                  <c:v>2.1</c:v>
                </c:pt>
                <c:pt idx="2">
                  <c:v>1.8</c:v>
                </c:pt>
                <c:pt idx="3">
                  <c:v>1.5</c:v>
                </c:pt>
                <c:pt idx="4">
                  <c:v>1.6</c:v>
                </c:pt>
                <c:pt idx="5">
                  <c:v>1.4</c:v>
                </c:pt>
                <c:pt idx="6">
                  <c:v>4.9000000000000004</c:v>
                </c:pt>
                <c:pt idx="7">
                  <c:v>2.2999999999999998</c:v>
                </c:pt>
                <c:pt idx="8">
                  <c:v>1.4</c:v>
                </c:pt>
                <c:pt idx="9">
                  <c:v>2</c:v>
                </c:pt>
                <c:pt idx="10">
                  <c:v>2.2000000000000002</c:v>
                </c:pt>
                <c:pt idx="11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95-48DE-992F-6071B6205A11}"/>
            </c:ext>
          </c:extLst>
        </c:ser>
        <c:ser>
          <c:idx val="2"/>
          <c:order val="2"/>
          <c:tx>
            <c:strRef>
              <c:f>'Copper Study'!$B$6</c:f>
              <c:strCache>
                <c:ptCount val="1"/>
                <c:pt idx="0">
                  <c:v>Site 14c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'Copper Study'!$D$3:$O$3</c:f>
              <c:numCache>
                <c:formatCode>[$-409]d\-mmm;@</c:formatCode>
                <c:ptCount val="12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43319</c:v>
                </c:pt>
                <c:pt idx="8">
                  <c:v>43353</c:v>
                </c:pt>
                <c:pt idx="9">
                  <c:v>43388</c:v>
                </c:pt>
                <c:pt idx="10">
                  <c:v>43409</c:v>
                </c:pt>
                <c:pt idx="11">
                  <c:v>43444</c:v>
                </c:pt>
              </c:numCache>
            </c:numRef>
          </c:cat>
          <c:val>
            <c:numRef>
              <c:f>'Copper Study'!$D$5:$O$5</c:f>
              <c:numCache>
                <c:formatCode>0.0</c:formatCode>
                <c:ptCount val="12"/>
                <c:pt idx="0">
                  <c:v>1.4</c:v>
                </c:pt>
                <c:pt idx="1">
                  <c:v>1.9</c:v>
                </c:pt>
                <c:pt idx="2">
                  <c:v>2.4</c:v>
                </c:pt>
                <c:pt idx="3">
                  <c:v>1.6</c:v>
                </c:pt>
                <c:pt idx="4">
                  <c:v>2.4</c:v>
                </c:pt>
                <c:pt idx="5">
                  <c:v>1.8</c:v>
                </c:pt>
                <c:pt idx="6">
                  <c:v>1.4</c:v>
                </c:pt>
                <c:pt idx="7">
                  <c:v>2</c:v>
                </c:pt>
                <c:pt idx="8">
                  <c:v>1.1000000000000001</c:v>
                </c:pt>
                <c:pt idx="9">
                  <c:v>1.5</c:v>
                </c:pt>
                <c:pt idx="10">
                  <c:v>2.2000000000000002</c:v>
                </c:pt>
                <c:pt idx="11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95-48DE-992F-6071B6205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827296"/>
        <c:axId val="629828280"/>
      </c:lineChart>
      <c:dateAx>
        <c:axId val="629827296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28280"/>
        <c:crosses val="autoZero"/>
        <c:auto val="1"/>
        <c:lblOffset val="100"/>
        <c:baseTimeUnit val="days"/>
      </c:dateAx>
      <c:valAx>
        <c:axId val="629828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Dissolved Copper,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27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Hardness as CaCO3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'Copper Study'!$B$8</c:f>
              <c:strCache>
                <c:ptCount val="1"/>
                <c:pt idx="0">
                  <c:v>Site 14a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'Copper Study'!$D$3:$O$3</c:f>
              <c:numCache>
                <c:formatCode>[$-409]d\-mmm;@</c:formatCode>
                <c:ptCount val="12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43319</c:v>
                </c:pt>
                <c:pt idx="8">
                  <c:v>43353</c:v>
                </c:pt>
                <c:pt idx="9">
                  <c:v>43388</c:v>
                </c:pt>
                <c:pt idx="10">
                  <c:v>43409</c:v>
                </c:pt>
                <c:pt idx="11">
                  <c:v>43444</c:v>
                </c:pt>
              </c:numCache>
            </c:numRef>
          </c:cat>
          <c:val>
            <c:numRef>
              <c:f>'Copper Study'!$D$8:$O$8</c:f>
              <c:numCache>
                <c:formatCode>General</c:formatCode>
                <c:ptCount val="12"/>
                <c:pt idx="0">
                  <c:v>72</c:v>
                </c:pt>
                <c:pt idx="1">
                  <c:v>76</c:v>
                </c:pt>
                <c:pt idx="2">
                  <c:v>80</c:v>
                </c:pt>
                <c:pt idx="3">
                  <c:v>74</c:v>
                </c:pt>
                <c:pt idx="4">
                  <c:v>70</c:v>
                </c:pt>
                <c:pt idx="5">
                  <c:v>64</c:v>
                </c:pt>
                <c:pt idx="6">
                  <c:v>76</c:v>
                </c:pt>
                <c:pt idx="7">
                  <c:v>66</c:v>
                </c:pt>
                <c:pt idx="8">
                  <c:v>62</c:v>
                </c:pt>
                <c:pt idx="9">
                  <c:v>72</c:v>
                </c:pt>
                <c:pt idx="10">
                  <c:v>68</c:v>
                </c:pt>
                <c:pt idx="1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CD-4947-A151-63CCD2FE5313}"/>
            </c:ext>
          </c:extLst>
        </c:ser>
        <c:ser>
          <c:idx val="1"/>
          <c:order val="1"/>
          <c:tx>
            <c:strRef>
              <c:f>'Copper Study'!$B$9</c:f>
              <c:strCache>
                <c:ptCount val="1"/>
                <c:pt idx="0">
                  <c:v>Site 34b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'Copper Study'!$D$3:$O$3</c:f>
              <c:numCache>
                <c:formatCode>[$-409]d\-mmm;@</c:formatCode>
                <c:ptCount val="12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43319</c:v>
                </c:pt>
                <c:pt idx="8">
                  <c:v>43353</c:v>
                </c:pt>
                <c:pt idx="9">
                  <c:v>43388</c:v>
                </c:pt>
                <c:pt idx="10">
                  <c:v>43409</c:v>
                </c:pt>
                <c:pt idx="11">
                  <c:v>43444</c:v>
                </c:pt>
              </c:numCache>
            </c:numRef>
          </c:cat>
          <c:val>
            <c:numRef>
              <c:f>'Copper Study'!$D$9:$O$9</c:f>
              <c:numCache>
                <c:formatCode>General</c:formatCode>
                <c:ptCount val="12"/>
                <c:pt idx="0">
                  <c:v>106</c:v>
                </c:pt>
                <c:pt idx="1">
                  <c:v>112</c:v>
                </c:pt>
                <c:pt idx="2">
                  <c:v>114</c:v>
                </c:pt>
                <c:pt idx="3">
                  <c:v>110</c:v>
                </c:pt>
                <c:pt idx="4">
                  <c:v>92</c:v>
                </c:pt>
                <c:pt idx="5">
                  <c:v>94</c:v>
                </c:pt>
                <c:pt idx="6">
                  <c:v>104</c:v>
                </c:pt>
                <c:pt idx="7">
                  <c:v>92</c:v>
                </c:pt>
                <c:pt idx="8">
                  <c:v>68</c:v>
                </c:pt>
                <c:pt idx="9">
                  <c:v>86</c:v>
                </c:pt>
                <c:pt idx="10">
                  <c:v>86</c:v>
                </c:pt>
                <c:pt idx="11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CD-4947-A151-63CCD2FE5313}"/>
            </c:ext>
          </c:extLst>
        </c:ser>
        <c:ser>
          <c:idx val="2"/>
          <c:order val="2"/>
          <c:tx>
            <c:strRef>
              <c:f>'Copper Study'!$B$10</c:f>
              <c:strCache>
                <c:ptCount val="1"/>
                <c:pt idx="0">
                  <c:v>Site 14c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'Copper Study'!$D$3:$O$3</c:f>
              <c:numCache>
                <c:formatCode>[$-409]d\-mmm;@</c:formatCode>
                <c:ptCount val="12"/>
                <c:pt idx="0">
                  <c:v>43108</c:v>
                </c:pt>
                <c:pt idx="1">
                  <c:v>43143</c:v>
                </c:pt>
                <c:pt idx="2">
                  <c:v>43178</c:v>
                </c:pt>
                <c:pt idx="3">
                  <c:v>43199</c:v>
                </c:pt>
                <c:pt idx="4">
                  <c:v>43234</c:v>
                </c:pt>
                <c:pt idx="5">
                  <c:v>43262</c:v>
                </c:pt>
                <c:pt idx="6">
                  <c:v>43290</c:v>
                </c:pt>
                <c:pt idx="7">
                  <c:v>43319</c:v>
                </c:pt>
                <c:pt idx="8">
                  <c:v>43353</c:v>
                </c:pt>
                <c:pt idx="9">
                  <c:v>43388</c:v>
                </c:pt>
                <c:pt idx="10">
                  <c:v>43409</c:v>
                </c:pt>
                <c:pt idx="11">
                  <c:v>43444</c:v>
                </c:pt>
              </c:numCache>
            </c:numRef>
          </c:cat>
          <c:val>
            <c:numRef>
              <c:f>'Copper Study'!$D$10:$O$10</c:f>
              <c:numCache>
                <c:formatCode>General</c:formatCode>
                <c:ptCount val="12"/>
                <c:pt idx="0">
                  <c:v>600</c:v>
                </c:pt>
                <c:pt idx="1">
                  <c:v>600</c:v>
                </c:pt>
                <c:pt idx="2">
                  <c:v>560</c:v>
                </c:pt>
                <c:pt idx="3">
                  <c:v>550</c:v>
                </c:pt>
                <c:pt idx="4">
                  <c:v>492</c:v>
                </c:pt>
                <c:pt idx="5">
                  <c:v>550</c:v>
                </c:pt>
                <c:pt idx="6">
                  <c:v>610</c:v>
                </c:pt>
                <c:pt idx="7">
                  <c:v>570</c:v>
                </c:pt>
                <c:pt idx="8">
                  <c:v>550</c:v>
                </c:pt>
                <c:pt idx="9">
                  <c:v>580</c:v>
                </c:pt>
                <c:pt idx="10">
                  <c:v>590</c:v>
                </c:pt>
                <c:pt idx="11">
                  <c:v>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CD-4947-A151-63CCD2FE5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076408"/>
        <c:axId val="549066896"/>
      </c:lineChart>
      <c:dateAx>
        <c:axId val="549076408"/>
        <c:scaling>
          <c:orientation val="minMax"/>
        </c:scaling>
        <c:delete val="1"/>
        <c:axPos val="b"/>
        <c:numFmt formatCode="[$-409]d\-mmm;@" sourceLinked="1"/>
        <c:majorTickMark val="none"/>
        <c:minorTickMark val="none"/>
        <c:tickLblPos val="nextTo"/>
        <c:crossAx val="549066896"/>
        <c:crosses val="autoZero"/>
        <c:auto val="1"/>
        <c:lblOffset val="100"/>
        <c:baseTimeUnit val="days"/>
      </c:dateAx>
      <c:valAx>
        <c:axId val="54906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Hardness 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076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Dissolved Copper, Pounds/Month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'Copper Study'!$B$50</c:f>
              <c:strCache>
                <c:ptCount val="1"/>
                <c:pt idx="0">
                  <c:v>Site 14a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'Copper Study'!$D$49:$O$49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'Copper Study'!$D$50:$O$50</c:f>
              <c:numCache>
                <c:formatCode>#,##0.0</c:formatCode>
                <c:ptCount val="12"/>
                <c:pt idx="0">
                  <c:v>5.0217293700000001</c:v>
                </c:pt>
                <c:pt idx="1">
                  <c:v>4.2333718560000007</c:v>
                </c:pt>
                <c:pt idx="2">
                  <c:v>3.8566881561600015</c:v>
                </c:pt>
                <c:pt idx="3">
                  <c:v>4.1048587818000009</c:v>
                </c:pt>
                <c:pt idx="4">
                  <c:v>9.315307981350001</c:v>
                </c:pt>
                <c:pt idx="5">
                  <c:v>3.3823777176000007</c:v>
                </c:pt>
                <c:pt idx="6">
                  <c:v>5.1137944084500004</c:v>
                </c:pt>
                <c:pt idx="7">
                  <c:v>3.0465158178000005</c:v>
                </c:pt>
                <c:pt idx="8">
                  <c:v>3.4471742256000004</c:v>
                </c:pt>
                <c:pt idx="9">
                  <c:v>3.6286044480000004</c:v>
                </c:pt>
                <c:pt idx="10">
                  <c:v>4.5454750362</c:v>
                </c:pt>
                <c:pt idx="11">
                  <c:v>3.9839053002000004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B-444E-8C15-386458900268}"/>
            </c:ext>
          </c:extLst>
        </c:ser>
        <c:ser>
          <c:idx val="1"/>
          <c:order val="1"/>
          <c:tx>
            <c:strRef>
              <c:f>'Copper Study'!$B$51</c:f>
              <c:strCache>
                <c:ptCount val="1"/>
                <c:pt idx="0">
                  <c:v>Site 87/34b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'Copper Study'!$D$49:$O$49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'Copper Study'!$D$51:$O$51</c:f>
              <c:numCache>
                <c:formatCode>#,##0.0</c:formatCode>
                <c:ptCount val="12"/>
                <c:pt idx="0">
                  <c:v>0.14512797879300002</c:v>
                </c:pt>
                <c:pt idx="1">
                  <c:v>0.19050173352000002</c:v>
                </c:pt>
                <c:pt idx="2">
                  <c:v>0.27117338598000007</c:v>
                </c:pt>
                <c:pt idx="3">
                  <c:v>0.17738044065</c:v>
                </c:pt>
                <c:pt idx="4">
                  <c:v>0.50886857616000003</c:v>
                </c:pt>
                <c:pt idx="5">
                  <c:v>0.22678777800000002</c:v>
                </c:pt>
                <c:pt idx="6">
                  <c:v>0.467523004347</c:v>
                </c:pt>
                <c:pt idx="7">
                  <c:v>0.169399670748</c:v>
                </c:pt>
                <c:pt idx="8">
                  <c:v>6.803633340000001E-2</c:v>
                </c:pt>
                <c:pt idx="9">
                  <c:v>0.1166337144</c:v>
                </c:pt>
                <c:pt idx="10">
                  <c:v>0.10691423820000001</c:v>
                </c:pt>
                <c:pt idx="11">
                  <c:v>7.6330286423999999E-2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B-444E-8C15-386458900268}"/>
            </c:ext>
          </c:extLst>
        </c:ser>
        <c:ser>
          <c:idx val="2"/>
          <c:order val="2"/>
          <c:tx>
            <c:strRef>
              <c:f>'Copper Study'!$B$52</c:f>
              <c:strCache>
                <c:ptCount val="1"/>
                <c:pt idx="0">
                  <c:v>Site 14c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'Copper Study'!$D$49:$O$49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'Copper Study'!$D$52:$O$52</c:f>
              <c:numCache>
                <c:formatCode>#,##0.0</c:formatCode>
                <c:ptCount val="12"/>
                <c:pt idx="0">
                  <c:v>4.8064645710060008</c:v>
                </c:pt>
                <c:pt idx="1">
                  <c:v>4.1940619744800003</c:v>
                </c:pt>
                <c:pt idx="2">
                  <c:v>5.5038153895200015</c:v>
                </c:pt>
                <c:pt idx="3">
                  <c:v>4.8804729825600015</c:v>
                </c:pt>
                <c:pt idx="4">
                  <c:v>15.667795634400001</c:v>
                </c:pt>
                <c:pt idx="5">
                  <c:v>3.6739620036000007</c:v>
                </c:pt>
                <c:pt idx="6">
                  <c:v>1.656835910142</c:v>
                </c:pt>
                <c:pt idx="7">
                  <c:v>3.1938198793199999</c:v>
                </c:pt>
                <c:pt idx="8">
                  <c:v>2.7619511535000005</c:v>
                </c:pt>
                <c:pt idx="9">
                  <c:v>3.4892919558000002</c:v>
                </c:pt>
                <c:pt idx="10">
                  <c:v>4.4547599250000003</c:v>
                </c:pt>
                <c:pt idx="11">
                  <c:v>3.5754713114400003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AB-444E-8C15-386458900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97401792"/>
        <c:axId val="697402120"/>
      </c:barChart>
      <c:catAx>
        <c:axId val="69740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402120"/>
        <c:crosses val="autoZero"/>
        <c:auto val="1"/>
        <c:lblAlgn val="ctr"/>
        <c:lblOffset val="100"/>
        <c:noMultiLvlLbl val="0"/>
      </c:catAx>
      <c:valAx>
        <c:axId val="69740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Dissolved CU, Pounds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40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Segment 1e Stream Temperature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573634081765974E-2"/>
          <c:y val="0.34474561555093802"/>
          <c:w val="0.87768403800679951"/>
          <c:h val="0.54489819142793317"/>
        </c:manualLayout>
      </c:layout>
      <c:lineChart>
        <c:grouping val="standard"/>
        <c:varyColors val="0"/>
        <c:ser>
          <c:idx val="0"/>
          <c:order val="0"/>
          <c:tx>
            <c:strRef>
              <c:f>'MWS 2018 Field'!$C$20:$C$25</c:f>
              <c:strCache>
                <c:ptCount val="6"/>
                <c:pt idx="0">
                  <c:v>Little Bear Evergreen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2018 Field'!$G$20:$G$25</c:f>
              <c:numCache>
                <c:formatCode>0.0</c:formatCode>
                <c:ptCount val="6"/>
                <c:pt idx="0">
                  <c:v>11.3</c:v>
                </c:pt>
                <c:pt idx="1">
                  <c:v>17.600000000000001</c:v>
                </c:pt>
                <c:pt idx="2">
                  <c:v>21</c:v>
                </c:pt>
                <c:pt idx="3">
                  <c:v>19.5</c:v>
                </c:pt>
                <c:pt idx="4">
                  <c:v>12.4</c:v>
                </c:pt>
                <c:pt idx="5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9C-4E71-9B02-03618E47FC08}"/>
            </c:ext>
          </c:extLst>
        </c:ser>
        <c:ser>
          <c:idx val="1"/>
          <c:order val="1"/>
          <c:tx>
            <c:strRef>
              <c:f>'MWS 2018 Field'!$C$26:$C$31</c:f>
              <c:strCache>
                <c:ptCount val="6"/>
                <c:pt idx="0">
                  <c:v>Bear Creek Cabins 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2018 Field'!$G$26:$G$31</c:f>
              <c:numCache>
                <c:formatCode>0.0</c:formatCode>
                <c:ptCount val="6"/>
                <c:pt idx="0">
                  <c:v>12</c:v>
                </c:pt>
                <c:pt idx="1">
                  <c:v>17.899999999999999</c:v>
                </c:pt>
                <c:pt idx="2">
                  <c:v>21.1</c:v>
                </c:pt>
                <c:pt idx="3">
                  <c:v>18.100000000000001</c:v>
                </c:pt>
                <c:pt idx="4">
                  <c:v>11.3</c:v>
                </c:pt>
                <c:pt idx="5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9C-4E71-9B02-03618E47FC08}"/>
            </c:ext>
          </c:extLst>
        </c:ser>
        <c:ser>
          <c:idx val="2"/>
          <c:order val="2"/>
          <c:tx>
            <c:strRef>
              <c:f>'MWS 2018 Field'!$C$32:$C$37</c:f>
              <c:strCache>
                <c:ptCount val="6"/>
                <c:pt idx="0">
                  <c:v>O'Fallon Park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2018 Field'!$G$32:$G$37</c:f>
              <c:numCache>
                <c:formatCode>0.0</c:formatCode>
                <c:ptCount val="6"/>
                <c:pt idx="0">
                  <c:v>12</c:v>
                </c:pt>
                <c:pt idx="1">
                  <c:v>18.3</c:v>
                </c:pt>
                <c:pt idx="2">
                  <c:v>20.100000000000001</c:v>
                </c:pt>
                <c:pt idx="3">
                  <c:v>18.399999999999999</c:v>
                </c:pt>
                <c:pt idx="4">
                  <c:v>10</c:v>
                </c:pt>
                <c:pt idx="5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9C-4E71-9B02-03618E47FC08}"/>
            </c:ext>
          </c:extLst>
        </c:ser>
        <c:ser>
          <c:idx val="3"/>
          <c:order val="3"/>
          <c:tx>
            <c:strRef>
              <c:f>'MWS 2018 Field'!$C$38:$C$43</c:f>
              <c:strCache>
                <c:ptCount val="6"/>
                <c:pt idx="0">
                  <c:v>Lair o' the Bear 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2018 Field'!$G$38:$G$43</c:f>
              <c:numCache>
                <c:formatCode>0.0</c:formatCode>
                <c:ptCount val="6"/>
                <c:pt idx="0">
                  <c:v>12.4</c:v>
                </c:pt>
                <c:pt idx="1">
                  <c:v>18</c:v>
                </c:pt>
                <c:pt idx="2">
                  <c:v>19.7</c:v>
                </c:pt>
                <c:pt idx="3">
                  <c:v>18.7</c:v>
                </c:pt>
                <c:pt idx="4">
                  <c:v>9.6</c:v>
                </c:pt>
                <c:pt idx="5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9C-4E71-9B02-03618E47FC08}"/>
            </c:ext>
          </c:extLst>
        </c:ser>
        <c:ser>
          <c:idx val="4"/>
          <c:order val="4"/>
          <c:tx>
            <c:strRef>
              <c:f>'MWS 2018 Field'!$C$44:$C$49</c:f>
              <c:strCache>
                <c:ptCount val="6"/>
                <c:pt idx="0">
                  <c:v> Idledale, Shady Lane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2018 Field'!$G$44:$G$49</c:f>
              <c:numCache>
                <c:formatCode>0.0</c:formatCode>
                <c:ptCount val="6"/>
                <c:pt idx="0">
                  <c:v>13.2</c:v>
                </c:pt>
                <c:pt idx="1">
                  <c:v>18.3</c:v>
                </c:pt>
                <c:pt idx="2">
                  <c:v>19.5</c:v>
                </c:pt>
                <c:pt idx="3">
                  <c:v>17.399999999999999</c:v>
                </c:pt>
                <c:pt idx="4">
                  <c:v>8.8000000000000007</c:v>
                </c:pt>
                <c:pt idx="5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9C-4E71-9B02-03618E47FC08}"/>
            </c:ext>
          </c:extLst>
        </c:ser>
        <c:ser>
          <c:idx val="5"/>
          <c:order val="5"/>
          <c:tx>
            <c:strRef>
              <c:f>'MWS 2018 Field'!$C$50:$C$55</c:f>
              <c:strCache>
                <c:ptCount val="6"/>
                <c:pt idx="0">
                  <c:v>Morrison Park west</c:v>
                </c:pt>
              </c:strCache>
            </c:strRef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2018 Field'!$G$50:$G$55</c:f>
              <c:numCache>
                <c:formatCode>0.0</c:formatCode>
                <c:ptCount val="6"/>
                <c:pt idx="0">
                  <c:v>11.2</c:v>
                </c:pt>
                <c:pt idx="1">
                  <c:v>14.8</c:v>
                </c:pt>
                <c:pt idx="2">
                  <c:v>17.899999999999999</c:v>
                </c:pt>
                <c:pt idx="3">
                  <c:v>16.600000000000001</c:v>
                </c:pt>
                <c:pt idx="4">
                  <c:v>14</c:v>
                </c:pt>
                <c:pt idx="5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9C-4E71-9B02-03618E47F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82016"/>
        <c:axId val="115783552"/>
      </c:lineChart>
      <c:dateAx>
        <c:axId val="1157820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m/d/yy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83552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115783552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8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Segment 1e 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'MWS 2018 Field'!$C$20:$C$25</c:f>
              <c:strCache>
                <c:ptCount val="6"/>
                <c:pt idx="0">
                  <c:v>Little Bear Evergreen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2018 Field'!$F$20:$F$25</c:f>
              <c:numCache>
                <c:formatCode>0.00</c:formatCode>
                <c:ptCount val="6"/>
                <c:pt idx="0">
                  <c:v>7.9</c:v>
                </c:pt>
                <c:pt idx="1">
                  <c:v>7.75</c:v>
                </c:pt>
                <c:pt idx="2">
                  <c:v>7.78</c:v>
                </c:pt>
                <c:pt idx="3">
                  <c:v>7.95</c:v>
                </c:pt>
                <c:pt idx="4">
                  <c:v>8.02</c:v>
                </c:pt>
                <c:pt idx="5">
                  <c:v>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8-415B-9980-983D3B190BF8}"/>
            </c:ext>
          </c:extLst>
        </c:ser>
        <c:ser>
          <c:idx val="1"/>
          <c:order val="1"/>
          <c:tx>
            <c:strRef>
              <c:f>'MWS 2018 Field'!$C$26:$C$31</c:f>
              <c:strCache>
                <c:ptCount val="6"/>
                <c:pt idx="0">
                  <c:v>Bear Creek Cabins 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2018 Field'!$F$26:$F$31</c:f>
              <c:numCache>
                <c:formatCode>0.00</c:formatCode>
                <c:ptCount val="6"/>
                <c:pt idx="0">
                  <c:v>7.69</c:v>
                </c:pt>
                <c:pt idx="1">
                  <c:v>7.67</c:v>
                </c:pt>
                <c:pt idx="2">
                  <c:v>7.69</c:v>
                </c:pt>
                <c:pt idx="3">
                  <c:v>8.1300000000000008</c:v>
                </c:pt>
                <c:pt idx="4">
                  <c:v>8.2200000000000006</c:v>
                </c:pt>
                <c:pt idx="5">
                  <c:v>8.06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8-415B-9980-983D3B190BF8}"/>
            </c:ext>
          </c:extLst>
        </c:ser>
        <c:ser>
          <c:idx val="2"/>
          <c:order val="2"/>
          <c:tx>
            <c:strRef>
              <c:f>'MWS 2018 Field'!$C$32:$C$37</c:f>
              <c:strCache>
                <c:ptCount val="6"/>
                <c:pt idx="0">
                  <c:v>O'Fallon Park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2018 Field'!$F$32:$F$37</c:f>
              <c:numCache>
                <c:formatCode>0.00</c:formatCode>
                <c:ptCount val="6"/>
                <c:pt idx="0">
                  <c:v>7.97</c:v>
                </c:pt>
                <c:pt idx="1">
                  <c:v>8.08</c:v>
                </c:pt>
                <c:pt idx="2">
                  <c:v>7.96</c:v>
                </c:pt>
                <c:pt idx="3">
                  <c:v>8.33</c:v>
                </c:pt>
                <c:pt idx="4">
                  <c:v>8.67</c:v>
                </c:pt>
                <c:pt idx="5">
                  <c:v>8.5399999999999991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8-415B-9980-983D3B190BF8}"/>
            </c:ext>
          </c:extLst>
        </c:ser>
        <c:ser>
          <c:idx val="3"/>
          <c:order val="3"/>
          <c:tx>
            <c:strRef>
              <c:f>'MWS 2018 Field'!$C$38:$C$43</c:f>
              <c:strCache>
                <c:ptCount val="6"/>
                <c:pt idx="0">
                  <c:v>Lair o' the Bear 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2018 Field'!$F$38:$F$43</c:f>
              <c:numCache>
                <c:formatCode>0.00</c:formatCode>
                <c:ptCount val="6"/>
                <c:pt idx="0">
                  <c:v>8.0299999999999994</c:v>
                </c:pt>
                <c:pt idx="1">
                  <c:v>7.99</c:v>
                </c:pt>
                <c:pt idx="2">
                  <c:v>7.99</c:v>
                </c:pt>
                <c:pt idx="3">
                  <c:v>8.4499999999999993</c:v>
                </c:pt>
                <c:pt idx="4">
                  <c:v>8.82</c:v>
                </c:pt>
                <c:pt idx="5">
                  <c:v>8.7200000000000006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78-415B-9980-983D3B190BF8}"/>
            </c:ext>
          </c:extLst>
        </c:ser>
        <c:ser>
          <c:idx val="4"/>
          <c:order val="4"/>
          <c:tx>
            <c:strRef>
              <c:f>'MWS 2018 Field'!$C$44:$C$49</c:f>
              <c:strCache>
                <c:ptCount val="6"/>
                <c:pt idx="0">
                  <c:v> Idledale, Shady Lane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2018 Field'!$F$44:$F$49</c:f>
              <c:numCache>
                <c:formatCode>0.00</c:formatCode>
                <c:ptCount val="6"/>
                <c:pt idx="0">
                  <c:v>8.07</c:v>
                </c:pt>
                <c:pt idx="1">
                  <c:v>7.91</c:v>
                </c:pt>
                <c:pt idx="2">
                  <c:v>8.0399999999999991</c:v>
                </c:pt>
                <c:pt idx="3">
                  <c:v>8.51</c:v>
                </c:pt>
                <c:pt idx="4">
                  <c:v>8.6</c:v>
                </c:pt>
                <c:pt idx="5">
                  <c:v>8.5399999999999991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78-415B-9980-983D3B190BF8}"/>
            </c:ext>
          </c:extLst>
        </c:ser>
        <c:ser>
          <c:idx val="5"/>
          <c:order val="5"/>
          <c:tx>
            <c:strRef>
              <c:f>'MWS 2018 Field'!$C$50:$C$55</c:f>
              <c:strCache>
                <c:ptCount val="6"/>
                <c:pt idx="0">
                  <c:v>Morrison Park west</c:v>
                </c:pt>
              </c:strCache>
            </c:strRef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2018 Field'!$F$50:$F$55</c:f>
              <c:numCache>
                <c:formatCode>0.00</c:formatCode>
                <c:ptCount val="6"/>
                <c:pt idx="0">
                  <c:v>8.2100000000000009</c:v>
                </c:pt>
                <c:pt idx="1">
                  <c:v>8.1</c:v>
                </c:pt>
                <c:pt idx="2">
                  <c:v>8.42</c:v>
                </c:pt>
                <c:pt idx="3">
                  <c:v>8.16</c:v>
                </c:pt>
                <c:pt idx="4">
                  <c:v>8.66</c:v>
                </c:pt>
                <c:pt idx="5">
                  <c:v>8.7799999999999994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78-415B-9980-983D3B190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796416"/>
        <c:axId val="116814592"/>
      </c:lineChart>
      <c:catAx>
        <c:axId val="1167964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m/d/yy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14592"/>
        <c:crosses val="autoZero"/>
        <c:auto val="1"/>
        <c:lblAlgn val="ctr"/>
        <c:lblOffset val="100"/>
        <c:tickLblSkip val="1"/>
        <c:noMultiLvlLbl val="1"/>
      </c:catAx>
      <c:valAx>
        <c:axId val="1168145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79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Segement 1e Dissolved Oxygen</a:t>
            </a:r>
          </a:p>
        </c:rich>
      </c:tx>
      <c:layout>
        <c:manualLayout>
          <c:xMode val="edge"/>
          <c:yMode val="edge"/>
          <c:x val="0.28190221648943237"/>
          <c:y val="2.7466126797374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85977945599744"/>
          <c:y val="0.26221799988383959"/>
          <c:w val="0.8737191133298825"/>
          <c:h val="0.64190071604589993"/>
        </c:manualLayout>
      </c:layout>
      <c:lineChart>
        <c:grouping val="standard"/>
        <c:varyColors val="0"/>
        <c:ser>
          <c:idx val="0"/>
          <c:order val="0"/>
          <c:tx>
            <c:strRef>
              <c:f>'MWS 2018 Field'!$C$20:$C$25</c:f>
              <c:strCache>
                <c:ptCount val="6"/>
                <c:pt idx="0">
                  <c:v>Little Bear Evergreen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2018 Field'!$I$20:$I$25</c:f>
              <c:numCache>
                <c:formatCode>0.00</c:formatCode>
                <c:ptCount val="6"/>
                <c:pt idx="0">
                  <c:v>10.15</c:v>
                </c:pt>
                <c:pt idx="1">
                  <c:v>7.32</c:v>
                </c:pt>
                <c:pt idx="2">
                  <c:v>6.66</c:v>
                </c:pt>
                <c:pt idx="3">
                  <c:v>7.55</c:v>
                </c:pt>
                <c:pt idx="4">
                  <c:v>8.2100000000000009</c:v>
                </c:pt>
                <c:pt idx="5">
                  <c:v>11.71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AD-41E9-B9ED-C252A2EB3389}"/>
            </c:ext>
          </c:extLst>
        </c:ser>
        <c:ser>
          <c:idx val="1"/>
          <c:order val="1"/>
          <c:tx>
            <c:strRef>
              <c:f>'MWS 2018 Field'!$C$26:$C$31</c:f>
              <c:strCache>
                <c:ptCount val="6"/>
                <c:pt idx="0">
                  <c:v>Bear Creek Cabins 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2018 Field'!$I$26:$I$31</c:f>
              <c:numCache>
                <c:formatCode>0.00</c:formatCode>
                <c:ptCount val="6"/>
                <c:pt idx="0">
                  <c:v>9.85</c:v>
                </c:pt>
                <c:pt idx="1">
                  <c:v>7.32</c:v>
                </c:pt>
                <c:pt idx="2">
                  <c:v>8.2799999999999994</c:v>
                </c:pt>
                <c:pt idx="3">
                  <c:v>9.07</c:v>
                </c:pt>
                <c:pt idx="4">
                  <c:v>9.35</c:v>
                </c:pt>
                <c:pt idx="5">
                  <c:v>11.58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AD-41E9-B9ED-C252A2EB3389}"/>
            </c:ext>
          </c:extLst>
        </c:ser>
        <c:ser>
          <c:idx val="2"/>
          <c:order val="2"/>
          <c:tx>
            <c:strRef>
              <c:f>'MWS 2018 Field'!$C$32:$C$37</c:f>
              <c:strCache>
                <c:ptCount val="6"/>
                <c:pt idx="0">
                  <c:v>O'Fallon Park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2018 Field'!$I$32:$I$37</c:f>
              <c:numCache>
                <c:formatCode>0.00</c:formatCode>
                <c:ptCount val="6"/>
                <c:pt idx="0">
                  <c:v>10.27</c:v>
                </c:pt>
                <c:pt idx="1">
                  <c:v>7.52</c:v>
                </c:pt>
                <c:pt idx="2">
                  <c:v>7.94</c:v>
                </c:pt>
                <c:pt idx="3">
                  <c:v>7.16</c:v>
                </c:pt>
                <c:pt idx="4">
                  <c:v>10.73</c:v>
                </c:pt>
                <c:pt idx="5">
                  <c:v>13.71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AD-41E9-B9ED-C252A2EB3389}"/>
            </c:ext>
          </c:extLst>
        </c:ser>
        <c:ser>
          <c:idx val="3"/>
          <c:order val="3"/>
          <c:tx>
            <c:strRef>
              <c:f>'MWS 2018 Field'!$C$38:$C$43</c:f>
              <c:strCache>
                <c:ptCount val="6"/>
                <c:pt idx="0">
                  <c:v>Lair o' the Bear 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2018 Field'!$I$38:$I$43</c:f>
              <c:numCache>
                <c:formatCode>0.00</c:formatCode>
                <c:ptCount val="6"/>
                <c:pt idx="0">
                  <c:v>10.17</c:v>
                </c:pt>
                <c:pt idx="1">
                  <c:v>7.61</c:v>
                </c:pt>
                <c:pt idx="2">
                  <c:v>7.1</c:v>
                </c:pt>
                <c:pt idx="3">
                  <c:v>9.36</c:v>
                </c:pt>
                <c:pt idx="4">
                  <c:v>10.58</c:v>
                </c:pt>
                <c:pt idx="5">
                  <c:v>13.07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AD-41E9-B9ED-C252A2EB3389}"/>
            </c:ext>
          </c:extLst>
        </c:ser>
        <c:ser>
          <c:idx val="4"/>
          <c:order val="4"/>
          <c:tx>
            <c:strRef>
              <c:f>'MWS 2018 Field'!$C$44:$C$49</c:f>
              <c:strCache>
                <c:ptCount val="6"/>
                <c:pt idx="0">
                  <c:v> Idledale, Shady Lane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2018 Field'!$I$44:$I$49</c:f>
              <c:numCache>
                <c:formatCode>0.00</c:formatCode>
                <c:ptCount val="6"/>
                <c:pt idx="0">
                  <c:v>11.56</c:v>
                </c:pt>
                <c:pt idx="1">
                  <c:v>7.26</c:v>
                </c:pt>
                <c:pt idx="2">
                  <c:v>7.46</c:v>
                </c:pt>
                <c:pt idx="3">
                  <c:v>9.06</c:v>
                </c:pt>
                <c:pt idx="4">
                  <c:v>10.65</c:v>
                </c:pt>
                <c:pt idx="5">
                  <c:v>12.44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AD-41E9-B9ED-C252A2EB3389}"/>
            </c:ext>
          </c:extLst>
        </c:ser>
        <c:ser>
          <c:idx val="5"/>
          <c:order val="5"/>
          <c:tx>
            <c:strRef>
              <c:f>'MWS 2018 Field'!$C$50:$C$55</c:f>
              <c:strCache>
                <c:ptCount val="6"/>
                <c:pt idx="0">
                  <c:v>Morrison Park west</c:v>
                </c:pt>
              </c:strCache>
            </c:strRef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2018 Field'!$I$50:$I$55</c:f>
              <c:numCache>
                <c:formatCode>0.00</c:formatCode>
                <c:ptCount val="6"/>
                <c:pt idx="0">
                  <c:v>10.52</c:v>
                </c:pt>
                <c:pt idx="1">
                  <c:v>8.2100000000000009</c:v>
                </c:pt>
                <c:pt idx="2">
                  <c:v>7.8</c:v>
                </c:pt>
                <c:pt idx="3">
                  <c:v>7.86</c:v>
                </c:pt>
                <c:pt idx="4">
                  <c:v>8.8699999999999992</c:v>
                </c:pt>
                <c:pt idx="5">
                  <c:v>11.97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AD-41E9-B9ED-C252A2EB3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710400"/>
        <c:axId val="114711936"/>
      </c:lineChart>
      <c:catAx>
        <c:axId val="1147104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[$-409]mmmmm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11936"/>
        <c:crosses val="autoZero"/>
        <c:auto val="1"/>
        <c:lblAlgn val="ctr"/>
        <c:lblOffset val="100"/>
        <c:tickLblSkip val="1"/>
        <c:noMultiLvlLbl val="1"/>
      </c:catAx>
      <c:valAx>
        <c:axId val="114711936"/>
        <c:scaling>
          <c:orientation val="minMax"/>
          <c:max val="14"/>
          <c:min val="6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 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10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322419245570225"/>
          <c:y val="0.14272918861959957"/>
          <c:w val="0.71355142922725356"/>
          <c:h val="0.1751856492121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Segment 1e Specific Conductance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73979707516575"/>
          <c:y val="0.33681772750542405"/>
          <c:w val="0.87764575464211747"/>
          <c:h val="0.54982618658735782"/>
        </c:manualLayout>
      </c:layout>
      <c:lineChart>
        <c:grouping val="standard"/>
        <c:varyColors val="0"/>
        <c:ser>
          <c:idx val="0"/>
          <c:order val="0"/>
          <c:tx>
            <c:strRef>
              <c:f>'MWS 2018 Field'!$C$20:$C$25</c:f>
              <c:strCache>
                <c:ptCount val="6"/>
                <c:pt idx="0">
                  <c:v>Little Bear Evergreen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'MWS 2018 Field'!$P$20:$P$25</c15:sqref>
                  </c15:fullRef>
                </c:ext>
              </c:extLst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'MWS 2018 Field'!$J$20:$J$25</c15:sqref>
                  </c15:fullRef>
                </c:ext>
              </c:extLst>
              <c:f>'MWS 2018 Field'!$J$20:$J$25</c:f>
              <c:numCache>
                <c:formatCode>0.0</c:formatCode>
                <c:ptCount val="6"/>
                <c:pt idx="0">
                  <c:v>120</c:v>
                </c:pt>
                <c:pt idx="1">
                  <c:v>101.7</c:v>
                </c:pt>
                <c:pt idx="2">
                  <c:v>100.9</c:v>
                </c:pt>
                <c:pt idx="3">
                  <c:v>106.9</c:v>
                </c:pt>
                <c:pt idx="4">
                  <c:v>102.1</c:v>
                </c:pt>
                <c:pt idx="5">
                  <c:v>98.4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F2-4559-B222-7954489A2383}"/>
            </c:ext>
          </c:extLst>
        </c:ser>
        <c:ser>
          <c:idx val="1"/>
          <c:order val="1"/>
          <c:tx>
            <c:strRef>
              <c:f>'MWS 2018 Field'!$C$26:$C$31</c:f>
              <c:strCache>
                <c:ptCount val="6"/>
                <c:pt idx="0">
                  <c:v>Bear Creek Cabins 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'MWS 2018 Field'!$P$20:$P$25</c15:sqref>
                  </c15:fullRef>
                </c:ext>
              </c:extLst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'MWS 2018 Field'!$J$26:$J$31</c15:sqref>
                  </c15:fullRef>
                </c:ext>
              </c:extLst>
              <c:f>'MWS 2018 Field'!$J$26:$J$31</c:f>
              <c:numCache>
                <c:formatCode>0.0</c:formatCode>
                <c:ptCount val="6"/>
                <c:pt idx="0">
                  <c:v>134.4</c:v>
                </c:pt>
                <c:pt idx="1">
                  <c:v>115</c:v>
                </c:pt>
                <c:pt idx="2">
                  <c:v>126.1</c:v>
                </c:pt>
                <c:pt idx="3">
                  <c:v>167.7</c:v>
                </c:pt>
                <c:pt idx="4">
                  <c:v>134.1</c:v>
                </c:pt>
                <c:pt idx="5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F2-4559-B222-7954489A2383}"/>
            </c:ext>
          </c:extLst>
        </c:ser>
        <c:ser>
          <c:idx val="2"/>
          <c:order val="2"/>
          <c:tx>
            <c:strRef>
              <c:f>'MWS 2018 Field'!$C$32:$C$37</c:f>
              <c:strCache>
                <c:ptCount val="6"/>
                <c:pt idx="0">
                  <c:v>O'Fallon Park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'MWS 2018 Field'!$P$20:$P$25</c15:sqref>
                  </c15:fullRef>
                </c:ext>
              </c:extLst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'MWS 2018 Field'!$J$32:$J$37</c15:sqref>
                  </c15:fullRef>
                </c:ext>
              </c:extLst>
              <c:f>'MWS 2018 Field'!$J$32:$J$37</c:f>
              <c:numCache>
                <c:formatCode>0.0</c:formatCode>
                <c:ptCount val="6"/>
                <c:pt idx="0">
                  <c:v>171.9</c:v>
                </c:pt>
                <c:pt idx="1">
                  <c:v>146.4</c:v>
                </c:pt>
                <c:pt idx="2">
                  <c:v>139.69999999999999</c:v>
                </c:pt>
                <c:pt idx="3">
                  <c:v>145.6</c:v>
                </c:pt>
                <c:pt idx="4">
                  <c:v>162.5</c:v>
                </c:pt>
                <c:pt idx="5">
                  <c:v>150.4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F2-4559-B222-7954489A2383}"/>
            </c:ext>
          </c:extLst>
        </c:ser>
        <c:ser>
          <c:idx val="3"/>
          <c:order val="3"/>
          <c:tx>
            <c:strRef>
              <c:f>'MWS 2018 Field'!$C$38:$C$43</c:f>
              <c:strCache>
                <c:ptCount val="6"/>
                <c:pt idx="0">
                  <c:v>Lair o' the Bear 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'MWS 2018 Field'!$P$20:$P$25</c15:sqref>
                  </c15:fullRef>
                </c:ext>
              </c:extLst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'MWS 2018 Field'!$J$38:$J$43</c15:sqref>
                  </c15:fullRef>
                </c:ext>
              </c:extLst>
              <c:f>'MWS 2018 Field'!$J$38:$J$43</c:f>
              <c:numCache>
                <c:formatCode>0.0</c:formatCode>
                <c:ptCount val="6"/>
                <c:pt idx="0">
                  <c:v>191.4</c:v>
                </c:pt>
                <c:pt idx="1">
                  <c:v>173.2</c:v>
                </c:pt>
                <c:pt idx="2">
                  <c:v>189.1</c:v>
                </c:pt>
                <c:pt idx="3">
                  <c:v>199</c:v>
                </c:pt>
                <c:pt idx="4">
                  <c:v>246.3</c:v>
                </c:pt>
                <c:pt idx="5">
                  <c:v>200.1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F2-4559-B222-7954489A2383}"/>
            </c:ext>
          </c:extLst>
        </c:ser>
        <c:ser>
          <c:idx val="4"/>
          <c:order val="4"/>
          <c:tx>
            <c:strRef>
              <c:f>'MWS 2018 Field'!$C$44:$C$49</c:f>
              <c:strCache>
                <c:ptCount val="6"/>
                <c:pt idx="0">
                  <c:v> Idledale, Shady Lane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'MWS 2018 Field'!$P$20:$P$25</c15:sqref>
                  </c15:fullRef>
                </c:ext>
              </c:extLst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'MWS 2018 Field'!$J$44:$J$49</c15:sqref>
                  </c15:fullRef>
                </c:ext>
              </c:extLst>
              <c:f>'MWS 2018 Field'!$J$44:$J$49</c:f>
              <c:numCache>
                <c:formatCode>0.0</c:formatCode>
                <c:ptCount val="6"/>
                <c:pt idx="0">
                  <c:v>200.6</c:v>
                </c:pt>
                <c:pt idx="1">
                  <c:v>174.8</c:v>
                </c:pt>
                <c:pt idx="2">
                  <c:v>165.7</c:v>
                </c:pt>
                <c:pt idx="3">
                  <c:v>230.7</c:v>
                </c:pt>
                <c:pt idx="4">
                  <c:v>216.7</c:v>
                </c:pt>
                <c:pt idx="5">
                  <c:v>195.6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F2-4559-B222-7954489A2383}"/>
            </c:ext>
          </c:extLst>
        </c:ser>
        <c:ser>
          <c:idx val="5"/>
          <c:order val="5"/>
          <c:tx>
            <c:strRef>
              <c:f>'MWS 2018 Field'!$C$50:$C$61</c:f>
              <c:strCache>
                <c:ptCount val="12"/>
                <c:pt idx="0">
                  <c:v>Morrison Park west</c:v>
                </c:pt>
                <c:pt idx="6">
                  <c:v>Morrison Harriman </c:v>
                </c:pt>
              </c:strCache>
            </c:strRef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'MWS 2018 Field'!$P$20:$P$25</c15:sqref>
                  </c15:fullRef>
                </c:ext>
              </c:extLst>
              <c:f>'MWS 2018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'MWS 2018 Field'!$J$50:$J$61</c15:sqref>
                  </c15:fullRef>
                </c:ext>
              </c:extLst>
              <c:f>'MWS 2018 Field'!$J$50:$J$55</c:f>
              <c:numCache>
                <c:formatCode>0.0</c:formatCode>
                <c:ptCount val="6"/>
                <c:pt idx="0">
                  <c:v>208.9</c:v>
                </c:pt>
                <c:pt idx="1">
                  <c:v>180.5</c:v>
                </c:pt>
                <c:pt idx="2">
                  <c:v>244.5</c:v>
                </c:pt>
                <c:pt idx="3">
                  <c:v>214.7</c:v>
                </c:pt>
                <c:pt idx="4">
                  <c:v>183.4</c:v>
                </c:pt>
                <c:pt idx="5">
                  <c:v>181.9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F2-4559-B222-7954489A2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859648"/>
        <c:axId val="116861184"/>
      </c:lineChart>
      <c:dateAx>
        <c:axId val="1168596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m/d/yy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61184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168611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Specific Conductance ms/cm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5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1611221239182316E-2"/>
          <c:y val="0.1538816471470478"/>
          <c:w val="0.89230556334191791"/>
          <c:h val="0.192726791504003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Estimated Periphyton Coverage Substrate %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2018 Field'!$C$80:$C$85</c:f>
              <c:strCache>
                <c:ptCount val="6"/>
                <c:pt idx="0">
                  <c:v>Troublesome at Culvert above West Jeff</c:v>
                </c:pt>
              </c:strCache>
            </c:strRef>
          </c:tx>
          <c:invertIfNegative val="0"/>
          <c:cat>
            <c:numRef>
              <c:f>'MWS 2018 Field'!$D$80:$D$85</c:f>
              <c:numCache>
                <c:formatCode>[$-409]d\-mmm;@</c:formatCode>
                <c:ptCount val="6"/>
                <c:pt idx="0">
                  <c:v>43234</c:v>
                </c:pt>
                <c:pt idx="1">
                  <c:v>43270</c:v>
                </c:pt>
                <c:pt idx="2">
                  <c:v>43300</c:v>
                </c:pt>
                <c:pt idx="3">
                  <c:v>43326</c:v>
                </c:pt>
                <c:pt idx="4">
                  <c:v>43371</c:v>
                </c:pt>
                <c:pt idx="5">
                  <c:v>43396</c:v>
                </c:pt>
              </c:numCache>
            </c:numRef>
          </c:cat>
          <c:val>
            <c:numRef>
              <c:f>'MWS 2018 Field'!$M$80:$M$85</c:f>
              <c:numCache>
                <c:formatCode>0</c:formatCode>
                <c:ptCount val="6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1.5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7-4A05-BCB1-422AC2BC1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316747856"/>
        <c:axId val="316741624"/>
      </c:barChart>
      <c:lineChart>
        <c:grouping val="standard"/>
        <c:varyColors val="0"/>
        <c:ser>
          <c:idx val="1"/>
          <c:order val="1"/>
          <c:tx>
            <c:strRef>
              <c:f>'MWS 2018 Field'!$C$86:$C$91</c:f>
              <c:strCache>
                <c:ptCount val="6"/>
                <c:pt idx="0">
                  <c:v>Troublesome Mouth</c:v>
                </c:pt>
              </c:strCache>
            </c:strRef>
          </c:tx>
          <c:marker>
            <c:symbol val="none"/>
          </c:marker>
          <c:val>
            <c:numRef>
              <c:f>'MWS 2018 Field'!$M$86:$M$91</c:f>
              <c:numCache>
                <c:formatCode>0</c:formatCode>
                <c:ptCount val="6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67-4A05-BCB1-422AC2BC1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69728"/>
        <c:axId val="119371264"/>
      </c:lineChart>
      <c:catAx>
        <c:axId val="119369728"/>
        <c:scaling>
          <c:orientation val="minMax"/>
        </c:scaling>
        <c:delete val="0"/>
        <c:axPos val="t"/>
        <c:numFmt formatCode="m/d/yyyy" sourceLinked="1"/>
        <c:majorTickMark val="none"/>
        <c:minorTickMark val="none"/>
        <c:tickLblPos val="nextTo"/>
        <c:crossAx val="119371264"/>
        <c:crosses val="autoZero"/>
        <c:auto val="1"/>
        <c:lblAlgn val="ctr"/>
        <c:lblOffset val="100"/>
        <c:noMultiLvlLbl val="0"/>
      </c:catAx>
      <c:valAx>
        <c:axId val="119371264"/>
        <c:scaling>
          <c:orientation val="maxMin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19369728"/>
        <c:crosses val="autoZero"/>
        <c:crossBetween val="between"/>
      </c:valAx>
      <c:valAx>
        <c:axId val="316741624"/>
        <c:scaling>
          <c:orientation val="maxMin"/>
        </c:scaling>
        <c:delete val="0"/>
        <c:axPos val="r"/>
        <c:numFmt formatCode="0" sourceLinked="1"/>
        <c:majorTickMark val="out"/>
        <c:minorTickMark val="none"/>
        <c:tickLblPos val="nextTo"/>
        <c:crossAx val="316747856"/>
        <c:crosses val="max"/>
        <c:crossBetween val="between"/>
      </c:valAx>
      <c:dateAx>
        <c:axId val="316747856"/>
        <c:scaling>
          <c:orientation val="minMax"/>
        </c:scaling>
        <c:delete val="1"/>
        <c:axPos val="t"/>
        <c:numFmt formatCode="[$-409]d\-mmm;@" sourceLinked="1"/>
        <c:majorTickMark val="out"/>
        <c:minorTickMark val="none"/>
        <c:tickLblPos val="nextTo"/>
        <c:crossAx val="316741624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Bear Creek Reservoir - Nitrate Trend</a:t>
            </a:r>
          </a:p>
        </c:rich>
      </c:tx>
      <c:layout>
        <c:manualLayout>
          <c:xMode val="edge"/>
          <c:yMode val="edge"/>
          <c:x val="0.28640000000000032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52547235943372"/>
          <c:y val="0.11286681715575585"/>
          <c:w val="0.85395559250754671"/>
          <c:h val="0.6854089368859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'Nitrogen Trends'!$A$80</c:f>
              <c:strCache>
                <c:ptCount val="1"/>
                <c:pt idx="0">
                  <c:v>Reservoir Average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Ref>
              <c:f>'Nitrogen Trends'!$B$81:$B$105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'Nitrogen Trends'!$C$81:$C$105</c:f>
              <c:numCache>
                <c:formatCode>0</c:formatCode>
                <c:ptCount val="25"/>
                <c:pt idx="0">
                  <c:v>388</c:v>
                </c:pt>
                <c:pt idx="1">
                  <c:v>266</c:v>
                </c:pt>
                <c:pt idx="2">
                  <c:v>429</c:v>
                </c:pt>
                <c:pt idx="3">
                  <c:v>348.66666666666669</c:v>
                </c:pt>
                <c:pt idx="4">
                  <c:v>493</c:v>
                </c:pt>
                <c:pt idx="5">
                  <c:v>575.97916666666663</c:v>
                </c:pt>
                <c:pt idx="6">
                  <c:v>366.34357142857152</c:v>
                </c:pt>
                <c:pt idx="7">
                  <c:v>367.33333333333331</c:v>
                </c:pt>
                <c:pt idx="8">
                  <c:v>225</c:v>
                </c:pt>
                <c:pt idx="9">
                  <c:v>452.33333333333331</c:v>
                </c:pt>
                <c:pt idx="10">
                  <c:v>395.33333333333331</c:v>
                </c:pt>
                <c:pt idx="11">
                  <c:v>281.66666666666669</c:v>
                </c:pt>
                <c:pt idx="12" formatCode="#,##0">
                  <c:v>268</c:v>
                </c:pt>
                <c:pt idx="13" formatCode="#,##0">
                  <c:v>247</c:v>
                </c:pt>
                <c:pt idx="14" formatCode="#,##0">
                  <c:v>207</c:v>
                </c:pt>
                <c:pt idx="15" formatCode="#,##0">
                  <c:v>153</c:v>
                </c:pt>
                <c:pt idx="16" formatCode="#,##0">
                  <c:v>229</c:v>
                </c:pt>
                <c:pt idx="17" formatCode="#,##0">
                  <c:v>232</c:v>
                </c:pt>
                <c:pt idx="18" formatCode="#,##0">
                  <c:v>267</c:v>
                </c:pt>
                <c:pt idx="19" formatCode="#,##0">
                  <c:v>254</c:v>
                </c:pt>
                <c:pt idx="20" formatCode="#,##0">
                  <c:v>172</c:v>
                </c:pt>
                <c:pt idx="21" formatCode="#,##0">
                  <c:v>133.5</c:v>
                </c:pt>
                <c:pt idx="22" formatCode="#,##0">
                  <c:v>153</c:v>
                </c:pt>
                <c:pt idx="23" formatCode="#,##0">
                  <c:v>291</c:v>
                </c:pt>
                <c:pt idx="24" formatCode="#,##0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4-4DF6-8CB2-BE02A875A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07444480"/>
        <c:axId val="107454464"/>
      </c:barChart>
      <c:catAx>
        <c:axId val="1074444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10745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54464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Nitrate (ug/l)</a:t>
                </a:r>
              </a:p>
            </c:rich>
          </c:tx>
          <c:layout>
            <c:manualLayout>
              <c:xMode val="edge"/>
              <c:yMode val="edge"/>
              <c:x val="1.5633263233400172E-2"/>
              <c:y val="0.37204561498778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7444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51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verticalDpi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Segment 1a Temperature 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664260717410319E-2"/>
          <c:y val="0.19486111111111112"/>
          <c:w val="0.85102952755905503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'MWS 2018 Field'!$B$2:$B$7</c:f>
              <c:strCache>
                <c:ptCount val="6"/>
                <c:pt idx="0">
                  <c:v>Site 58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252034120734908"/>
                  <c:y val="-0.1058588509769612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'MWS 2018 Field'!$G$2:$G$7</c:f>
              <c:numCache>
                <c:formatCode>0.0</c:formatCode>
                <c:ptCount val="6"/>
                <c:pt idx="0">
                  <c:v>5</c:v>
                </c:pt>
                <c:pt idx="1">
                  <c:v>11.4</c:v>
                </c:pt>
                <c:pt idx="2">
                  <c:v>11.8</c:v>
                </c:pt>
                <c:pt idx="3">
                  <c:v>10.9</c:v>
                </c:pt>
                <c:pt idx="4">
                  <c:v>3.8</c:v>
                </c:pt>
                <c:pt idx="5">
                  <c:v>1.8</c:v>
                </c:pt>
              </c:numCache>
            </c:numRef>
          </c:xVal>
          <c:yVal>
            <c:numRef>
              <c:f>'MWS 2018 Field'!$H$2:$H$7</c:f>
              <c:numCache>
                <c:formatCode>0.0</c:formatCode>
                <c:ptCount val="6"/>
                <c:pt idx="0">
                  <c:v>14.5</c:v>
                </c:pt>
                <c:pt idx="1">
                  <c:v>19.600000000000001</c:v>
                </c:pt>
                <c:pt idx="2">
                  <c:v>27.1</c:v>
                </c:pt>
                <c:pt idx="3">
                  <c:v>24.2</c:v>
                </c:pt>
                <c:pt idx="4">
                  <c:v>8.9</c:v>
                </c:pt>
                <c:pt idx="5">
                  <c:v>12.3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39-40BF-8D5C-EACCDCEDA690}"/>
            </c:ext>
          </c:extLst>
        </c:ser>
        <c:ser>
          <c:idx val="1"/>
          <c:order val="1"/>
          <c:tx>
            <c:strRef>
              <c:f>'MWS 2018 Field'!$B$8:$B$13</c:f>
              <c:strCache>
                <c:ptCount val="6"/>
                <c:pt idx="0">
                  <c:v>Site 2a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'MWS 2018 Field'!$G$8:$G$13</c:f>
              <c:numCache>
                <c:formatCode>0.0</c:formatCode>
                <c:ptCount val="6"/>
                <c:pt idx="0">
                  <c:v>9.1</c:v>
                </c:pt>
                <c:pt idx="1">
                  <c:v>14.4</c:v>
                </c:pt>
                <c:pt idx="2">
                  <c:v>16.100000000000001</c:v>
                </c:pt>
                <c:pt idx="3">
                  <c:v>15.5</c:v>
                </c:pt>
                <c:pt idx="4">
                  <c:v>6.4</c:v>
                </c:pt>
                <c:pt idx="5">
                  <c:v>2.8</c:v>
                </c:pt>
              </c:numCache>
            </c:numRef>
          </c:xVal>
          <c:yVal>
            <c:numRef>
              <c:f>'MWS 2018 Field'!$H$8:$H$13</c:f>
              <c:numCache>
                <c:formatCode>0.0</c:formatCode>
                <c:ptCount val="6"/>
                <c:pt idx="0">
                  <c:v>18.3</c:v>
                </c:pt>
                <c:pt idx="1">
                  <c:v>17</c:v>
                </c:pt>
                <c:pt idx="2">
                  <c:v>27.8</c:v>
                </c:pt>
                <c:pt idx="3">
                  <c:v>21.4</c:v>
                </c:pt>
                <c:pt idx="4">
                  <c:v>8.9</c:v>
                </c:pt>
                <c:pt idx="5">
                  <c:v>13.2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39-40BF-8D5C-EACCDCEDA690}"/>
            </c:ext>
          </c:extLst>
        </c:ser>
        <c:ser>
          <c:idx val="2"/>
          <c:order val="2"/>
          <c:tx>
            <c:strRef>
              <c:f>'MWS 2018 Field'!$B$14:$B$19</c:f>
              <c:strCache>
                <c:ptCount val="6"/>
                <c:pt idx="0">
                  <c:v>Site 3a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3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3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'MWS 2018 Field'!$G$14:$G$19</c:f>
              <c:numCache>
                <c:formatCode>0.0</c:formatCode>
                <c:ptCount val="6"/>
                <c:pt idx="0">
                  <c:v>9.9</c:v>
                </c:pt>
                <c:pt idx="1">
                  <c:v>15.3</c:v>
                </c:pt>
                <c:pt idx="2">
                  <c:v>16.899999999999999</c:v>
                </c:pt>
                <c:pt idx="3">
                  <c:v>15.5</c:v>
                </c:pt>
                <c:pt idx="4">
                  <c:v>7.5</c:v>
                </c:pt>
                <c:pt idx="5">
                  <c:v>4.8</c:v>
                </c:pt>
              </c:numCache>
            </c:numRef>
          </c:xVal>
          <c:yVal>
            <c:numRef>
              <c:f>'MWS 2018 Field'!$H$14:$H$19</c:f>
              <c:numCache>
                <c:formatCode>0.0</c:formatCode>
                <c:ptCount val="6"/>
                <c:pt idx="0">
                  <c:v>19.600000000000001</c:v>
                </c:pt>
                <c:pt idx="1">
                  <c:v>18.399999999999999</c:v>
                </c:pt>
                <c:pt idx="2">
                  <c:v>29.6</c:v>
                </c:pt>
                <c:pt idx="3">
                  <c:v>22.4</c:v>
                </c:pt>
                <c:pt idx="4">
                  <c:v>11.2</c:v>
                </c:pt>
                <c:pt idx="5">
                  <c:v>13.1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239-40BF-8D5C-EACCDCEDA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271616"/>
        <c:axId val="548271944"/>
      </c:scatterChart>
      <c:valAx>
        <c:axId val="548271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71944"/>
        <c:crosses val="autoZero"/>
        <c:crossBetween val="midCat"/>
      </c:valAx>
      <c:valAx>
        <c:axId val="548271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71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9762423447069119"/>
          <c:y val="0.14951261300670757"/>
          <c:w val="0.73570909886264202"/>
          <c:h val="0.12731700204141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Nitrogen Middle BCW</a:t>
            </a:r>
          </a:p>
        </c:rich>
      </c:tx>
      <c:layout>
        <c:manualLayout>
          <c:xMode val="edge"/>
          <c:yMode val="edge"/>
          <c:x val="0.42913921588796117"/>
          <c:y val="7.0728530842710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15141961460638"/>
          <c:y val="9.4549371319931422E-2"/>
          <c:w val="0.82580604860900941"/>
          <c:h val="0.50109923250642274"/>
        </c:manualLayout>
      </c:layout>
      <c:lineChart>
        <c:grouping val="standard"/>
        <c:varyColors val="0"/>
        <c:ser>
          <c:idx val="3"/>
          <c:order val="0"/>
          <c:tx>
            <c:strRef>
              <c:f>'MWS 2018 chemistry'!$E$1:$F$1</c:f>
              <c:strCache>
                <c:ptCount val="1"/>
                <c:pt idx="0">
                  <c:v>5/15/2018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'MWS 2018 chemistry'!$E$5:$E$22</c:f>
              <c:numCache>
                <c:formatCode>0</c:formatCode>
                <c:ptCount val="18"/>
                <c:pt idx="0">
                  <c:v>341</c:v>
                </c:pt>
                <c:pt idx="1">
                  <c:v>209</c:v>
                </c:pt>
                <c:pt idx="2">
                  <c:v>258</c:v>
                </c:pt>
                <c:pt idx="3">
                  <c:v>181</c:v>
                </c:pt>
                <c:pt idx="4">
                  <c:v>227</c:v>
                </c:pt>
                <c:pt idx="5">
                  <c:v>358</c:v>
                </c:pt>
                <c:pt idx="6">
                  <c:v>600</c:v>
                </c:pt>
                <c:pt idx="7">
                  <c:v>603</c:v>
                </c:pt>
                <c:pt idx="8">
                  <c:v>582</c:v>
                </c:pt>
                <c:pt idx="9">
                  <c:v>647</c:v>
                </c:pt>
                <c:pt idx="10">
                  <c:v>727</c:v>
                </c:pt>
                <c:pt idx="11">
                  <c:v>751</c:v>
                </c:pt>
                <c:pt idx="12">
                  <c:v>763</c:v>
                </c:pt>
                <c:pt idx="13">
                  <c:v>1465</c:v>
                </c:pt>
                <c:pt idx="14">
                  <c:v>1212</c:v>
                </c:pt>
                <c:pt idx="15">
                  <c:v>769</c:v>
                </c:pt>
                <c:pt idx="16">
                  <c:v>564</c:v>
                </c:pt>
                <c:pt idx="17">
                  <c:v>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5-4BDB-98B1-9FBDFCACC840}"/>
            </c:ext>
          </c:extLst>
        </c:ser>
        <c:ser>
          <c:idx val="7"/>
          <c:order val="1"/>
          <c:tx>
            <c:strRef>
              <c:f>'MWS 2018 chemistry'!$G$1:$H$1</c:f>
              <c:strCache>
                <c:ptCount val="1"/>
                <c:pt idx="0">
                  <c:v>6/19/2018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</a:ln>
            <a:effectLst>
              <a:glow rad="139700">
                <a:schemeClr val="accent2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'MWS 2018 chemistry'!$G$5:$G$22</c:f>
              <c:numCache>
                <c:formatCode>0</c:formatCode>
                <c:ptCount val="18"/>
                <c:pt idx="0">
                  <c:v>195</c:v>
                </c:pt>
                <c:pt idx="1">
                  <c:v>218</c:v>
                </c:pt>
                <c:pt idx="2">
                  <c:v>267</c:v>
                </c:pt>
                <c:pt idx="3">
                  <c:v>144</c:v>
                </c:pt>
                <c:pt idx="4">
                  <c:v>254</c:v>
                </c:pt>
                <c:pt idx="5">
                  <c:v>275</c:v>
                </c:pt>
                <c:pt idx="6">
                  <c:v>431</c:v>
                </c:pt>
                <c:pt idx="7">
                  <c:v>424</c:v>
                </c:pt>
                <c:pt idx="8">
                  <c:v>557</c:v>
                </c:pt>
                <c:pt idx="9">
                  <c:v>470</c:v>
                </c:pt>
                <c:pt idx="10">
                  <c:v>566</c:v>
                </c:pt>
                <c:pt idx="11">
                  <c:v>392</c:v>
                </c:pt>
                <c:pt idx="12">
                  <c:v>598</c:v>
                </c:pt>
                <c:pt idx="13">
                  <c:v>1071</c:v>
                </c:pt>
                <c:pt idx="14">
                  <c:v>1201</c:v>
                </c:pt>
                <c:pt idx="15">
                  <c:v>833</c:v>
                </c:pt>
                <c:pt idx="16">
                  <c:v>392</c:v>
                </c:pt>
                <c:pt idx="17">
                  <c:v>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05-40AC-BD41-F577C6F6751A}"/>
            </c:ext>
          </c:extLst>
        </c:ser>
        <c:ser>
          <c:idx val="8"/>
          <c:order val="2"/>
          <c:tx>
            <c:strRef>
              <c:f>'MWS 2018 chemistry'!$I$1:$J$1</c:f>
              <c:strCache>
                <c:ptCount val="1"/>
                <c:pt idx="0">
                  <c:v>7/19/2018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</a:schemeClr>
              </a:solidFill>
            </a:ln>
            <a:effectLst>
              <a:glow rad="139700">
                <a:schemeClr val="accent3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'MWS 2018 chemistry'!$I$5:$I$22</c:f>
              <c:numCache>
                <c:formatCode>0</c:formatCode>
                <c:ptCount val="18"/>
                <c:pt idx="0">
                  <c:v>144</c:v>
                </c:pt>
                <c:pt idx="1">
                  <c:v>170</c:v>
                </c:pt>
                <c:pt idx="2">
                  <c:v>176</c:v>
                </c:pt>
                <c:pt idx="3">
                  <c:v>68</c:v>
                </c:pt>
                <c:pt idx="4">
                  <c:v>355</c:v>
                </c:pt>
                <c:pt idx="5">
                  <c:v>298</c:v>
                </c:pt>
                <c:pt idx="6">
                  <c:v>663</c:v>
                </c:pt>
                <c:pt idx="7">
                  <c:v>402</c:v>
                </c:pt>
                <c:pt idx="8">
                  <c:v>913</c:v>
                </c:pt>
                <c:pt idx="9">
                  <c:v>640</c:v>
                </c:pt>
                <c:pt idx="10">
                  <c:v>708</c:v>
                </c:pt>
                <c:pt idx="11">
                  <c:v>298</c:v>
                </c:pt>
                <c:pt idx="12">
                  <c:v>495</c:v>
                </c:pt>
                <c:pt idx="13">
                  <c:v>956</c:v>
                </c:pt>
                <c:pt idx="14">
                  <c:v>621</c:v>
                </c:pt>
                <c:pt idx="15">
                  <c:v>1209</c:v>
                </c:pt>
                <c:pt idx="16">
                  <c:v>314</c:v>
                </c:pt>
                <c:pt idx="17">
                  <c:v>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05-40AC-BD41-F577C6F6751A}"/>
            </c:ext>
          </c:extLst>
        </c:ser>
        <c:ser>
          <c:idx val="0"/>
          <c:order val="3"/>
          <c:tx>
            <c:strRef>
              <c:f>'MWS 2018 chemistry'!$K$1:$L$1</c:f>
              <c:strCache>
                <c:ptCount val="1"/>
                <c:pt idx="0">
                  <c:v>8/14/2018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2018 chemistry'!$C$5:$C$22</c:f>
              <c:strCache>
                <c:ptCount val="18"/>
                <c:pt idx="0">
                  <c:v>Site 58</c:v>
                </c:pt>
                <c:pt idx="1">
                  <c:v>Site 2a</c:v>
                </c:pt>
                <c:pt idx="2">
                  <c:v>Site 3a</c:v>
                </c:pt>
                <c:pt idx="3">
                  <c:v>Site 25</c:v>
                </c:pt>
                <c:pt idx="4">
                  <c:v>Site 4a</c:v>
                </c:pt>
                <c:pt idx="5">
                  <c:v>Site 5</c:v>
                </c:pt>
                <c:pt idx="6">
                  <c:v>Site 8a</c:v>
                </c:pt>
                <c:pt idx="7">
                  <c:v>Site 9</c:v>
                </c:pt>
                <c:pt idx="8">
                  <c:v>Site 12</c:v>
                </c:pt>
                <c:pt idx="9">
                  <c:v>Site 13a</c:v>
                </c:pt>
                <c:pt idx="10">
                  <c:v>Site 14a</c:v>
                </c:pt>
                <c:pt idx="11">
                  <c:v>Site 26</c:v>
                </c:pt>
                <c:pt idx="12">
                  <c:v>Site 64</c:v>
                </c:pt>
                <c:pt idx="13">
                  <c:v>Site 32</c:v>
                </c:pt>
                <c:pt idx="14">
                  <c:v>Site 94</c:v>
                </c:pt>
                <c:pt idx="15">
                  <c:v>Site 15a</c:v>
                </c:pt>
                <c:pt idx="16">
                  <c:v>Site 19</c:v>
                </c:pt>
                <c:pt idx="17">
                  <c:v>Site 18</c:v>
                </c:pt>
              </c:strCache>
            </c:strRef>
          </c:cat>
          <c:val>
            <c:numRef>
              <c:f>'MWS 2018 chemistry'!$K$5:$K$22</c:f>
              <c:numCache>
                <c:formatCode>0</c:formatCode>
                <c:ptCount val="18"/>
                <c:pt idx="0">
                  <c:v>139</c:v>
                </c:pt>
                <c:pt idx="1">
                  <c:v>111</c:v>
                </c:pt>
                <c:pt idx="2">
                  <c:v>131</c:v>
                </c:pt>
                <c:pt idx="3">
                  <c:v>87</c:v>
                </c:pt>
                <c:pt idx="4">
                  <c:v>518</c:v>
                </c:pt>
                <c:pt idx="5">
                  <c:v>329</c:v>
                </c:pt>
                <c:pt idx="6">
                  <c:v>912</c:v>
                </c:pt>
                <c:pt idx="7">
                  <c:v>667</c:v>
                </c:pt>
                <c:pt idx="8">
                  <c:v>1182</c:v>
                </c:pt>
                <c:pt idx="9">
                  <c:v>559</c:v>
                </c:pt>
                <c:pt idx="10">
                  <c:v>517</c:v>
                </c:pt>
                <c:pt idx="11">
                  <c:v>250</c:v>
                </c:pt>
                <c:pt idx="12">
                  <c:v>249</c:v>
                </c:pt>
                <c:pt idx="13">
                  <c:v>731</c:v>
                </c:pt>
                <c:pt idx="14">
                  <c:v>542</c:v>
                </c:pt>
                <c:pt idx="15">
                  <c:v>1271</c:v>
                </c:pt>
                <c:pt idx="16">
                  <c:v>558</c:v>
                </c:pt>
                <c:pt idx="17">
                  <c:v>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05-40AC-BD41-F577C6F6751A}"/>
            </c:ext>
          </c:extLst>
        </c:ser>
        <c:ser>
          <c:idx val="1"/>
          <c:order val="4"/>
          <c:tx>
            <c:strRef>
              <c:f>'MWS 2018 chemistry'!$M$1:$N$1</c:f>
              <c:strCache>
                <c:ptCount val="1"/>
                <c:pt idx="0">
                  <c:v>9/28/2018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'MWS 2018 chemistry'!$M$5:$M$22</c:f>
              <c:numCache>
                <c:formatCode>0</c:formatCode>
                <c:ptCount val="18"/>
                <c:pt idx="0">
                  <c:v>150</c:v>
                </c:pt>
                <c:pt idx="1">
                  <c:v>148</c:v>
                </c:pt>
                <c:pt idx="2">
                  <c:v>121</c:v>
                </c:pt>
                <c:pt idx="3">
                  <c:v>51</c:v>
                </c:pt>
                <c:pt idx="4">
                  <c:v>363</c:v>
                </c:pt>
                <c:pt idx="5">
                  <c:v>274</c:v>
                </c:pt>
                <c:pt idx="6">
                  <c:v>851</c:v>
                </c:pt>
                <c:pt idx="7">
                  <c:v>382</c:v>
                </c:pt>
                <c:pt idx="8">
                  <c:v>1272</c:v>
                </c:pt>
                <c:pt idx="9">
                  <c:v>725</c:v>
                </c:pt>
                <c:pt idx="10">
                  <c:v>728</c:v>
                </c:pt>
                <c:pt idx="11">
                  <c:v>235</c:v>
                </c:pt>
                <c:pt idx="12">
                  <c:v>335</c:v>
                </c:pt>
                <c:pt idx="13">
                  <c:v>849</c:v>
                </c:pt>
                <c:pt idx="14">
                  <c:v>528</c:v>
                </c:pt>
                <c:pt idx="15">
                  <c:v>903</c:v>
                </c:pt>
                <c:pt idx="16">
                  <c:v>139</c:v>
                </c:pt>
                <c:pt idx="17">
                  <c:v>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05-40AC-BD41-F577C6F6751A}"/>
            </c:ext>
          </c:extLst>
        </c:ser>
        <c:ser>
          <c:idx val="2"/>
          <c:order val="5"/>
          <c:tx>
            <c:strRef>
              <c:f>'MWS 2018 chemistry'!$O$1:$P$1</c:f>
              <c:strCache>
                <c:ptCount val="1"/>
                <c:pt idx="0">
                  <c:v>10/23/2018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'MWS 2018 chemistry'!$O$5:$O$22</c:f>
              <c:numCache>
                <c:formatCode>0</c:formatCode>
                <c:ptCount val="18"/>
                <c:pt idx="0">
                  <c:v>190</c:v>
                </c:pt>
                <c:pt idx="1">
                  <c:v>106</c:v>
                </c:pt>
                <c:pt idx="2">
                  <c:v>105</c:v>
                </c:pt>
                <c:pt idx="3">
                  <c:v>41</c:v>
                </c:pt>
                <c:pt idx="4">
                  <c:v>196</c:v>
                </c:pt>
                <c:pt idx="5">
                  <c:v>172</c:v>
                </c:pt>
                <c:pt idx="6">
                  <c:v>520</c:v>
                </c:pt>
                <c:pt idx="7">
                  <c:v>370</c:v>
                </c:pt>
                <c:pt idx="8">
                  <c:v>580</c:v>
                </c:pt>
                <c:pt idx="9">
                  <c:v>491</c:v>
                </c:pt>
                <c:pt idx="10">
                  <c:v>617</c:v>
                </c:pt>
                <c:pt idx="11">
                  <c:v>109</c:v>
                </c:pt>
                <c:pt idx="12">
                  <c:v>675</c:v>
                </c:pt>
                <c:pt idx="13">
                  <c:v>1400</c:v>
                </c:pt>
                <c:pt idx="14">
                  <c:v>469</c:v>
                </c:pt>
                <c:pt idx="15">
                  <c:v>790</c:v>
                </c:pt>
                <c:pt idx="16">
                  <c:v>151</c:v>
                </c:pt>
                <c:pt idx="17">
                  <c:v>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05-40AC-BD41-F577C6F67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152960"/>
        <c:axId val="116162944"/>
      </c:lineChart>
      <c:catAx>
        <c:axId val="116152960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162944"/>
        <c:crosses val="autoZero"/>
        <c:auto val="1"/>
        <c:lblAlgn val="ctr"/>
        <c:lblOffset val="100"/>
        <c:noMultiLvlLbl val="0"/>
      </c:catAx>
      <c:valAx>
        <c:axId val="116162944"/>
        <c:scaling>
          <c:orientation val="maxMin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Nitrogen ug/l</a:t>
                </a:r>
              </a:p>
            </c:rich>
          </c:tx>
          <c:layout>
            <c:manualLayout>
              <c:xMode val="edge"/>
              <c:yMode val="edge"/>
              <c:x val="6.1487455279669492E-2"/>
              <c:y val="0.156234434099467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152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Phosphorus Middle BCW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210801446743894"/>
          <c:y val="8.9441924610057288E-2"/>
          <c:w val="0.81856831670787755"/>
          <c:h val="0.50071223807913501"/>
        </c:manualLayout>
      </c:layout>
      <c:lineChart>
        <c:grouping val="standard"/>
        <c:varyColors val="0"/>
        <c:ser>
          <c:idx val="3"/>
          <c:order val="0"/>
          <c:tx>
            <c:strRef>
              <c:f>'MWS 2018 chemistry'!$E$1:$F$1</c:f>
              <c:strCache>
                <c:ptCount val="1"/>
                <c:pt idx="0">
                  <c:v>5/15/2018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'MWS 2018 chemistry'!$F$5:$F$22</c:f>
              <c:numCache>
                <c:formatCode>0</c:formatCode>
                <c:ptCount val="18"/>
                <c:pt idx="0">
                  <c:v>19</c:v>
                </c:pt>
                <c:pt idx="1">
                  <c:v>19</c:v>
                </c:pt>
                <c:pt idx="2">
                  <c:v>28</c:v>
                </c:pt>
                <c:pt idx="3">
                  <c:v>37</c:v>
                </c:pt>
                <c:pt idx="4">
                  <c:v>11</c:v>
                </c:pt>
                <c:pt idx="5">
                  <c:v>36</c:v>
                </c:pt>
                <c:pt idx="6">
                  <c:v>42</c:v>
                </c:pt>
                <c:pt idx="7">
                  <c:v>52</c:v>
                </c:pt>
                <c:pt idx="8">
                  <c:v>44</c:v>
                </c:pt>
                <c:pt idx="9">
                  <c:v>47</c:v>
                </c:pt>
                <c:pt idx="10">
                  <c:v>33</c:v>
                </c:pt>
                <c:pt idx="11">
                  <c:v>59</c:v>
                </c:pt>
                <c:pt idx="12">
                  <c:v>170</c:v>
                </c:pt>
                <c:pt idx="13">
                  <c:v>147</c:v>
                </c:pt>
                <c:pt idx="14">
                  <c:v>6</c:v>
                </c:pt>
                <c:pt idx="15">
                  <c:v>30</c:v>
                </c:pt>
                <c:pt idx="16">
                  <c:v>30</c:v>
                </c:pt>
                <c:pt idx="17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D1-47E0-982D-A647E6AAF30A}"/>
            </c:ext>
          </c:extLst>
        </c:ser>
        <c:ser>
          <c:idx val="7"/>
          <c:order val="1"/>
          <c:tx>
            <c:strRef>
              <c:f>'MWS 2018 chemistry'!$G$1:$H$1</c:f>
              <c:strCache>
                <c:ptCount val="1"/>
                <c:pt idx="0">
                  <c:v>6/19/2018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</a:ln>
            <a:effectLst>
              <a:glow rad="139700">
                <a:schemeClr val="accent2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'MWS 2018 chemistry'!$H$5:$H$22</c:f>
              <c:numCache>
                <c:formatCode>0</c:formatCode>
                <c:ptCount val="18"/>
                <c:pt idx="0">
                  <c:v>14</c:v>
                </c:pt>
                <c:pt idx="1">
                  <c:v>21</c:v>
                </c:pt>
                <c:pt idx="2">
                  <c:v>28</c:v>
                </c:pt>
                <c:pt idx="3">
                  <c:v>54</c:v>
                </c:pt>
                <c:pt idx="4">
                  <c:v>21</c:v>
                </c:pt>
                <c:pt idx="5">
                  <c:v>27</c:v>
                </c:pt>
                <c:pt idx="6">
                  <c:v>32</c:v>
                </c:pt>
                <c:pt idx="7">
                  <c:v>35</c:v>
                </c:pt>
                <c:pt idx="8">
                  <c:v>57</c:v>
                </c:pt>
                <c:pt idx="9">
                  <c:v>42</c:v>
                </c:pt>
                <c:pt idx="10">
                  <c:v>65</c:v>
                </c:pt>
                <c:pt idx="11">
                  <c:v>36</c:v>
                </c:pt>
                <c:pt idx="12">
                  <c:v>70</c:v>
                </c:pt>
                <c:pt idx="13">
                  <c:v>155</c:v>
                </c:pt>
                <c:pt idx="14">
                  <c:v>51</c:v>
                </c:pt>
                <c:pt idx="15">
                  <c:v>62</c:v>
                </c:pt>
                <c:pt idx="16">
                  <c:v>41</c:v>
                </c:pt>
                <c:pt idx="17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54-45DE-8002-9E36619010B8}"/>
            </c:ext>
          </c:extLst>
        </c:ser>
        <c:ser>
          <c:idx val="8"/>
          <c:order val="2"/>
          <c:tx>
            <c:strRef>
              <c:f>'MWS 2018 chemistry'!$I$1:$J$1</c:f>
              <c:strCache>
                <c:ptCount val="1"/>
                <c:pt idx="0">
                  <c:v>7/19/2018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</a:schemeClr>
              </a:solidFill>
            </a:ln>
            <a:effectLst>
              <a:glow rad="139700">
                <a:schemeClr val="accent3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'MWS 2018 chemistry'!$J$5:$J$22</c:f>
              <c:numCache>
                <c:formatCode>0</c:formatCode>
                <c:ptCount val="18"/>
                <c:pt idx="0">
                  <c:v>4</c:v>
                </c:pt>
                <c:pt idx="1">
                  <c:v>9</c:v>
                </c:pt>
                <c:pt idx="2">
                  <c:v>13</c:v>
                </c:pt>
                <c:pt idx="3">
                  <c:v>7</c:v>
                </c:pt>
                <c:pt idx="4">
                  <c:v>25</c:v>
                </c:pt>
                <c:pt idx="5">
                  <c:v>31</c:v>
                </c:pt>
                <c:pt idx="6">
                  <c:v>37</c:v>
                </c:pt>
                <c:pt idx="7">
                  <c:v>48</c:v>
                </c:pt>
                <c:pt idx="8">
                  <c:v>50</c:v>
                </c:pt>
                <c:pt idx="9">
                  <c:v>44</c:v>
                </c:pt>
                <c:pt idx="10">
                  <c:v>46</c:v>
                </c:pt>
                <c:pt idx="11">
                  <c:v>30</c:v>
                </c:pt>
                <c:pt idx="12">
                  <c:v>76</c:v>
                </c:pt>
                <c:pt idx="13">
                  <c:v>136</c:v>
                </c:pt>
                <c:pt idx="14">
                  <c:v>25</c:v>
                </c:pt>
                <c:pt idx="15">
                  <c:v>110</c:v>
                </c:pt>
                <c:pt idx="16">
                  <c:v>87</c:v>
                </c:pt>
                <c:pt idx="17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54-45DE-8002-9E36619010B8}"/>
            </c:ext>
          </c:extLst>
        </c:ser>
        <c:ser>
          <c:idx val="0"/>
          <c:order val="3"/>
          <c:tx>
            <c:strRef>
              <c:f>'MWS 2018 chemistry'!$K$1:$L$1</c:f>
              <c:strCache>
                <c:ptCount val="1"/>
                <c:pt idx="0">
                  <c:v>8/14/2018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2018 chemistry'!$C$5:$C$22</c:f>
              <c:strCache>
                <c:ptCount val="18"/>
                <c:pt idx="0">
                  <c:v>Site 58</c:v>
                </c:pt>
                <c:pt idx="1">
                  <c:v>Site 2a</c:v>
                </c:pt>
                <c:pt idx="2">
                  <c:v>Site 3a</c:v>
                </c:pt>
                <c:pt idx="3">
                  <c:v>Site 25</c:v>
                </c:pt>
                <c:pt idx="4">
                  <c:v>Site 4a</c:v>
                </c:pt>
                <c:pt idx="5">
                  <c:v>Site 5</c:v>
                </c:pt>
                <c:pt idx="6">
                  <c:v>Site 8a</c:v>
                </c:pt>
                <c:pt idx="7">
                  <c:v>Site 9</c:v>
                </c:pt>
                <c:pt idx="8">
                  <c:v>Site 12</c:v>
                </c:pt>
                <c:pt idx="9">
                  <c:v>Site 13a</c:v>
                </c:pt>
                <c:pt idx="10">
                  <c:v>Site 14a</c:v>
                </c:pt>
                <c:pt idx="11">
                  <c:v>Site 26</c:v>
                </c:pt>
                <c:pt idx="12">
                  <c:v>Site 64</c:v>
                </c:pt>
                <c:pt idx="13">
                  <c:v>Site 32</c:v>
                </c:pt>
                <c:pt idx="14">
                  <c:v>Site 94</c:v>
                </c:pt>
                <c:pt idx="15">
                  <c:v>Site 15a</c:v>
                </c:pt>
                <c:pt idx="16">
                  <c:v>Site 19</c:v>
                </c:pt>
                <c:pt idx="17">
                  <c:v>Site 18</c:v>
                </c:pt>
              </c:strCache>
            </c:strRef>
          </c:cat>
          <c:val>
            <c:numRef>
              <c:f>'MWS 2018 chemistry'!$L$5:$L$22</c:f>
              <c:numCache>
                <c:formatCode>0</c:formatCode>
                <c:ptCount val="18"/>
                <c:pt idx="0">
                  <c:v>4</c:v>
                </c:pt>
                <c:pt idx="1">
                  <c:v>8</c:v>
                </c:pt>
                <c:pt idx="2">
                  <c:v>13</c:v>
                </c:pt>
                <c:pt idx="3">
                  <c:v>7</c:v>
                </c:pt>
                <c:pt idx="4">
                  <c:v>62</c:v>
                </c:pt>
                <c:pt idx="5">
                  <c:v>46</c:v>
                </c:pt>
                <c:pt idx="6">
                  <c:v>62</c:v>
                </c:pt>
                <c:pt idx="7">
                  <c:v>31</c:v>
                </c:pt>
                <c:pt idx="8">
                  <c:v>43</c:v>
                </c:pt>
                <c:pt idx="9">
                  <c:v>26</c:v>
                </c:pt>
                <c:pt idx="10">
                  <c:v>126</c:v>
                </c:pt>
                <c:pt idx="11">
                  <c:v>71</c:v>
                </c:pt>
                <c:pt idx="12">
                  <c:v>28</c:v>
                </c:pt>
                <c:pt idx="13">
                  <c:v>97</c:v>
                </c:pt>
                <c:pt idx="14">
                  <c:v>6</c:v>
                </c:pt>
                <c:pt idx="15">
                  <c:v>32</c:v>
                </c:pt>
                <c:pt idx="16">
                  <c:v>262</c:v>
                </c:pt>
                <c:pt idx="17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54-45DE-8002-9E36619010B8}"/>
            </c:ext>
          </c:extLst>
        </c:ser>
        <c:ser>
          <c:idx val="1"/>
          <c:order val="4"/>
          <c:tx>
            <c:strRef>
              <c:f>'MWS 2018 chemistry'!$M$1:$N$1</c:f>
              <c:strCache>
                <c:ptCount val="1"/>
                <c:pt idx="0">
                  <c:v>9/28/2018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'MWS 2018 chemistry'!$N$5:$N$22</c:f>
              <c:numCache>
                <c:formatCode>0</c:formatCode>
                <c:ptCount val="18"/>
                <c:pt idx="0">
                  <c:v>2</c:v>
                </c:pt>
                <c:pt idx="1">
                  <c:v>6</c:v>
                </c:pt>
                <c:pt idx="2">
                  <c:v>12</c:v>
                </c:pt>
                <c:pt idx="3">
                  <c:v>8</c:v>
                </c:pt>
                <c:pt idx="4">
                  <c:v>25</c:v>
                </c:pt>
                <c:pt idx="5">
                  <c:v>33</c:v>
                </c:pt>
                <c:pt idx="6">
                  <c:v>151</c:v>
                </c:pt>
                <c:pt idx="7">
                  <c:v>39</c:v>
                </c:pt>
                <c:pt idx="8">
                  <c:v>40</c:v>
                </c:pt>
                <c:pt idx="9">
                  <c:v>56</c:v>
                </c:pt>
                <c:pt idx="10">
                  <c:v>84</c:v>
                </c:pt>
                <c:pt idx="11">
                  <c:v>17</c:v>
                </c:pt>
                <c:pt idx="12">
                  <c:v>25</c:v>
                </c:pt>
                <c:pt idx="13">
                  <c:v>136</c:v>
                </c:pt>
                <c:pt idx="14">
                  <c:v>5</c:v>
                </c:pt>
                <c:pt idx="15">
                  <c:v>24</c:v>
                </c:pt>
                <c:pt idx="16">
                  <c:v>25</c:v>
                </c:pt>
                <c:pt idx="17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54-45DE-8002-9E36619010B8}"/>
            </c:ext>
          </c:extLst>
        </c:ser>
        <c:ser>
          <c:idx val="2"/>
          <c:order val="5"/>
          <c:tx>
            <c:strRef>
              <c:f>'MWS 2018 chemistry'!$O$1:$P$1</c:f>
              <c:strCache>
                <c:ptCount val="1"/>
                <c:pt idx="0">
                  <c:v>10/23/2018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'MWS 2018 chemistry'!$P$5:$P$22</c:f>
              <c:numCache>
                <c:formatCode>0</c:formatCode>
                <c:ptCount val="18"/>
                <c:pt idx="0">
                  <c:v>3</c:v>
                </c:pt>
                <c:pt idx="1">
                  <c:v>6</c:v>
                </c:pt>
                <c:pt idx="2">
                  <c:v>13</c:v>
                </c:pt>
                <c:pt idx="3">
                  <c:v>11</c:v>
                </c:pt>
                <c:pt idx="4">
                  <c:v>20</c:v>
                </c:pt>
                <c:pt idx="5">
                  <c:v>34</c:v>
                </c:pt>
                <c:pt idx="6">
                  <c:v>27</c:v>
                </c:pt>
                <c:pt idx="7">
                  <c:v>23</c:v>
                </c:pt>
                <c:pt idx="8">
                  <c:v>24</c:v>
                </c:pt>
                <c:pt idx="9">
                  <c:v>72</c:v>
                </c:pt>
                <c:pt idx="10">
                  <c:v>18</c:v>
                </c:pt>
                <c:pt idx="11">
                  <c:v>12</c:v>
                </c:pt>
                <c:pt idx="12">
                  <c:v>30</c:v>
                </c:pt>
                <c:pt idx="13">
                  <c:v>113</c:v>
                </c:pt>
                <c:pt idx="14">
                  <c:v>2</c:v>
                </c:pt>
                <c:pt idx="15">
                  <c:v>79</c:v>
                </c:pt>
                <c:pt idx="16">
                  <c:v>11</c:v>
                </c:pt>
                <c:pt idx="17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54-45DE-8002-9E3661901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624448"/>
        <c:axId val="119625984"/>
      </c:lineChart>
      <c:catAx>
        <c:axId val="119624448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625984"/>
        <c:crosses val="autoZero"/>
        <c:auto val="1"/>
        <c:lblAlgn val="ctr"/>
        <c:lblOffset val="100"/>
        <c:noMultiLvlLbl val="0"/>
      </c:catAx>
      <c:valAx>
        <c:axId val="119625984"/>
        <c:scaling>
          <c:orientation val="maxMin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Phosphorus ug/l</a:t>
                </a:r>
              </a:p>
            </c:rich>
          </c:tx>
          <c:layout>
            <c:manualLayout>
              <c:xMode val="edge"/>
              <c:yMode val="edge"/>
              <c:x val="7.3863922305941548E-2"/>
              <c:y val="0.15349508577156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6244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Average Total Nitrogen Watershed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120904838795342E-2"/>
          <c:y val="0.13025460930640914"/>
          <c:w val="0.88995649053591541"/>
          <c:h val="0.69639728256042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'MWS 2018 chemistry'!$Q$2</c:f>
              <c:strCache>
                <c:ptCount val="1"/>
                <c:pt idx="0">
                  <c:v>TN Ug/l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'MWS 2018 chemistry'!$A$3:$C$26</c:f>
              <c:multiLvlStrCache>
                <c:ptCount val="24"/>
                <c:lvl>
                  <c:pt idx="0">
                    <c:v>Site 36</c:v>
                  </c:pt>
                  <c:pt idx="1">
                    <c:v>Site 37</c:v>
                  </c:pt>
                  <c:pt idx="2">
                    <c:v>Site 58</c:v>
                  </c:pt>
                  <c:pt idx="3">
                    <c:v>Site 2a</c:v>
                  </c:pt>
                  <c:pt idx="4">
                    <c:v>Site 3a</c:v>
                  </c:pt>
                  <c:pt idx="5">
                    <c:v>Site 25</c:v>
                  </c:pt>
                  <c:pt idx="6">
                    <c:v>Site 4a</c:v>
                  </c:pt>
                  <c:pt idx="7">
                    <c:v>Site 5</c:v>
                  </c:pt>
                  <c:pt idx="8">
                    <c:v>Site 8a</c:v>
                  </c:pt>
                  <c:pt idx="9">
                    <c:v>Site 9</c:v>
                  </c:pt>
                  <c:pt idx="10">
                    <c:v>Site 12</c:v>
                  </c:pt>
                  <c:pt idx="11">
                    <c:v>Site 13a</c:v>
                  </c:pt>
                  <c:pt idx="12">
                    <c:v>Site 14a</c:v>
                  </c:pt>
                  <c:pt idx="13">
                    <c:v>Site 26</c:v>
                  </c:pt>
                  <c:pt idx="14">
                    <c:v>Site 64</c:v>
                  </c:pt>
                  <c:pt idx="15">
                    <c:v>Site 32</c:v>
                  </c:pt>
                  <c:pt idx="16">
                    <c:v>Site 94</c:v>
                  </c:pt>
                  <c:pt idx="17">
                    <c:v>Site 15a</c:v>
                  </c:pt>
                  <c:pt idx="18">
                    <c:v>Site 19</c:v>
                  </c:pt>
                  <c:pt idx="19">
                    <c:v>Site 18</c:v>
                  </c:pt>
                  <c:pt idx="20">
                    <c:v>Site 16a</c:v>
                  </c:pt>
                  <c:pt idx="21">
                    <c:v>Site 40a</c:v>
                  </c:pt>
                  <c:pt idx="22">
                    <c:v>Site 45</c:v>
                  </c:pt>
                  <c:pt idx="23">
                    <c:v>Site 90</c:v>
                  </c:pt>
                </c:lvl>
                <c:lvl>
                  <c:pt idx="0">
                    <c:v>Evans</c:v>
                  </c:pt>
                  <c:pt idx="2">
                    <c:v>Upper Bear</c:v>
                  </c:pt>
                  <c:pt idx="5">
                    <c:v>Tribs</c:v>
                  </c:pt>
                  <c:pt idx="6">
                    <c:v>EGL</c:v>
                  </c:pt>
                  <c:pt idx="7">
                    <c:v>Middle Bear Creek </c:v>
                  </c:pt>
                  <c:pt idx="13">
                    <c:v>Upper Tribs</c:v>
                  </c:pt>
                  <c:pt idx="16">
                    <c:v>Mt. V</c:v>
                  </c:pt>
                  <c:pt idx="17">
                    <c:v>BCP</c:v>
                  </c:pt>
                  <c:pt idx="18">
                    <c:v>Turkey</c:v>
                  </c:pt>
                  <c:pt idx="19">
                    <c:v>Turkey</c:v>
                  </c:pt>
                  <c:pt idx="21">
                    <c:v>BCR</c:v>
                  </c:pt>
                  <c:pt idx="22">
                    <c:v>Lower Bear</c:v>
                  </c:pt>
                </c:lvl>
                <c:lvl>
                  <c:pt idx="0">
                    <c:v>Seg 7</c:v>
                  </c:pt>
                  <c:pt idx="2">
                    <c:v>Seg 1a</c:v>
                  </c:pt>
                  <c:pt idx="5">
                    <c:v>Seg 3</c:v>
                  </c:pt>
                  <c:pt idx="6">
                    <c:v>Seg 1d</c:v>
                  </c:pt>
                  <c:pt idx="7">
                    <c:v>Seg 1e</c:v>
                  </c:pt>
                  <c:pt idx="13">
                    <c:v>Seg 5</c:v>
                  </c:pt>
                  <c:pt idx="16">
                    <c:v>Seg 4a</c:v>
                  </c:pt>
                  <c:pt idx="17">
                    <c:v>Seg 1b</c:v>
                  </c:pt>
                  <c:pt idx="18">
                    <c:v>Seg 6b</c:v>
                  </c:pt>
                  <c:pt idx="19">
                    <c:v>Seg 6a</c:v>
                  </c:pt>
                  <c:pt idx="21">
                    <c:v>Seg 1c</c:v>
                  </c:pt>
                  <c:pt idx="22">
                    <c:v>Seg 2</c:v>
                  </c:pt>
                </c:lvl>
              </c:multiLvlStrCache>
            </c:multiLvlStrRef>
          </c:cat>
          <c:val>
            <c:numRef>
              <c:f>'MWS 2018 chemistry'!$Q$3:$Q$26</c:f>
              <c:numCache>
                <c:formatCode>#,##0</c:formatCode>
                <c:ptCount val="24"/>
                <c:pt idx="0">
                  <c:v>191.25</c:v>
                </c:pt>
                <c:pt idx="1">
                  <c:v>315.25</c:v>
                </c:pt>
                <c:pt idx="2">
                  <c:v>193.16666666666666</c:v>
                </c:pt>
                <c:pt idx="3">
                  <c:v>160.33333333333334</c:v>
                </c:pt>
                <c:pt idx="4">
                  <c:v>176.33333333333334</c:v>
                </c:pt>
                <c:pt idx="5">
                  <c:v>95.333333333333329</c:v>
                </c:pt>
                <c:pt idx="6">
                  <c:v>318.83333333333331</c:v>
                </c:pt>
                <c:pt idx="7">
                  <c:v>284.33333333333331</c:v>
                </c:pt>
                <c:pt idx="8">
                  <c:v>662.83333333333337</c:v>
                </c:pt>
                <c:pt idx="9">
                  <c:v>474.66666666666669</c:v>
                </c:pt>
                <c:pt idx="10">
                  <c:v>847.66666666666663</c:v>
                </c:pt>
                <c:pt idx="11">
                  <c:v>588.66666666666663</c:v>
                </c:pt>
                <c:pt idx="12">
                  <c:v>643.83333333333337</c:v>
                </c:pt>
                <c:pt idx="13">
                  <c:v>339.16666666666669</c:v>
                </c:pt>
                <c:pt idx="14">
                  <c:v>519.16666666666663</c:v>
                </c:pt>
                <c:pt idx="15">
                  <c:v>1078.6666666666667</c:v>
                </c:pt>
                <c:pt idx="16">
                  <c:v>762.16666666666663</c:v>
                </c:pt>
                <c:pt idx="17">
                  <c:v>962.5</c:v>
                </c:pt>
                <c:pt idx="18">
                  <c:v>353</c:v>
                </c:pt>
                <c:pt idx="19">
                  <c:v>466</c:v>
                </c:pt>
                <c:pt idx="20">
                  <c:v>615.66666666666663</c:v>
                </c:pt>
                <c:pt idx="21">
                  <c:v>665.83333333333337</c:v>
                </c:pt>
                <c:pt idx="22">
                  <c:v>752.16666666666663</c:v>
                </c:pt>
                <c:pt idx="23">
                  <c:v>898.66666666666663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B-4B61-8E1A-984D95CA7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3061568"/>
        <c:axId val="563059272"/>
      </c:barChart>
      <c:catAx>
        <c:axId val="56306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59272"/>
        <c:crosses val="autoZero"/>
        <c:auto val="1"/>
        <c:lblAlgn val="ctr"/>
        <c:lblOffset val="100"/>
        <c:noMultiLvlLbl val="0"/>
      </c:catAx>
      <c:valAx>
        <c:axId val="563059272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TN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6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Average Total Phosphorous Watershed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2018 chemistry'!$R$2</c:f>
              <c:strCache>
                <c:ptCount val="1"/>
                <c:pt idx="0">
                  <c:v>T Phos Ug/l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'MWS 2018 chemistry'!$A$3:$C$26</c:f>
              <c:multiLvlStrCache>
                <c:ptCount val="24"/>
                <c:lvl>
                  <c:pt idx="0">
                    <c:v>Site 36</c:v>
                  </c:pt>
                  <c:pt idx="1">
                    <c:v>Site 37</c:v>
                  </c:pt>
                  <c:pt idx="2">
                    <c:v>Site 58</c:v>
                  </c:pt>
                  <c:pt idx="3">
                    <c:v>Site 2a</c:v>
                  </c:pt>
                  <c:pt idx="4">
                    <c:v>Site 3a</c:v>
                  </c:pt>
                  <c:pt idx="5">
                    <c:v>Site 25</c:v>
                  </c:pt>
                  <c:pt idx="6">
                    <c:v>Site 4a</c:v>
                  </c:pt>
                  <c:pt idx="7">
                    <c:v>Site 5</c:v>
                  </c:pt>
                  <c:pt idx="8">
                    <c:v>Site 8a</c:v>
                  </c:pt>
                  <c:pt idx="9">
                    <c:v>Site 9</c:v>
                  </c:pt>
                  <c:pt idx="10">
                    <c:v>Site 12</c:v>
                  </c:pt>
                  <c:pt idx="11">
                    <c:v>Site 13a</c:v>
                  </c:pt>
                  <c:pt idx="12">
                    <c:v>Site 14a</c:v>
                  </c:pt>
                  <c:pt idx="13">
                    <c:v>Site 26</c:v>
                  </c:pt>
                  <c:pt idx="14">
                    <c:v>Site 64</c:v>
                  </c:pt>
                  <c:pt idx="15">
                    <c:v>Site 32</c:v>
                  </c:pt>
                  <c:pt idx="16">
                    <c:v>Site 94</c:v>
                  </c:pt>
                  <c:pt idx="17">
                    <c:v>Site 15a</c:v>
                  </c:pt>
                  <c:pt idx="18">
                    <c:v>Site 19</c:v>
                  </c:pt>
                  <c:pt idx="19">
                    <c:v>Site 18</c:v>
                  </c:pt>
                  <c:pt idx="20">
                    <c:v>Site 16a</c:v>
                  </c:pt>
                  <c:pt idx="21">
                    <c:v>Site 40a</c:v>
                  </c:pt>
                  <c:pt idx="22">
                    <c:v>Site 45</c:v>
                  </c:pt>
                  <c:pt idx="23">
                    <c:v>Site 90</c:v>
                  </c:pt>
                </c:lvl>
                <c:lvl>
                  <c:pt idx="0">
                    <c:v>Evans</c:v>
                  </c:pt>
                  <c:pt idx="2">
                    <c:v>Upper Bear</c:v>
                  </c:pt>
                  <c:pt idx="5">
                    <c:v>Tribs</c:v>
                  </c:pt>
                  <c:pt idx="6">
                    <c:v>EGL</c:v>
                  </c:pt>
                  <c:pt idx="7">
                    <c:v>Middle Bear Creek </c:v>
                  </c:pt>
                  <c:pt idx="13">
                    <c:v>Upper Tribs</c:v>
                  </c:pt>
                  <c:pt idx="16">
                    <c:v>Mt. V</c:v>
                  </c:pt>
                  <c:pt idx="17">
                    <c:v>BCP</c:v>
                  </c:pt>
                  <c:pt idx="18">
                    <c:v>Turkey</c:v>
                  </c:pt>
                  <c:pt idx="19">
                    <c:v>Turkey</c:v>
                  </c:pt>
                  <c:pt idx="21">
                    <c:v>BCR</c:v>
                  </c:pt>
                  <c:pt idx="22">
                    <c:v>Lower Bear</c:v>
                  </c:pt>
                </c:lvl>
                <c:lvl>
                  <c:pt idx="0">
                    <c:v>Seg 7</c:v>
                  </c:pt>
                  <c:pt idx="2">
                    <c:v>Seg 1a</c:v>
                  </c:pt>
                  <c:pt idx="5">
                    <c:v>Seg 3</c:v>
                  </c:pt>
                  <c:pt idx="6">
                    <c:v>Seg 1d</c:v>
                  </c:pt>
                  <c:pt idx="7">
                    <c:v>Seg 1e</c:v>
                  </c:pt>
                  <c:pt idx="13">
                    <c:v>Seg 5</c:v>
                  </c:pt>
                  <c:pt idx="16">
                    <c:v>Seg 4a</c:v>
                  </c:pt>
                  <c:pt idx="17">
                    <c:v>Seg 1b</c:v>
                  </c:pt>
                  <c:pt idx="18">
                    <c:v>Seg 6b</c:v>
                  </c:pt>
                  <c:pt idx="19">
                    <c:v>Seg 6a</c:v>
                  </c:pt>
                  <c:pt idx="21">
                    <c:v>Seg 1c</c:v>
                  </c:pt>
                  <c:pt idx="22">
                    <c:v>Seg 2</c:v>
                  </c:pt>
                </c:lvl>
              </c:multiLvlStrCache>
            </c:multiLvlStrRef>
          </c:cat>
          <c:val>
            <c:numRef>
              <c:f>'MWS 2018 chemistry'!$R$3:$R$26</c:f>
              <c:numCache>
                <c:formatCode>#,##0</c:formatCode>
                <c:ptCount val="24"/>
                <c:pt idx="0">
                  <c:v>3.75</c:v>
                </c:pt>
                <c:pt idx="1">
                  <c:v>8.5</c:v>
                </c:pt>
                <c:pt idx="2">
                  <c:v>7.666666666666667</c:v>
                </c:pt>
                <c:pt idx="3">
                  <c:v>11.5</c:v>
                </c:pt>
                <c:pt idx="4">
                  <c:v>17.833333333333332</c:v>
                </c:pt>
                <c:pt idx="5">
                  <c:v>20.666666666666668</c:v>
                </c:pt>
                <c:pt idx="6">
                  <c:v>27.333333333333332</c:v>
                </c:pt>
                <c:pt idx="7">
                  <c:v>34.5</c:v>
                </c:pt>
                <c:pt idx="8">
                  <c:v>58.5</c:v>
                </c:pt>
                <c:pt idx="9">
                  <c:v>38</c:v>
                </c:pt>
                <c:pt idx="10">
                  <c:v>43</c:v>
                </c:pt>
                <c:pt idx="11">
                  <c:v>47.833333333333336</c:v>
                </c:pt>
                <c:pt idx="12">
                  <c:v>62</c:v>
                </c:pt>
                <c:pt idx="13">
                  <c:v>37.5</c:v>
                </c:pt>
                <c:pt idx="14">
                  <c:v>66.5</c:v>
                </c:pt>
                <c:pt idx="15">
                  <c:v>130.66666666666666</c:v>
                </c:pt>
                <c:pt idx="16">
                  <c:v>15.833333333333334</c:v>
                </c:pt>
                <c:pt idx="17">
                  <c:v>56.166666666666664</c:v>
                </c:pt>
                <c:pt idx="18">
                  <c:v>76</c:v>
                </c:pt>
                <c:pt idx="19">
                  <c:v>45.833333333333336</c:v>
                </c:pt>
                <c:pt idx="20">
                  <c:v>36.833333333333336</c:v>
                </c:pt>
                <c:pt idx="21">
                  <c:v>39</c:v>
                </c:pt>
                <c:pt idx="22">
                  <c:v>41.166666666666664</c:v>
                </c:pt>
                <c:pt idx="2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5-4702-B20F-81DE46FE1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8347464"/>
        <c:axId val="558348776"/>
      </c:barChart>
      <c:catAx>
        <c:axId val="55834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348776"/>
        <c:crosses val="autoZero"/>
        <c:auto val="1"/>
        <c:lblAlgn val="ctr"/>
        <c:lblOffset val="100"/>
        <c:noMultiLvlLbl val="0"/>
      </c:catAx>
      <c:valAx>
        <c:axId val="55834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TP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34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Total Phosphorus Seasonal Average ug/l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63940964641416E-2"/>
          <c:y val="0.18099248120300754"/>
          <c:w val="0.89935295752182365"/>
          <c:h val="0.54187437096678703"/>
        </c:manualLayout>
      </c:layout>
      <c:lineChart>
        <c:grouping val="standard"/>
        <c:varyColors val="0"/>
        <c:ser>
          <c:idx val="0"/>
          <c:order val="0"/>
          <c:tx>
            <c:strRef>
              <c:f>'MWS 2018 chemistry'!$D$154:$D$157</c:f>
              <c:strCache>
                <c:ptCount val="4"/>
                <c:pt idx="0">
                  <c:v>Cub Creek, Upstream @ Brookforest Inn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'MWS 2018 chemistry'!$E$154:$E$157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'MWS 2018 chemistry'!$M$154:$M$157</c:f>
              <c:numCache>
                <c:formatCode>#,##0</c:formatCode>
                <c:ptCount val="4"/>
                <c:pt idx="0">
                  <c:v>24.666666666666668</c:v>
                </c:pt>
                <c:pt idx="1">
                  <c:v>95.833333333333329</c:v>
                </c:pt>
                <c:pt idx="2">
                  <c:v>33.833333333333336</c:v>
                </c:pt>
                <c:pt idx="3">
                  <c:v>57.166666666666664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13-4357-9BA3-749E5A8209C8}"/>
            </c:ext>
          </c:extLst>
        </c:ser>
        <c:ser>
          <c:idx val="1"/>
          <c:order val="1"/>
          <c:tx>
            <c:strRef>
              <c:f>'MWS 2018 chemistry'!$D$158:$D$161</c:f>
              <c:strCache>
                <c:ptCount val="4"/>
                <c:pt idx="0">
                  <c:v>Cub Creek, Upstream of Cub Creek Park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'MWS 2018 chemistry'!$M$158:$M$161</c:f>
              <c:numCache>
                <c:formatCode>#,##0</c:formatCode>
                <c:ptCount val="4"/>
                <c:pt idx="0">
                  <c:v>40.166666666666664</c:v>
                </c:pt>
                <c:pt idx="1">
                  <c:v>77</c:v>
                </c:pt>
                <c:pt idx="2">
                  <c:v>85.833333333333329</c:v>
                </c:pt>
                <c:pt idx="3">
                  <c:v>43.333333333333336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3-4357-9BA3-749E5A820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5070888"/>
        <c:axId val="495073840"/>
      </c:lineChart>
      <c:catAx>
        <c:axId val="495070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073840"/>
        <c:crosses val="autoZero"/>
        <c:auto val="1"/>
        <c:lblAlgn val="ctr"/>
        <c:lblOffset val="100"/>
        <c:noMultiLvlLbl val="0"/>
      </c:catAx>
      <c:valAx>
        <c:axId val="49507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07088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Phosphorus Pounds/Season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2018 chemistry'!$D$176:$D$179</c:f>
              <c:strCache>
                <c:ptCount val="4"/>
                <c:pt idx="0">
                  <c:v>Upper Cub Creek, @ Brookforest Inn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'MWS 2018 chemistry'!$E$176:$E$179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'MWS 2018 chemistry'!$M$176:$M$179</c:f>
              <c:numCache>
                <c:formatCode>#,##0</c:formatCode>
                <c:ptCount val="4"/>
                <c:pt idx="0">
                  <c:v>51.726188382960004</c:v>
                </c:pt>
                <c:pt idx="1">
                  <c:v>851.34619942680001</c:v>
                </c:pt>
                <c:pt idx="2">
                  <c:v>129.02334670050001</c:v>
                </c:pt>
                <c:pt idx="3">
                  <c:v>184.44887571936005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8C-4B2D-819E-994163DD469C}"/>
            </c:ext>
          </c:extLst>
        </c:ser>
        <c:ser>
          <c:idx val="1"/>
          <c:order val="1"/>
          <c:tx>
            <c:strRef>
              <c:f>'MWS 2018 chemistry'!$D$180:$D$183</c:f>
              <c:strCache>
                <c:ptCount val="4"/>
                <c:pt idx="0">
                  <c:v>Lower Cub Creek, Cub Creek Park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'MWS 2018 chemistry'!$M$180:$M$183</c:f>
              <c:numCache>
                <c:formatCode>#,##0</c:formatCode>
                <c:ptCount val="4"/>
                <c:pt idx="0">
                  <c:v>359.18606161909804</c:v>
                </c:pt>
                <c:pt idx="1">
                  <c:v>3037.7623495401008</c:v>
                </c:pt>
                <c:pt idx="2">
                  <c:v>1863.8720925909004</c:v>
                </c:pt>
                <c:pt idx="3">
                  <c:v>252.58564370676001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8C-4B2D-819E-994163DD4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3403672"/>
        <c:axId val="353406296"/>
      </c:barChart>
      <c:catAx>
        <c:axId val="353403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6296"/>
        <c:crosses val="autoZero"/>
        <c:auto val="1"/>
        <c:lblAlgn val="ctr"/>
        <c:lblOffset val="100"/>
        <c:noMultiLvlLbl val="0"/>
      </c:catAx>
      <c:valAx>
        <c:axId val="353406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3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Nitrogen Pounds/Season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2018 chemistry'!$D$187:$D$190</c:f>
              <c:strCache>
                <c:ptCount val="4"/>
                <c:pt idx="0">
                  <c:v>Upper Cub Creek,  @ Brookforest Inn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'MWS 2018 chemistry'!$E$187:$E$190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'MWS 2018 chemistry'!$M$187:$M$190</c:f>
              <c:numCache>
                <c:formatCode>#,##0</c:formatCode>
                <c:ptCount val="4"/>
                <c:pt idx="0">
                  <c:v>814.09754882337006</c:v>
                </c:pt>
                <c:pt idx="1">
                  <c:v>2020.3626790326005</c:v>
                </c:pt>
                <c:pt idx="2">
                  <c:v>1531.6884745617001</c:v>
                </c:pt>
                <c:pt idx="3">
                  <c:v>873.66163080819013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8-472A-82E8-C2F0815DFBC5}"/>
            </c:ext>
          </c:extLst>
        </c:ser>
        <c:ser>
          <c:idx val="1"/>
          <c:order val="1"/>
          <c:tx>
            <c:strRef>
              <c:f>'MWS 2018 chemistry'!$D$191:$D$194</c:f>
              <c:strCache>
                <c:ptCount val="4"/>
                <c:pt idx="0">
                  <c:v>Lower Cub Creek, Cub Creek Park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'MWS 2018 chemistry'!$M$191:$M$194</c:f>
              <c:numCache>
                <c:formatCode>#,##0</c:formatCode>
                <c:ptCount val="4"/>
                <c:pt idx="0">
                  <c:v>3133.3081268068449</c:v>
                </c:pt>
                <c:pt idx="1">
                  <c:v>9539.4299230167017</c:v>
                </c:pt>
                <c:pt idx="2">
                  <c:v>6657.8741352249008</c:v>
                </c:pt>
                <c:pt idx="3">
                  <c:v>2409.7669053406198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8-472A-82E8-C2F0815DF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55113944"/>
        <c:axId val="355107384"/>
      </c:barChart>
      <c:catAx>
        <c:axId val="355113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107384"/>
        <c:crosses val="autoZero"/>
        <c:auto val="1"/>
        <c:lblAlgn val="ctr"/>
        <c:lblOffset val="100"/>
        <c:noMultiLvlLbl val="0"/>
      </c:catAx>
      <c:valAx>
        <c:axId val="355107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11394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Seasonal Average Flow cfs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'MWS 2018 chemistry'!$D$132:$D$135</c:f>
              <c:strCache>
                <c:ptCount val="4"/>
                <c:pt idx="0">
                  <c:v>Cub Creek, Upstream @ Brookforest Inn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'MWS 2018 chemistry'!$E$132:$E$135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'MWS 2018 chemistry'!$M$132:$M$135</c:f>
              <c:numCache>
                <c:formatCode>#,##0.0</c:formatCode>
                <c:ptCount val="4"/>
                <c:pt idx="0">
                  <c:v>2.1708333333333334</c:v>
                </c:pt>
                <c:pt idx="1">
                  <c:v>4.0666666666666664</c:v>
                </c:pt>
                <c:pt idx="2">
                  <c:v>3.8333333333333335</c:v>
                </c:pt>
                <c:pt idx="3">
                  <c:v>1.8933333333333333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20-46E9-81A6-94344FFADEE5}"/>
            </c:ext>
          </c:extLst>
        </c:ser>
        <c:ser>
          <c:idx val="1"/>
          <c:order val="1"/>
          <c:tx>
            <c:strRef>
              <c:f>'MWS 2018 chemistry'!$D$136:$D$139</c:f>
              <c:strCache>
                <c:ptCount val="4"/>
                <c:pt idx="0">
                  <c:v>Cub Creek, Upstream of Cub Creek Park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'MWS 2018 chemistry'!$M$136:$M$139</c:f>
              <c:numCache>
                <c:formatCode>#,##0.0</c:formatCode>
                <c:ptCount val="4"/>
                <c:pt idx="0">
                  <c:v>8.0403333333333311</c:v>
                </c:pt>
                <c:pt idx="1">
                  <c:v>13.25</c:v>
                </c:pt>
                <c:pt idx="2">
                  <c:v>13.049999999999999</c:v>
                </c:pt>
                <c:pt idx="3">
                  <c:v>5.8166666666666664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20-46E9-81A6-94344FFAD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205976"/>
        <c:axId val="356206304"/>
      </c:lineChart>
      <c:catAx>
        <c:axId val="35620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206304"/>
        <c:crosses val="autoZero"/>
        <c:auto val="1"/>
        <c:lblAlgn val="ctr"/>
        <c:lblOffset val="100"/>
        <c:noMultiLvlLbl val="0"/>
      </c:catAx>
      <c:valAx>
        <c:axId val="35620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20597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Nitrogen Seasonal Average ug/l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'MWS 2018 chemistry'!$D$165:$D$168</c:f>
              <c:strCache>
                <c:ptCount val="4"/>
                <c:pt idx="0">
                  <c:v>Cub Creek, Upstream @ Brookforest Inn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'MWS 2018 chemistry'!$E$165:$E$168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'MWS 2018 chemistry'!$M$165:$M$168</c:f>
              <c:numCache>
                <c:formatCode>#,##0</c:formatCode>
                <c:ptCount val="4"/>
                <c:pt idx="0">
                  <c:v>415.5</c:v>
                </c:pt>
                <c:pt idx="1">
                  <c:v>392</c:v>
                </c:pt>
                <c:pt idx="2">
                  <c:v>315</c:v>
                </c:pt>
                <c:pt idx="3">
                  <c:v>790.66666666666663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3E-4D89-9A30-A18346EA29CB}"/>
            </c:ext>
          </c:extLst>
        </c:ser>
        <c:ser>
          <c:idx val="1"/>
          <c:order val="1"/>
          <c:tx>
            <c:strRef>
              <c:f>'MWS 2018 chemistry'!$D$169:$D$172</c:f>
              <c:strCache>
                <c:ptCount val="4"/>
                <c:pt idx="0">
                  <c:v>Cub Creek, Upstream of Cub Creek Park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'MWS 2018 chemistry'!$M$169:$M$172</c:f>
              <c:numCache>
                <c:formatCode>#,##0</c:formatCode>
                <c:ptCount val="4"/>
                <c:pt idx="0">
                  <c:v>505.33333333333331</c:v>
                </c:pt>
                <c:pt idx="1">
                  <c:v>492</c:v>
                </c:pt>
                <c:pt idx="2">
                  <c:v>429.33333333333331</c:v>
                </c:pt>
                <c:pt idx="3">
                  <c:v>323.16666666666669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3E-4D89-9A30-A18346EA2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040736"/>
        <c:axId val="492047624"/>
      </c:lineChart>
      <c:catAx>
        <c:axId val="49204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047624"/>
        <c:crosses val="autoZero"/>
        <c:auto val="1"/>
        <c:lblAlgn val="ctr"/>
        <c:lblOffset val="100"/>
        <c:noMultiLvlLbl val="0"/>
      </c:catAx>
      <c:valAx>
        <c:axId val="49204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04073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Bear Creek Watershed - Nitrate Inflow Trend </a:t>
            </a:r>
          </a:p>
        </c:rich>
      </c:tx>
      <c:layout>
        <c:manualLayout>
          <c:xMode val="edge"/>
          <c:yMode val="edge"/>
          <c:x val="0.23296354992076071"/>
          <c:y val="3.38461538461538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16781237433921"/>
          <c:y val="0.14247349229645068"/>
          <c:w val="0.82709591392320592"/>
          <c:h val="0.72580835698183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'Nitrogen Trends'!$A$3</c:f>
              <c:strCache>
                <c:ptCount val="1"/>
                <c:pt idx="0">
                  <c:v>Bear Creek Inflow</c:v>
                </c:pt>
              </c:strCache>
            </c:strRef>
          </c:tx>
          <c:invertIfNegative val="0"/>
          <c:cat>
            <c:numRef>
              <c:f>'Nitrogen Trends'!$B$3:$B$28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'Nitrogen Trends'!$C$3:$C$28</c:f>
              <c:numCache>
                <c:formatCode>0</c:formatCode>
                <c:ptCount val="26"/>
                <c:pt idx="0">
                  <c:v>773</c:v>
                </c:pt>
                <c:pt idx="1">
                  <c:v>1078</c:v>
                </c:pt>
                <c:pt idx="2">
                  <c:v>931</c:v>
                </c:pt>
                <c:pt idx="3">
                  <c:v>1253</c:v>
                </c:pt>
                <c:pt idx="4">
                  <c:v>1472</c:v>
                </c:pt>
                <c:pt idx="5">
                  <c:v>1932</c:v>
                </c:pt>
                <c:pt idx="6">
                  <c:v>1367.4375</c:v>
                </c:pt>
                <c:pt idx="7">
                  <c:v>798.58375000000012</c:v>
                </c:pt>
                <c:pt idx="8">
                  <c:v>525</c:v>
                </c:pt>
                <c:pt idx="9">
                  <c:v>521</c:v>
                </c:pt>
                <c:pt idx="10">
                  <c:v>1483</c:v>
                </c:pt>
                <c:pt idx="11">
                  <c:v>974</c:v>
                </c:pt>
                <c:pt idx="12">
                  <c:v>4314</c:v>
                </c:pt>
                <c:pt idx="13" formatCode="#,##0">
                  <c:v>1757</c:v>
                </c:pt>
                <c:pt idx="14" formatCode="#,##0">
                  <c:v>444</c:v>
                </c:pt>
                <c:pt idx="15" formatCode="#,##0">
                  <c:v>1100</c:v>
                </c:pt>
                <c:pt idx="16" formatCode="#,##0">
                  <c:v>1570</c:v>
                </c:pt>
                <c:pt idx="17" formatCode="#,##0">
                  <c:v>747</c:v>
                </c:pt>
                <c:pt idx="18" formatCode="#,##0">
                  <c:v>1093</c:v>
                </c:pt>
                <c:pt idx="19" formatCode="#,##0">
                  <c:v>322</c:v>
                </c:pt>
                <c:pt idx="20" formatCode="#,##0">
                  <c:v>1296</c:v>
                </c:pt>
                <c:pt idx="21" formatCode="#,##0">
                  <c:v>760</c:v>
                </c:pt>
                <c:pt idx="22" formatCode="#,##0">
                  <c:v>1024</c:v>
                </c:pt>
                <c:pt idx="23" formatCode="#,##0">
                  <c:v>800</c:v>
                </c:pt>
                <c:pt idx="24" formatCode="#,##0">
                  <c:v>384</c:v>
                </c:pt>
                <c:pt idx="25" formatCode="#,##0">
                  <c:v>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3-4C34-9D9B-D7BD0165C711}"/>
            </c:ext>
          </c:extLst>
        </c:ser>
        <c:ser>
          <c:idx val="1"/>
          <c:order val="1"/>
          <c:tx>
            <c:strRef>
              <c:f>'Nitrogen Trends'!$A$51</c:f>
              <c:strCache>
                <c:ptCount val="1"/>
                <c:pt idx="0">
                  <c:v>Turkey Creek Inflow</c:v>
                </c:pt>
              </c:strCache>
            </c:strRef>
          </c:tx>
          <c:invertIfNegative val="0"/>
          <c:cat>
            <c:numRef>
              <c:f>'Nitrogen Trends'!$B$3:$B$28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'Nitrogen Trends'!$C$51:$C$76</c:f>
              <c:numCache>
                <c:formatCode>0</c:formatCode>
                <c:ptCount val="26"/>
                <c:pt idx="0">
                  <c:v>1121</c:v>
                </c:pt>
                <c:pt idx="1">
                  <c:v>1590</c:v>
                </c:pt>
                <c:pt idx="2">
                  <c:v>2941</c:v>
                </c:pt>
                <c:pt idx="3">
                  <c:v>1224</c:v>
                </c:pt>
                <c:pt idx="4">
                  <c:v>963</c:v>
                </c:pt>
                <c:pt idx="5">
                  <c:v>476</c:v>
                </c:pt>
                <c:pt idx="6">
                  <c:v>618.3125</c:v>
                </c:pt>
                <c:pt idx="7">
                  <c:v>419.54062500000003</c:v>
                </c:pt>
                <c:pt idx="8">
                  <c:v>536</c:v>
                </c:pt>
                <c:pt idx="9">
                  <c:v>192</c:v>
                </c:pt>
                <c:pt idx="10">
                  <c:v>803</c:v>
                </c:pt>
                <c:pt idx="11">
                  <c:v>486</c:v>
                </c:pt>
                <c:pt idx="12">
                  <c:v>686</c:v>
                </c:pt>
                <c:pt idx="13" formatCode="#,##0">
                  <c:v>764</c:v>
                </c:pt>
                <c:pt idx="14" formatCode="#,##0">
                  <c:v>385</c:v>
                </c:pt>
                <c:pt idx="15" formatCode="#,##0">
                  <c:v>481</c:v>
                </c:pt>
                <c:pt idx="16" formatCode="#,##0">
                  <c:v>419</c:v>
                </c:pt>
                <c:pt idx="17" formatCode="#,##0">
                  <c:v>410</c:v>
                </c:pt>
                <c:pt idx="18" formatCode="#,##0">
                  <c:v>671</c:v>
                </c:pt>
                <c:pt idx="19" formatCode="#,##0">
                  <c:v>1018</c:v>
                </c:pt>
                <c:pt idx="20" formatCode="#,##0">
                  <c:v>569</c:v>
                </c:pt>
                <c:pt idx="21" formatCode="#,##0">
                  <c:v>433</c:v>
                </c:pt>
                <c:pt idx="22" formatCode="#,##0">
                  <c:v>445</c:v>
                </c:pt>
                <c:pt idx="23" formatCode="#,##0">
                  <c:v>443</c:v>
                </c:pt>
                <c:pt idx="24" formatCode="#,##0">
                  <c:v>318</c:v>
                </c:pt>
                <c:pt idx="25" formatCode="#,##0">
                  <c:v>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83-4C34-9D9B-D7BD0165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465728"/>
        <c:axId val="107549440"/>
      </c:barChart>
      <c:catAx>
        <c:axId val="1074657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0754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54944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Nitrate (ug/l)</a:t>
                </a:r>
              </a:p>
            </c:rich>
          </c:tx>
          <c:layout>
            <c:manualLayout>
              <c:xMode val="edge"/>
              <c:yMode val="edge"/>
              <c:x val="1.6042859935693463E-2"/>
              <c:y val="0.3736566929133858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746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671998736553505"/>
          <c:y val="0.16975840215095594"/>
          <c:w val="0.2883727786176023"/>
          <c:h val="0.13552314707017321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2018 E. Coli</a:t>
            </a:r>
          </a:p>
        </c:rich>
      </c:tx>
      <c:layout>
        <c:manualLayout>
          <c:xMode val="edge"/>
          <c:yMode val="edge"/>
          <c:x val="0.47342591654716148"/>
          <c:y val="3.6877304893850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40070050485395"/>
          <c:y val="0.12337037775341372"/>
          <c:w val="0.85697354181438212"/>
          <c:h val="0.64752666201534925"/>
        </c:manualLayout>
      </c:layout>
      <c:areaChart>
        <c:grouping val="stacked"/>
        <c:varyColors val="0"/>
        <c:ser>
          <c:idx val="0"/>
          <c:order val="0"/>
          <c:tx>
            <c:strRef>
              <c:f>'E. coli'!$D$2</c:f>
              <c:strCache>
                <c:ptCount val="1"/>
                <c:pt idx="0">
                  <c:v>Site 45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'E. coli'!$S$33:$S$44</c:f>
              <c:strCache>
                <c:ptCount val="12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'E. coli'!$Q$34:$Q$44</c:f>
              <c:numCache>
                <c:formatCode>#,##0</c:formatCode>
                <c:ptCount val="11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5-4D4C-83B8-277860571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459760"/>
        <c:axId val="642465008"/>
      </c:areaChart>
      <c:lineChart>
        <c:grouping val="standard"/>
        <c:varyColors val="0"/>
        <c:ser>
          <c:idx val="1"/>
          <c:order val="1"/>
          <c:tx>
            <c:strRef>
              <c:f>'E. coli'!$E$2</c:f>
              <c:strCache>
                <c:ptCount val="1"/>
                <c:pt idx="0">
                  <c:v>Site 90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'E. coli'!$R$34:$R$44</c:f>
              <c:numCache>
                <c:formatCode>#,##0</c:formatCode>
                <c:ptCount val="11"/>
                <c:pt idx="0">
                  <c:v>5</c:v>
                </c:pt>
                <c:pt idx="1">
                  <c:v>3</c:v>
                </c:pt>
                <c:pt idx="2">
                  <c:v>8</c:v>
                </c:pt>
                <c:pt idx="3">
                  <c:v>23</c:v>
                </c:pt>
                <c:pt idx="4">
                  <c:v>4</c:v>
                </c:pt>
                <c:pt idx="5">
                  <c:v>23</c:v>
                </c:pt>
                <c:pt idx="6">
                  <c:v>30</c:v>
                </c:pt>
                <c:pt idx="7">
                  <c:v>23</c:v>
                </c:pt>
                <c:pt idx="8">
                  <c:v>30</c:v>
                </c:pt>
                <c:pt idx="9">
                  <c:v>8</c:v>
                </c:pt>
                <c:pt idx="1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45-4D4C-83B8-277860571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459760"/>
        <c:axId val="642465008"/>
      </c:lineChart>
      <c:catAx>
        <c:axId val="64245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465008"/>
        <c:crosses val="autoZero"/>
        <c:auto val="1"/>
        <c:lblAlgn val="ctr"/>
        <c:lblOffset val="100"/>
        <c:noMultiLvlLbl val="0"/>
      </c:catAx>
      <c:valAx>
        <c:axId val="64246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cts/ 100ml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45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9386476362891583"/>
          <c:y val="0.18326771653543308"/>
          <c:w val="0.31750931607482713"/>
          <c:h val="0.106804545001495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Total Nitrogen EGL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9676094422538"/>
          <c:y val="0.13143365820531178"/>
          <c:w val="0.85547787449790635"/>
          <c:h val="0.50765009268946282"/>
        </c:manualLayout>
      </c:layout>
      <c:lineChart>
        <c:grouping val="standard"/>
        <c:varyColors val="0"/>
        <c:ser>
          <c:idx val="0"/>
          <c:order val="0"/>
          <c:tx>
            <c:strRef>
              <c:f>'EGL Summary'!$A$4:$A$7</c:f>
              <c:strCache>
                <c:ptCount val="1"/>
                <c:pt idx="0">
                  <c:v>EGL 4a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'EGL Summary'!$C$3:$H$3</c:f>
              <c:numCache>
                <c:formatCode>[$-409]d\-mmm;@</c:formatCode>
                <c:ptCount val="6"/>
                <c:pt idx="0">
                  <c:v>43229</c:v>
                </c:pt>
                <c:pt idx="1">
                  <c:v>43264</c:v>
                </c:pt>
                <c:pt idx="2">
                  <c:v>43292</c:v>
                </c:pt>
                <c:pt idx="3">
                  <c:v>43322</c:v>
                </c:pt>
                <c:pt idx="4">
                  <c:v>43355</c:v>
                </c:pt>
                <c:pt idx="5">
                  <c:v>43397</c:v>
                </c:pt>
              </c:numCache>
            </c:numRef>
          </c:cat>
          <c:val>
            <c:numRef>
              <c:f>'EGL Summary'!$C$4:$H$4</c:f>
              <c:numCache>
                <c:formatCode>General</c:formatCode>
                <c:ptCount val="6"/>
                <c:pt idx="0">
                  <c:v>227</c:v>
                </c:pt>
                <c:pt idx="1">
                  <c:v>254</c:v>
                </c:pt>
                <c:pt idx="2" formatCode="0">
                  <c:v>355</c:v>
                </c:pt>
                <c:pt idx="3" formatCode="0.0">
                  <c:v>518</c:v>
                </c:pt>
                <c:pt idx="4">
                  <c:v>363</c:v>
                </c:pt>
                <c:pt idx="5">
                  <c:v>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CB-467E-9105-B11B660CAEA2}"/>
            </c:ext>
          </c:extLst>
        </c:ser>
        <c:ser>
          <c:idx val="1"/>
          <c:order val="1"/>
          <c:tx>
            <c:strRef>
              <c:f>'EGL Summary'!$A$11:$A$13</c:f>
              <c:strCache>
                <c:ptCount val="1"/>
                <c:pt idx="0">
                  <c:v>EGL 4a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'EGL Summary'!$C$8:$H$8</c:f>
              <c:numCache>
                <c:formatCode>0</c:formatCode>
                <c:ptCount val="6"/>
                <c:pt idx="0">
                  <c:v>325</c:v>
                </c:pt>
                <c:pt idx="1">
                  <c:v>252</c:v>
                </c:pt>
                <c:pt idx="2">
                  <c:v>319</c:v>
                </c:pt>
                <c:pt idx="3">
                  <c:v>407</c:v>
                </c:pt>
                <c:pt idx="4">
                  <c:v>287</c:v>
                </c:pt>
                <c:pt idx="5">
                  <c:v>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CB-467E-9105-B11B660CA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38688"/>
        <c:axId val="83969152"/>
      </c:lineChart>
      <c:dateAx>
        <c:axId val="83938688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9152"/>
        <c:crosses val="autoZero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83969152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Nitrogrn ug/l</a:t>
                </a:r>
              </a:p>
            </c:rich>
          </c:tx>
          <c:layout>
            <c:manualLayout>
              <c:xMode val="edge"/>
              <c:yMode val="edge"/>
              <c:x val="3.6740609967324499E-2"/>
              <c:y val="0.171622340913679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386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Total Phosphorus EGL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40431190562041"/>
          <c:y val="0.12385425780110819"/>
          <c:w val="0.84893148326920065"/>
          <c:h val="0.50384696704578591"/>
        </c:manualLayout>
      </c:layout>
      <c:lineChart>
        <c:grouping val="standard"/>
        <c:varyColors val="0"/>
        <c:ser>
          <c:idx val="0"/>
          <c:order val="0"/>
          <c:tx>
            <c:strRef>
              <c:f>'EGL Summary'!$A$4:$A$7</c:f>
              <c:strCache>
                <c:ptCount val="1"/>
                <c:pt idx="0">
                  <c:v>EGL 4a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'EGL Summary'!$C$16:$H$16</c:f>
              <c:numCache>
                <c:formatCode>[$-409]d\-mmm;@</c:formatCode>
                <c:ptCount val="6"/>
                <c:pt idx="0">
                  <c:v>43229</c:v>
                </c:pt>
                <c:pt idx="1">
                  <c:v>43264</c:v>
                </c:pt>
                <c:pt idx="2">
                  <c:v>43292</c:v>
                </c:pt>
                <c:pt idx="3">
                  <c:v>43322</c:v>
                </c:pt>
                <c:pt idx="4">
                  <c:v>43355</c:v>
                </c:pt>
                <c:pt idx="5">
                  <c:v>43397</c:v>
                </c:pt>
              </c:numCache>
            </c:numRef>
          </c:cat>
          <c:val>
            <c:numRef>
              <c:f>'EGL Summary'!$C$5:$H$5</c:f>
              <c:numCache>
                <c:formatCode>General</c:formatCode>
                <c:ptCount val="6"/>
                <c:pt idx="0">
                  <c:v>11</c:v>
                </c:pt>
                <c:pt idx="1">
                  <c:v>21</c:v>
                </c:pt>
                <c:pt idx="2">
                  <c:v>25</c:v>
                </c:pt>
                <c:pt idx="3">
                  <c:v>62</c:v>
                </c:pt>
                <c:pt idx="4">
                  <c:v>25</c:v>
                </c:pt>
                <c:pt idx="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6F-499C-B9E9-D36542B09123}"/>
            </c:ext>
          </c:extLst>
        </c:ser>
        <c:ser>
          <c:idx val="1"/>
          <c:order val="1"/>
          <c:tx>
            <c:strRef>
              <c:f>'EGL Summary'!$A$8:$A$9</c:f>
              <c:strCache>
                <c:ptCount val="1"/>
                <c:pt idx="0">
                  <c:v>EGL 4e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'EGL Summary'!$C$16:$H$16</c:f>
              <c:numCache>
                <c:formatCode>[$-409]d\-mmm;@</c:formatCode>
                <c:ptCount val="6"/>
                <c:pt idx="0">
                  <c:v>43229</c:v>
                </c:pt>
                <c:pt idx="1">
                  <c:v>43264</c:v>
                </c:pt>
                <c:pt idx="2">
                  <c:v>43292</c:v>
                </c:pt>
                <c:pt idx="3">
                  <c:v>43322</c:v>
                </c:pt>
                <c:pt idx="4">
                  <c:v>43355</c:v>
                </c:pt>
                <c:pt idx="5">
                  <c:v>43397</c:v>
                </c:pt>
              </c:numCache>
            </c:numRef>
          </c:cat>
          <c:val>
            <c:numRef>
              <c:f>'EGL Summary'!$C$9:$H$9</c:f>
              <c:numCache>
                <c:formatCode>0</c:formatCode>
                <c:ptCount val="6"/>
                <c:pt idx="0">
                  <c:v>23</c:v>
                </c:pt>
                <c:pt idx="1">
                  <c:v>24</c:v>
                </c:pt>
                <c:pt idx="2">
                  <c:v>28</c:v>
                </c:pt>
                <c:pt idx="3">
                  <c:v>52</c:v>
                </c:pt>
                <c:pt idx="4">
                  <c:v>38</c:v>
                </c:pt>
                <c:pt idx="5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6F-499C-B9E9-D36542B09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37632"/>
        <c:axId val="84039168"/>
      </c:lineChart>
      <c:dateAx>
        <c:axId val="84037632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39168"/>
        <c:crosses val="autoZero"/>
        <c:auto val="1"/>
        <c:lblOffset val="100"/>
        <c:baseTimeUnit val="days"/>
        <c:majorUnit val="1"/>
        <c:majorTimeUnit val="months"/>
      </c:dateAx>
      <c:valAx>
        <c:axId val="8403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Phosphorus ug/l</a:t>
                </a:r>
              </a:p>
            </c:rich>
          </c:tx>
          <c:layout>
            <c:manualLayout>
              <c:xMode val="edge"/>
              <c:yMode val="edge"/>
              <c:x val="1.6185929345039773E-2"/>
              <c:y val="0.182212786781944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376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EGL Total Nitrogen Loading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'EGL Summary'!$B$11</c:f>
              <c:strCache>
                <c:ptCount val="1"/>
                <c:pt idx="0">
                  <c:v>Total Nitrogen, Pounds/month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'EGL Summary'!$C$14:$H$14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'EGL Summary'!$C$11:$H$11</c:f>
              <c:numCache>
                <c:formatCode>0.0</c:formatCode>
                <c:ptCount val="6"/>
                <c:pt idx="0">
                  <c:v>16.071146000000002</c:v>
                </c:pt>
                <c:pt idx="1">
                  <c:v>12.3803918</c:v>
                </c:pt>
                <c:pt idx="2">
                  <c:v>12.566645000000001</c:v>
                </c:pt>
                <c:pt idx="3">
                  <c:v>12.751046559999999</c:v>
                </c:pt>
                <c:pt idx="4">
                  <c:v>10.5764043</c:v>
                </c:pt>
                <c:pt idx="5">
                  <c:v>6.4044960000000009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AF2-44FC-A7C8-C5B556BEA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03919880"/>
        <c:axId val="603917256"/>
      </c:barChart>
      <c:catAx>
        <c:axId val="60391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917256"/>
        <c:crosses val="autoZero"/>
        <c:auto val="1"/>
        <c:lblAlgn val="ctr"/>
        <c:lblOffset val="100"/>
        <c:noMultiLvlLbl val="0"/>
      </c:catAx>
      <c:valAx>
        <c:axId val="60391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TN Pounds/Month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919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'EGL Summary'!$B$12</c:f>
              <c:strCache>
                <c:ptCount val="1"/>
                <c:pt idx="0">
                  <c:v>Total Phosphorus, Pounds/month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'EGL Summary'!$C$14:$H$14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'EGL Summary'!$C$12:$H$12</c:f>
              <c:numCache>
                <c:formatCode>0.0</c:formatCode>
                <c:ptCount val="6"/>
                <c:pt idx="0">
                  <c:v>0.77877799999999997</c:v>
                </c:pt>
                <c:pt idx="1">
                  <c:v>1.0235757000000001</c:v>
                </c:pt>
                <c:pt idx="2">
                  <c:v>0.88497500000000018</c:v>
                </c:pt>
                <c:pt idx="3">
                  <c:v>1.5261870399999999</c:v>
                </c:pt>
                <c:pt idx="4">
                  <c:v>0.72840250000000006</c:v>
                </c:pt>
                <c:pt idx="5">
                  <c:v>0.65351999999999999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E0-4C85-A059-8BAE1AB66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2847752"/>
        <c:axId val="352850048"/>
      </c:barChart>
      <c:catAx>
        <c:axId val="352847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850048"/>
        <c:crosses val="autoZero"/>
        <c:auto val="1"/>
        <c:lblAlgn val="ctr"/>
        <c:lblOffset val="100"/>
        <c:noMultiLvlLbl val="0"/>
      </c:catAx>
      <c:valAx>
        <c:axId val="35285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TP Pounds/Month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847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'EGL Summary'!$B$13</c:f>
              <c:strCache>
                <c:ptCount val="1"/>
                <c:pt idx="0">
                  <c:v>TSS, pounds/month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'EGL Summary'!$C$14:$H$14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'EGL Summary'!$C$13:$H$13</c:f>
              <c:numCache>
                <c:formatCode>0.0</c:formatCode>
                <c:ptCount val="6"/>
                <c:pt idx="0">
                  <c:v>651.34159999999997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A1-4407-B10C-A489BE0B6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3881504"/>
        <c:axId val="603883472"/>
      </c:barChart>
      <c:catAx>
        <c:axId val="60388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883472"/>
        <c:crosses val="autoZero"/>
        <c:auto val="1"/>
        <c:lblAlgn val="ctr"/>
        <c:lblOffset val="100"/>
        <c:noMultiLvlLbl val="0"/>
      </c:catAx>
      <c:valAx>
        <c:axId val="60388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TSS Pounds/Month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88150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EGL Chlorophyll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'EGL Summary'!$B$7</c:f>
              <c:strCache>
                <c:ptCount val="1"/>
                <c:pt idx="0">
                  <c:v>Chlorophyll a Average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'EGL Summary'!$C$14:$H$14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'EGL Summary'!$C$7:$H$7</c:f>
              <c:numCache>
                <c:formatCode>0.0</c:formatCode>
                <c:ptCount val="6"/>
                <c:pt idx="0">
                  <c:v>1.2</c:v>
                </c:pt>
                <c:pt idx="1">
                  <c:v>3.35</c:v>
                </c:pt>
                <c:pt idx="2">
                  <c:v>11.649999999999999</c:v>
                </c:pt>
                <c:pt idx="3">
                  <c:v>33.15</c:v>
                </c:pt>
                <c:pt idx="4">
                  <c:v>3.1500000000000004</c:v>
                </c:pt>
                <c:pt idx="5">
                  <c:v>2.5499999999999998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F-40E5-BAA7-BDD33D678A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03751616"/>
        <c:axId val="603748664"/>
      </c:barChart>
      <c:catAx>
        <c:axId val="60375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48664"/>
        <c:crosses val="autoZero"/>
        <c:auto val="1"/>
        <c:lblAlgn val="ctr"/>
        <c:lblOffset val="100"/>
        <c:noMultiLvlLbl val="0"/>
      </c:catAx>
      <c:valAx>
        <c:axId val="60374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Chlorophyll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5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Phytoplankton Averge Density #/ml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17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8D75-46A6-B8C9-7715E934938E}"/>
              </c:ext>
            </c:extLst>
          </c:dPt>
          <c:dPt>
            <c:idx val="1"/>
            <c:bubble3D val="0"/>
            <c:explosion val="2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D75-46A6-B8C9-7715E934938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0E3-465D-AEFE-8989385C82C8}"/>
              </c:ext>
            </c:extLst>
          </c:dPt>
          <c:cat>
            <c:strRef>
              <c:f>'EGL Summary'!$K$115:$K$117</c:f>
              <c:strCache>
                <c:ptCount val="3"/>
                <c:pt idx="0">
                  <c:v>chrysophyte</c:v>
                </c:pt>
                <c:pt idx="1">
                  <c:v>diatom</c:v>
                </c:pt>
                <c:pt idx="2">
                  <c:v>Green</c:v>
                </c:pt>
              </c:strCache>
            </c:strRef>
          </c:cat>
          <c:val>
            <c:numRef>
              <c:f>'EGL Summary'!$L$115:$L$117</c:f>
              <c:numCache>
                <c:formatCode>#,##0</c:formatCode>
                <c:ptCount val="3"/>
                <c:pt idx="0">
                  <c:v>130.09615384615387</c:v>
                </c:pt>
                <c:pt idx="1">
                  <c:v>35.480769230769212</c:v>
                </c:pt>
                <c:pt idx="2">
                  <c:v>48.183760683760681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75-46A6-B8C9-7715E9349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Phosphorus (mgP/kg Wet Mud)</a:t>
            </a:r>
          </a:p>
        </c:rich>
      </c:tx>
      <c:layout>
        <c:manualLayout>
          <c:xMode val="edge"/>
          <c:yMode val="edge"/>
          <c:x val="0.31973350253807103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286892251173991E-2"/>
          <c:y val="0.16967390367262486"/>
          <c:w val="0.88525603762616922"/>
          <c:h val="0.6193908414276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Sediment'!$AL$48:$AL$48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'2018 Sediment'!$AK$49:$AK$55</c:f>
              <c:strCache>
                <c:ptCount val="7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  <c:pt idx="6">
                  <c:v>EGL</c:v>
                </c:pt>
              </c:strCache>
            </c:strRef>
          </c:cat>
          <c:val>
            <c:numRef>
              <c:f>'2018 Sediment'!$AL$49:$AL$55</c:f>
              <c:numCache>
                <c:formatCode>0.00</c:formatCode>
                <c:ptCount val="7"/>
                <c:pt idx="0">
                  <c:v>4.1211823868514657</c:v>
                </c:pt>
                <c:pt idx="1">
                  <c:v>3.5015041672831289</c:v>
                </c:pt>
                <c:pt idx="2">
                  <c:v>7.4663283232480975</c:v>
                </c:pt>
                <c:pt idx="3">
                  <c:v>3.1283605435526449</c:v>
                </c:pt>
                <c:pt idx="4">
                  <c:v>7.3158675234799802</c:v>
                </c:pt>
                <c:pt idx="5">
                  <c:v>5.761255556383321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6-499C-9A87-95D1AD1DA80D}"/>
            </c:ext>
          </c:extLst>
        </c:ser>
        <c:ser>
          <c:idx val="1"/>
          <c:order val="1"/>
          <c:tx>
            <c:strRef>
              <c:f>'2018 Sediment'!$AM$48:$AM$48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'2018 Sediment'!$AK$49:$AK$55</c:f>
              <c:strCache>
                <c:ptCount val="7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  <c:pt idx="6">
                  <c:v>EGL</c:v>
                </c:pt>
              </c:strCache>
            </c:strRef>
          </c:cat>
          <c:val>
            <c:numRef>
              <c:f>'2018 Sediment'!$AM$49:$AM$55</c:f>
              <c:numCache>
                <c:formatCode>0.00</c:formatCode>
                <c:ptCount val="7"/>
                <c:pt idx="0">
                  <c:v>6.1080592218524057</c:v>
                </c:pt>
                <c:pt idx="1">
                  <c:v>5.2067836979534228</c:v>
                </c:pt>
                <c:pt idx="2">
                  <c:v>3.3936332651670083</c:v>
                </c:pt>
                <c:pt idx="3">
                  <c:v>2.2027169018312818</c:v>
                </c:pt>
                <c:pt idx="4">
                  <c:v>8.1071638861629065</c:v>
                </c:pt>
                <c:pt idx="5">
                  <c:v>1.9119371482176362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B6-499C-9A87-95D1AD1DA80D}"/>
            </c:ext>
          </c:extLst>
        </c:ser>
        <c:ser>
          <c:idx val="2"/>
          <c:order val="2"/>
          <c:tx>
            <c:strRef>
              <c:f>'2018 Sediment'!$AN$48:$AN$48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'2018 Sediment'!$AK$49:$AK$55</c:f>
              <c:strCache>
                <c:ptCount val="7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  <c:pt idx="6">
                  <c:v>EGL</c:v>
                </c:pt>
              </c:strCache>
            </c:strRef>
          </c:cat>
          <c:val>
            <c:numRef>
              <c:f>'2018 Sediment'!$AN$49:$AN$55</c:f>
              <c:numCache>
                <c:formatCode>0.00</c:formatCode>
                <c:ptCount val="7"/>
                <c:pt idx="0">
                  <c:v>3.0610045268376802</c:v>
                </c:pt>
                <c:pt idx="1">
                  <c:v>4.3813192103996146</c:v>
                </c:pt>
                <c:pt idx="2">
                  <c:v>4.8877805486284291</c:v>
                </c:pt>
                <c:pt idx="3">
                  <c:v>3.1931106219308645</c:v>
                </c:pt>
                <c:pt idx="4">
                  <c:v>3.88</c:v>
                </c:pt>
                <c:pt idx="5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B6-499C-9A87-95D1AD1DA80D}"/>
            </c:ext>
          </c:extLst>
        </c:ser>
        <c:ser>
          <c:idx val="3"/>
          <c:order val="3"/>
          <c:tx>
            <c:strRef>
              <c:f>'2018 Sediment'!$AO$48:$AO$48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'2018 Sediment'!$AK$49:$AK$55</c:f>
              <c:strCache>
                <c:ptCount val="7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  <c:pt idx="6">
                  <c:v>EGL</c:v>
                </c:pt>
              </c:strCache>
            </c:strRef>
          </c:cat>
          <c:val>
            <c:numRef>
              <c:f>'2018 Sediment'!$AO$49:$AO$55</c:f>
              <c:numCache>
                <c:formatCode>0.00</c:formatCode>
                <c:ptCount val="7"/>
                <c:pt idx="0">
                  <c:v>4.4800000000000004</c:v>
                </c:pt>
                <c:pt idx="1">
                  <c:v>3.06</c:v>
                </c:pt>
                <c:pt idx="2">
                  <c:v>8.07</c:v>
                </c:pt>
                <c:pt idx="3">
                  <c:v>5.69</c:v>
                </c:pt>
                <c:pt idx="4">
                  <c:v>3.79</c:v>
                </c:pt>
                <c:pt idx="5">
                  <c:v>4.8499999999999996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B6-499C-9A87-95D1AD1DA80D}"/>
            </c:ext>
          </c:extLst>
        </c:ser>
        <c:ser>
          <c:idx val="4"/>
          <c:order val="4"/>
          <c:tx>
            <c:strRef>
              <c:f>'2018 Sediment'!$AP$48:$AP$48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'2018 Sediment'!$AK$49:$AK$55</c:f>
              <c:strCache>
                <c:ptCount val="7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  <c:pt idx="6">
                  <c:v>EGL</c:v>
                </c:pt>
              </c:strCache>
            </c:strRef>
          </c:cat>
          <c:val>
            <c:numRef>
              <c:f>'2018 Sediment'!$AP$49:$AP$55</c:f>
              <c:numCache>
                <c:formatCode>#,##0.00</c:formatCode>
                <c:ptCount val="7"/>
                <c:pt idx="0">
                  <c:v>8.73</c:v>
                </c:pt>
                <c:pt idx="1">
                  <c:v>8.43</c:v>
                </c:pt>
                <c:pt idx="2">
                  <c:v>1.89</c:v>
                </c:pt>
                <c:pt idx="3">
                  <c:v>1.42</c:v>
                </c:pt>
                <c:pt idx="4">
                  <c:v>0.88</c:v>
                </c:pt>
                <c:pt idx="5">
                  <c:v>7.25</c:v>
                </c:pt>
                <c:pt idx="6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B6-499C-9A87-95D1AD1DA80D}"/>
            </c:ext>
          </c:extLst>
        </c:ser>
        <c:ser>
          <c:idx val="5"/>
          <c:order val="5"/>
          <c:tx>
            <c:strRef>
              <c:f>'2018 Sediment'!$AQ$27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'2018 Sediment'!$AQ$28:$AQ$33</c:f>
              <c:numCache>
                <c:formatCode>#,##0.00</c:formatCode>
                <c:ptCount val="6"/>
                <c:pt idx="0">
                  <c:v>0.65</c:v>
                </c:pt>
                <c:pt idx="1">
                  <c:v>0.47</c:v>
                </c:pt>
                <c:pt idx="2">
                  <c:v>1.2</c:v>
                </c:pt>
                <c:pt idx="3">
                  <c:v>3.97</c:v>
                </c:pt>
                <c:pt idx="4">
                  <c:v>0.85</c:v>
                </c:pt>
                <c:pt idx="5">
                  <c:v>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1-4BC8-A325-CFD02A4885A0}"/>
            </c:ext>
          </c:extLst>
        </c:ser>
        <c:ser>
          <c:idx val="6"/>
          <c:order val="6"/>
          <c:tx>
            <c:strRef>
              <c:f>'2018 Sediment'!$AR$48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'2018 Sediment'!$AR$49:$AR$54</c:f>
              <c:numCache>
                <c:formatCode>#,##0.00</c:formatCode>
                <c:ptCount val="6"/>
                <c:pt idx="0">
                  <c:v>11.817953231078702</c:v>
                </c:pt>
                <c:pt idx="1">
                  <c:v>5.2066231999624746</c:v>
                </c:pt>
                <c:pt idx="2">
                  <c:v>3.8605494220945817</c:v>
                </c:pt>
                <c:pt idx="3">
                  <c:v>5.325566881630956</c:v>
                </c:pt>
                <c:pt idx="4">
                  <c:v>4.1994750656167952</c:v>
                </c:pt>
                <c:pt idx="5">
                  <c:v>4.5097029632654513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6-4AEA-89B5-ECFDD077E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4212352"/>
        <c:axId val="84234624"/>
      </c:barChart>
      <c:catAx>
        <c:axId val="84212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234624"/>
        <c:crosses val="autoZero"/>
        <c:auto val="1"/>
        <c:lblAlgn val="ctr"/>
        <c:lblOffset val="100"/>
        <c:noMultiLvlLbl val="0"/>
      </c:catAx>
      <c:valAx>
        <c:axId val="8423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21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% Total Organic Carbon (TOC)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 Sediment'!$AK$37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'2018 Sediment'!$AJ$38:$AJ$43</c:f>
              <c:strCache>
                <c:ptCount val="6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</c:strCache>
            </c:strRef>
          </c:cat>
          <c:val>
            <c:numRef>
              <c:f>'2018 Sediment'!$AK$38:$AK$43</c:f>
              <c:numCache>
                <c:formatCode>0%</c:formatCode>
                <c:ptCount val="6"/>
                <c:pt idx="0">
                  <c:v>0.107</c:v>
                </c:pt>
                <c:pt idx="1">
                  <c:v>0.1</c:v>
                </c:pt>
                <c:pt idx="2">
                  <c:v>0.11</c:v>
                </c:pt>
                <c:pt idx="3">
                  <c:v>0.128</c:v>
                </c:pt>
                <c:pt idx="4">
                  <c:v>0.11899999999999999</c:v>
                </c:pt>
                <c:pt idx="5">
                  <c:v>0.104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7-4F6A-AE46-D28D525F2C89}"/>
            </c:ext>
          </c:extLst>
        </c:ser>
        <c:ser>
          <c:idx val="1"/>
          <c:order val="1"/>
          <c:tx>
            <c:strRef>
              <c:f>'2018 Sediment'!$AL$37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'2018 Sediment'!$AJ$38:$AJ$43</c:f>
              <c:strCache>
                <c:ptCount val="6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</c:strCache>
            </c:strRef>
          </c:cat>
          <c:val>
            <c:numRef>
              <c:f>'2018 Sediment'!$AL$38:$AL$43</c:f>
              <c:numCache>
                <c:formatCode>0%</c:formatCode>
                <c:ptCount val="6"/>
                <c:pt idx="0">
                  <c:v>0.107</c:v>
                </c:pt>
                <c:pt idx="1">
                  <c:v>3.5999999999999997E-2</c:v>
                </c:pt>
                <c:pt idx="2">
                  <c:v>0.11799999999999999</c:v>
                </c:pt>
                <c:pt idx="3">
                  <c:v>0.104</c:v>
                </c:pt>
                <c:pt idx="4">
                  <c:v>0.109</c:v>
                </c:pt>
                <c:pt idx="5">
                  <c:v>0.107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F7-4F6A-AE46-D28D525F2C89}"/>
            </c:ext>
          </c:extLst>
        </c:ser>
        <c:ser>
          <c:idx val="2"/>
          <c:order val="2"/>
          <c:tx>
            <c:strRef>
              <c:f>'2018 Sediment'!$AM$37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'2018 Sediment'!$AJ$38:$AJ$43</c:f>
              <c:strCache>
                <c:ptCount val="6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</c:strCache>
            </c:strRef>
          </c:cat>
          <c:val>
            <c:numRef>
              <c:f>'2018 Sediment'!$AM$38:$AM$43</c:f>
              <c:numCache>
                <c:formatCode>0%</c:formatCode>
                <c:ptCount val="6"/>
                <c:pt idx="0">
                  <c:v>9.4E-2</c:v>
                </c:pt>
                <c:pt idx="1">
                  <c:v>0.105</c:v>
                </c:pt>
                <c:pt idx="2">
                  <c:v>0.13200000000000001</c:v>
                </c:pt>
                <c:pt idx="3">
                  <c:v>0.109</c:v>
                </c:pt>
                <c:pt idx="4">
                  <c:v>0.10299999999999999</c:v>
                </c:pt>
                <c:pt idx="5">
                  <c:v>0.129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F7-4F6A-AE46-D28D525F2C89}"/>
            </c:ext>
          </c:extLst>
        </c:ser>
        <c:ser>
          <c:idx val="3"/>
          <c:order val="3"/>
          <c:tx>
            <c:strRef>
              <c:f>'2018 Sediment'!$AN$37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'2018 Sediment'!$AJ$38:$AJ$43</c:f>
              <c:strCache>
                <c:ptCount val="6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</c:strCache>
            </c:strRef>
          </c:cat>
          <c:val>
            <c:numRef>
              <c:f>'2018 Sediment'!$AN$38:$AN$43</c:f>
              <c:numCache>
                <c:formatCode>0.0%</c:formatCode>
                <c:ptCount val="6"/>
                <c:pt idx="0">
                  <c:v>0.1014961938927289</c:v>
                </c:pt>
                <c:pt idx="1">
                  <c:v>9.451671332125966E-2</c:v>
                </c:pt>
                <c:pt idx="2">
                  <c:v>0.10307328605201516</c:v>
                </c:pt>
                <c:pt idx="3">
                  <c:v>0.11220741807706158</c:v>
                </c:pt>
                <c:pt idx="4">
                  <c:v>9.8831834607947311E-2</c:v>
                </c:pt>
                <c:pt idx="5">
                  <c:v>0.10322069693769864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F7-4F6A-AE46-D28D525F2C89}"/>
            </c:ext>
          </c:extLst>
        </c:ser>
        <c:ser>
          <c:idx val="4"/>
          <c:order val="4"/>
          <c:tx>
            <c:strRef>
              <c:f>'2018 Sediment'!$AO$37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'2018 Sediment'!$AJ$38:$AJ$43</c:f>
              <c:strCache>
                <c:ptCount val="6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</c:strCache>
            </c:strRef>
          </c:cat>
          <c:val>
            <c:numRef>
              <c:f>'2018 Sediment'!$AO$38:$AO$43</c:f>
              <c:numCache>
                <c:formatCode>0.0%</c:formatCode>
                <c:ptCount val="6"/>
                <c:pt idx="0">
                  <c:v>9.5000000000000001E-2</c:v>
                </c:pt>
                <c:pt idx="1">
                  <c:v>0.122</c:v>
                </c:pt>
                <c:pt idx="2">
                  <c:v>0.122</c:v>
                </c:pt>
                <c:pt idx="3">
                  <c:v>0.10100000000000001</c:v>
                </c:pt>
                <c:pt idx="4">
                  <c:v>1.7999999999999999E-2</c:v>
                </c:pt>
                <c:pt idx="5">
                  <c:v>9.1999999999999998E-2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F7-4F6A-AE46-D28D525F2C89}"/>
            </c:ext>
          </c:extLst>
        </c:ser>
        <c:ser>
          <c:idx val="5"/>
          <c:order val="5"/>
          <c:tx>
            <c:strRef>
              <c:f>'2018 Sediment'!$AP$37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'2018 Sediment'!$AJ$38:$AJ$43</c:f>
              <c:strCache>
                <c:ptCount val="6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</c:strCache>
            </c:strRef>
          </c:cat>
          <c:val>
            <c:numRef>
              <c:f>'2018 Sediment'!$AP$38:$AP$43</c:f>
              <c:numCache>
                <c:formatCode>0.0%</c:formatCode>
                <c:ptCount val="6"/>
                <c:pt idx="0">
                  <c:v>0.11</c:v>
                </c:pt>
                <c:pt idx="1">
                  <c:v>0.11</c:v>
                </c:pt>
                <c:pt idx="2">
                  <c:v>0.1</c:v>
                </c:pt>
                <c:pt idx="3">
                  <c:v>0.09</c:v>
                </c:pt>
                <c:pt idx="4">
                  <c:v>0.11</c:v>
                </c:pt>
                <c:pt idx="5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E9-4D3D-929F-842A3E260AE9}"/>
            </c:ext>
          </c:extLst>
        </c:ser>
        <c:ser>
          <c:idx val="6"/>
          <c:order val="6"/>
          <c:tx>
            <c:strRef>
              <c:f>'2018 Sediment'!$AQ$37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'2018 Sediment'!$AJ$38:$AJ$43</c:f>
              <c:strCache>
                <c:ptCount val="6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</c:strCache>
            </c:strRef>
          </c:cat>
          <c:val>
            <c:numRef>
              <c:f>'2018 Sediment'!$AQ$38:$AQ$43</c:f>
              <c:numCache>
                <c:formatCode>0.0%</c:formatCode>
                <c:ptCount val="6"/>
                <c:pt idx="0">
                  <c:v>9.2390822924966587E-2</c:v>
                </c:pt>
                <c:pt idx="1">
                  <c:v>0.11189593677879306</c:v>
                </c:pt>
                <c:pt idx="2">
                  <c:v>8.3871415677290839E-2</c:v>
                </c:pt>
                <c:pt idx="3">
                  <c:v>0.10041407867495833</c:v>
                </c:pt>
                <c:pt idx="4">
                  <c:v>8.3990450698104513E-2</c:v>
                </c:pt>
                <c:pt idx="5">
                  <c:v>9.6026760218649643E-2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5-4B4A-9D4D-7A9FD55CE49E}"/>
            </c:ext>
          </c:extLst>
        </c:ser>
        <c:ser>
          <c:idx val="7"/>
          <c:order val="7"/>
          <c:tx>
            <c:strRef>
              <c:f>'2018 Sediment'!$AR$37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'2018 Sediment'!$AJ$38:$AJ$43</c:f>
              <c:strCache>
                <c:ptCount val="6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</c:strCache>
            </c:strRef>
          </c:cat>
          <c:val>
            <c:numRef>
              <c:f>'2018 Sediment'!$AR$38:$AR$43</c:f>
              <c:numCache>
                <c:formatCode>0.0%</c:formatCode>
                <c:ptCount val="6"/>
                <c:pt idx="0">
                  <c:v>0.11542036332910421</c:v>
                </c:pt>
                <c:pt idx="1">
                  <c:v>0.10622309197651691</c:v>
                </c:pt>
                <c:pt idx="2">
                  <c:v>9.404018234002931E-2</c:v>
                </c:pt>
                <c:pt idx="3">
                  <c:v>9.1311781162568106E-2</c:v>
                </c:pt>
                <c:pt idx="4">
                  <c:v>2.5442367289812418E-2</c:v>
                </c:pt>
                <c:pt idx="5">
                  <c:v>0.1060807118882211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3-4D5F-82FC-C7D2C716A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4249984"/>
        <c:axId val="84259968"/>
      </c:barChart>
      <c:catAx>
        <c:axId val="84249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259968"/>
        <c:crosses val="autoZero"/>
        <c:auto val="1"/>
        <c:lblAlgn val="ctr"/>
        <c:lblOffset val="100"/>
        <c:noMultiLvlLbl val="0"/>
      </c:catAx>
      <c:valAx>
        <c:axId val="8425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24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Bear Creek Reservoir - Nitrate Trends </a:t>
            </a:r>
          </a:p>
        </c:rich>
      </c:tx>
      <c:layout>
        <c:manualLayout>
          <c:xMode val="edge"/>
          <c:yMode val="edge"/>
          <c:x val="0.27966607036377805"/>
          <c:y val="4.1431261770244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90173658821803"/>
          <c:y val="0.12994386129463856"/>
          <c:w val="0.83005439230768563"/>
          <c:h val="0.7005669043710945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'Nitrogen Trends'!$E$108</c:f>
              <c:strCache>
                <c:ptCount val="1"/>
                <c:pt idx="0">
                  <c:v>Retained in Reservoir</c:v>
                </c:pt>
              </c:strCache>
            </c:strRef>
          </c:tx>
          <c:spPr>
            <a:ln w="38100">
              <a:noFill/>
              <a:prstDash val="solid"/>
            </a:ln>
          </c:spPr>
          <c:invertIfNegative val="0"/>
          <c:cat>
            <c:numRef>
              <c:f>'Nitrogen Trends'!$B$109:$B$131</c:f>
              <c:numCache>
                <c:formatCode>General</c:formatCod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 formatCode="0">
                  <c:v>2013</c:v>
                </c:pt>
              </c:numCache>
            </c:numRef>
          </c:cat>
          <c:val>
            <c:numRef>
              <c:f>'Nitrogen Trends'!$G$108:$G$132</c:f>
              <c:numCache>
                <c:formatCode>0</c:formatCode>
                <c:ptCount val="25"/>
                <c:pt idx="0">
                  <c:v>745</c:v>
                </c:pt>
                <c:pt idx="1">
                  <c:v>1611</c:v>
                </c:pt>
                <c:pt idx="2">
                  <c:v>807.5</c:v>
                </c:pt>
                <c:pt idx="3">
                  <c:v>866.5</c:v>
                </c:pt>
                <c:pt idx="4">
                  <c:v>713</c:v>
                </c:pt>
                <c:pt idx="5">
                  <c:v>413.5</c:v>
                </c:pt>
                <c:pt idx="6">
                  <c:v>88.660937500000045</c:v>
                </c:pt>
                <c:pt idx="7">
                  <c:v>125.5</c:v>
                </c:pt>
                <c:pt idx="8">
                  <c:v>130.5</c:v>
                </c:pt>
                <c:pt idx="9">
                  <c:v>706</c:v>
                </c:pt>
                <c:pt idx="10">
                  <c:v>342</c:v>
                </c:pt>
                <c:pt idx="11">
                  <c:v>2220</c:v>
                </c:pt>
                <c:pt idx="12">
                  <c:v>992.5</c:v>
                </c:pt>
                <c:pt idx="13">
                  <c:v>167.5</c:v>
                </c:pt>
                <c:pt idx="14">
                  <c:v>557.5</c:v>
                </c:pt>
                <c:pt idx="15">
                  <c:v>798.5</c:v>
                </c:pt>
                <c:pt idx="16">
                  <c:v>317.5</c:v>
                </c:pt>
                <c:pt idx="17">
                  <c:v>662</c:v>
                </c:pt>
                <c:pt idx="18">
                  <c:v>390</c:v>
                </c:pt>
                <c:pt idx="19">
                  <c:v>654.5</c:v>
                </c:pt>
                <c:pt idx="20">
                  <c:v>423.5</c:v>
                </c:pt>
                <c:pt idx="21">
                  <c:v>567.5</c:v>
                </c:pt>
                <c:pt idx="22">
                  <c:v>459.5</c:v>
                </c:pt>
                <c:pt idx="23">
                  <c:v>49</c:v>
                </c:pt>
                <c:pt idx="24">
                  <c:v>176.5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8-4CB4-861F-15C7887A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43648"/>
        <c:axId val="107645568"/>
      </c:barChart>
      <c:lineChart>
        <c:grouping val="standard"/>
        <c:varyColors val="0"/>
        <c:ser>
          <c:idx val="0"/>
          <c:order val="0"/>
          <c:tx>
            <c:strRef>
              <c:f>'Nitrogen Trends'!$A$108</c:f>
              <c:strCache>
                <c:ptCount val="1"/>
                <c:pt idx="0">
                  <c:v>Average Inflow</c:v>
                </c:pt>
              </c:strCache>
            </c:strRef>
          </c:tx>
          <c:spPr>
            <a:ln w="3175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'Nitrogen Trends'!$B$109:$B$133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 formatCode="0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'Nitrogen Trends'!$C$109:$C$133</c:f>
              <c:numCache>
                <c:formatCode>0</c:formatCode>
                <c:ptCount val="25"/>
                <c:pt idx="0">
                  <c:v>1334</c:v>
                </c:pt>
                <c:pt idx="1">
                  <c:v>1936</c:v>
                </c:pt>
                <c:pt idx="2">
                  <c:v>1238.5</c:v>
                </c:pt>
                <c:pt idx="3">
                  <c:v>1217.5</c:v>
                </c:pt>
                <c:pt idx="4">
                  <c:v>1204</c:v>
                </c:pt>
                <c:pt idx="5">
                  <c:v>992.875</c:v>
                </c:pt>
                <c:pt idx="6">
                  <c:v>609.06218750000005</c:v>
                </c:pt>
                <c:pt idx="7">
                  <c:v>530.5</c:v>
                </c:pt>
                <c:pt idx="8">
                  <c:v>356.5</c:v>
                </c:pt>
                <c:pt idx="9">
                  <c:v>1143</c:v>
                </c:pt>
                <c:pt idx="10">
                  <c:v>730</c:v>
                </c:pt>
                <c:pt idx="11">
                  <c:v>2500</c:v>
                </c:pt>
                <c:pt idx="12">
                  <c:v>1260.5</c:v>
                </c:pt>
                <c:pt idx="13">
                  <c:v>414.5</c:v>
                </c:pt>
                <c:pt idx="14">
                  <c:v>790.5</c:v>
                </c:pt>
                <c:pt idx="15">
                  <c:v>994.5</c:v>
                </c:pt>
                <c:pt idx="16">
                  <c:v>578.5</c:v>
                </c:pt>
                <c:pt idx="17">
                  <c:v>882</c:v>
                </c:pt>
                <c:pt idx="18">
                  <c:v>670</c:v>
                </c:pt>
                <c:pt idx="19">
                  <c:v>932.5</c:v>
                </c:pt>
                <c:pt idx="20">
                  <c:v>596.5</c:v>
                </c:pt>
                <c:pt idx="21">
                  <c:v>734.5</c:v>
                </c:pt>
                <c:pt idx="22">
                  <c:v>621.5</c:v>
                </c:pt>
                <c:pt idx="23">
                  <c:v>351</c:v>
                </c:pt>
                <c:pt idx="24">
                  <c:v>582.5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48-4CB4-861F-15C7887A3AC4}"/>
            </c:ext>
          </c:extLst>
        </c:ser>
        <c:ser>
          <c:idx val="1"/>
          <c:order val="1"/>
          <c:tx>
            <c:strRef>
              <c:f>'Nitrogen Trends'!$E$80</c:f>
              <c:strCache>
                <c:ptCount val="1"/>
                <c:pt idx="0">
                  <c:v>Reservoir Outflow</c:v>
                </c:pt>
              </c:strCache>
            </c:strRef>
          </c:tx>
          <c:spPr>
            <a:ln w="28575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'Nitrogen Trends'!$B$109:$B$133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 formatCode="0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'Nitrogen Trends'!$G$80:$G$104</c:f>
              <c:numCache>
                <c:formatCode>0</c:formatCode>
                <c:ptCount val="25"/>
                <c:pt idx="0">
                  <c:v>589</c:v>
                </c:pt>
                <c:pt idx="1">
                  <c:v>325</c:v>
                </c:pt>
                <c:pt idx="2">
                  <c:v>431</c:v>
                </c:pt>
                <c:pt idx="3">
                  <c:v>351</c:v>
                </c:pt>
                <c:pt idx="4">
                  <c:v>491</c:v>
                </c:pt>
                <c:pt idx="5">
                  <c:v>579.375</c:v>
                </c:pt>
                <c:pt idx="6">
                  <c:v>520.40125</c:v>
                </c:pt>
                <c:pt idx="7">
                  <c:v>405</c:v>
                </c:pt>
                <c:pt idx="8">
                  <c:v>226</c:v>
                </c:pt>
                <c:pt idx="9">
                  <c:v>437</c:v>
                </c:pt>
                <c:pt idx="10">
                  <c:v>388</c:v>
                </c:pt>
                <c:pt idx="11">
                  <c:v>280</c:v>
                </c:pt>
                <c:pt idx="12">
                  <c:v>268</c:v>
                </c:pt>
                <c:pt idx="13">
                  <c:v>247</c:v>
                </c:pt>
                <c:pt idx="14">
                  <c:v>233</c:v>
                </c:pt>
                <c:pt idx="15">
                  <c:v>196</c:v>
                </c:pt>
                <c:pt idx="16">
                  <c:v>261</c:v>
                </c:pt>
                <c:pt idx="17">
                  <c:v>220</c:v>
                </c:pt>
                <c:pt idx="18">
                  <c:v>280</c:v>
                </c:pt>
                <c:pt idx="19">
                  <c:v>278</c:v>
                </c:pt>
                <c:pt idx="20">
                  <c:v>173</c:v>
                </c:pt>
                <c:pt idx="21">
                  <c:v>167</c:v>
                </c:pt>
                <c:pt idx="22">
                  <c:v>162</c:v>
                </c:pt>
                <c:pt idx="23">
                  <c:v>302</c:v>
                </c:pt>
                <c:pt idx="24">
                  <c:v>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48-4CB4-861F-15C7887A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43648"/>
        <c:axId val="107645568"/>
      </c:lineChart>
      <c:catAx>
        <c:axId val="10764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645568"/>
        <c:crossesAt val="-500"/>
        <c:auto val="1"/>
        <c:lblAlgn val="ctr"/>
        <c:lblOffset val="100"/>
        <c:tickLblSkip val="1"/>
        <c:tickMarkSkip val="1"/>
        <c:noMultiLvlLbl val="0"/>
      </c:catAx>
      <c:valAx>
        <c:axId val="107645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Nitrate (ug/l)</a:t>
                </a:r>
              </a:p>
            </c:rich>
          </c:tx>
          <c:layout>
            <c:manualLayout>
              <c:xMode val="edge"/>
              <c:yMode val="edge"/>
              <c:x val="3.7567084078711989E-2"/>
              <c:y val="0.3644076693803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64364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71990752813751"/>
          <c:y val="0.15840055231720326"/>
          <c:w val="0.24645509377553856"/>
          <c:h val="0.14044268989539327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51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98158969383842E-2"/>
          <c:y val="5.07380073800738E-2"/>
          <c:w val="0.89475339091339812"/>
          <c:h val="0.7367463753377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Sediment'!$R$11</c:f>
              <c:strCache>
                <c:ptCount val="1"/>
                <c:pt idx="0">
                  <c:v>Coarse Sand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'2018 Sediment'!$Q$12:$Q$18</c:f>
              <c:strCache>
                <c:ptCount val="7"/>
                <c:pt idx="0">
                  <c:v>BC03</c:v>
                </c:pt>
                <c:pt idx="1">
                  <c:v>BC05</c:v>
                </c:pt>
                <c:pt idx="2">
                  <c:v>PEL08</c:v>
                </c:pt>
                <c:pt idx="3">
                  <c:v>PEL10</c:v>
                </c:pt>
                <c:pt idx="4">
                  <c:v>TC14</c:v>
                </c:pt>
                <c:pt idx="5">
                  <c:v>TC16</c:v>
                </c:pt>
                <c:pt idx="6">
                  <c:v>EGL1</c:v>
                </c:pt>
              </c:strCache>
            </c:strRef>
          </c:cat>
          <c:val>
            <c:numRef>
              <c:f>'2018 Sediment'!$R$12:$R$18</c:f>
              <c:numCache>
                <c:formatCode>0%</c:formatCode>
                <c:ptCount val="7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0.01</c:v>
                </c:pt>
                <c:pt idx="4">
                  <c:v>0.13</c:v>
                </c:pt>
                <c:pt idx="5">
                  <c:v>0.06</c:v>
                </c:pt>
                <c:pt idx="6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E-4E7A-938D-F61A8FDCE781}"/>
            </c:ext>
          </c:extLst>
        </c:ser>
        <c:ser>
          <c:idx val="1"/>
          <c:order val="1"/>
          <c:tx>
            <c:strRef>
              <c:f>'2018 Sediment'!$S$11</c:f>
              <c:strCache>
                <c:ptCount val="1"/>
                <c:pt idx="0">
                  <c:v>M Sand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'2018 Sediment'!$Q$12:$Q$18</c:f>
              <c:strCache>
                <c:ptCount val="7"/>
                <c:pt idx="0">
                  <c:v>BC03</c:v>
                </c:pt>
                <c:pt idx="1">
                  <c:v>BC05</c:v>
                </c:pt>
                <c:pt idx="2">
                  <c:v>PEL08</c:v>
                </c:pt>
                <c:pt idx="3">
                  <c:v>PEL10</c:v>
                </c:pt>
                <c:pt idx="4">
                  <c:v>TC14</c:v>
                </c:pt>
                <c:pt idx="5">
                  <c:v>TC16</c:v>
                </c:pt>
                <c:pt idx="6">
                  <c:v>EGL1</c:v>
                </c:pt>
              </c:strCache>
            </c:strRef>
          </c:cat>
          <c:val>
            <c:numRef>
              <c:f>'2018 Sediment'!$S$12:$S$18</c:f>
              <c:numCache>
                <c:formatCode>0%</c:formatCode>
                <c:ptCount val="7"/>
                <c:pt idx="0">
                  <c:v>0.03</c:v>
                </c:pt>
                <c:pt idx="1">
                  <c:v>0.05</c:v>
                </c:pt>
                <c:pt idx="2">
                  <c:v>0.05</c:v>
                </c:pt>
                <c:pt idx="3">
                  <c:v>0.03</c:v>
                </c:pt>
                <c:pt idx="4">
                  <c:v>0.45</c:v>
                </c:pt>
                <c:pt idx="5">
                  <c:v>0.35</c:v>
                </c:pt>
                <c:pt idx="6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BE-4E7A-938D-F61A8FDCE781}"/>
            </c:ext>
          </c:extLst>
        </c:ser>
        <c:ser>
          <c:idx val="2"/>
          <c:order val="2"/>
          <c:tx>
            <c:strRef>
              <c:f>'2018 Sediment'!$T$11</c:f>
              <c:strCache>
                <c:ptCount val="1"/>
                <c:pt idx="0">
                  <c:v>F Sand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'2018 Sediment'!$Q$12:$Q$18</c:f>
              <c:strCache>
                <c:ptCount val="7"/>
                <c:pt idx="0">
                  <c:v>BC03</c:v>
                </c:pt>
                <c:pt idx="1">
                  <c:v>BC05</c:v>
                </c:pt>
                <c:pt idx="2">
                  <c:v>PEL08</c:v>
                </c:pt>
                <c:pt idx="3">
                  <c:v>PEL10</c:v>
                </c:pt>
                <c:pt idx="4">
                  <c:v>TC14</c:v>
                </c:pt>
                <c:pt idx="5">
                  <c:v>TC16</c:v>
                </c:pt>
                <c:pt idx="6">
                  <c:v>EGL1</c:v>
                </c:pt>
              </c:strCache>
            </c:strRef>
          </c:cat>
          <c:val>
            <c:numRef>
              <c:f>'2018 Sediment'!$T$12:$T$18</c:f>
              <c:numCache>
                <c:formatCode>0%</c:formatCode>
                <c:ptCount val="7"/>
                <c:pt idx="0">
                  <c:v>0.05</c:v>
                </c:pt>
                <c:pt idx="1">
                  <c:v>0.08</c:v>
                </c:pt>
                <c:pt idx="2">
                  <c:v>0.15</c:v>
                </c:pt>
                <c:pt idx="3">
                  <c:v>0.18</c:v>
                </c:pt>
                <c:pt idx="4">
                  <c:v>0.02</c:v>
                </c:pt>
                <c:pt idx="5">
                  <c:v>0.15</c:v>
                </c:pt>
                <c:pt idx="6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BE-4E7A-938D-F61A8FDCE781}"/>
            </c:ext>
          </c:extLst>
        </c:ser>
        <c:ser>
          <c:idx val="3"/>
          <c:order val="3"/>
          <c:tx>
            <c:strRef>
              <c:f>'2018 Sediment'!$U$11</c:f>
              <c:strCache>
                <c:ptCount val="1"/>
                <c:pt idx="0">
                  <c:v>VF Sand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'2018 Sediment'!$Q$12:$Q$18</c:f>
              <c:strCache>
                <c:ptCount val="7"/>
                <c:pt idx="0">
                  <c:v>BC03</c:v>
                </c:pt>
                <c:pt idx="1">
                  <c:v>BC05</c:v>
                </c:pt>
                <c:pt idx="2">
                  <c:v>PEL08</c:v>
                </c:pt>
                <c:pt idx="3">
                  <c:v>PEL10</c:v>
                </c:pt>
                <c:pt idx="4">
                  <c:v>TC14</c:v>
                </c:pt>
                <c:pt idx="5">
                  <c:v>TC16</c:v>
                </c:pt>
                <c:pt idx="6">
                  <c:v>EGL1</c:v>
                </c:pt>
              </c:strCache>
            </c:strRef>
          </c:cat>
          <c:val>
            <c:numRef>
              <c:f>'2018 Sediment'!$U$12:$U$18</c:f>
              <c:numCache>
                <c:formatCode>0%</c:formatCode>
                <c:ptCount val="7"/>
                <c:pt idx="0">
                  <c:v>0.06</c:v>
                </c:pt>
                <c:pt idx="1">
                  <c:v>0.16</c:v>
                </c:pt>
                <c:pt idx="2">
                  <c:v>0.18</c:v>
                </c:pt>
                <c:pt idx="3">
                  <c:v>0.15</c:v>
                </c:pt>
                <c:pt idx="4">
                  <c:v>0.04</c:v>
                </c:pt>
                <c:pt idx="5">
                  <c:v>0.08</c:v>
                </c:pt>
                <c:pt idx="6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BE-4E7A-938D-F61A8FDCE781}"/>
            </c:ext>
          </c:extLst>
        </c:ser>
        <c:ser>
          <c:idx val="4"/>
          <c:order val="4"/>
          <c:tx>
            <c:strRef>
              <c:f>'2018 Sediment'!$V$11</c:f>
              <c:strCache>
                <c:ptCount val="1"/>
                <c:pt idx="0">
                  <c:v>Silt &amp; Clay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'2018 Sediment'!$Q$12:$Q$18</c:f>
              <c:strCache>
                <c:ptCount val="7"/>
                <c:pt idx="0">
                  <c:v>BC03</c:v>
                </c:pt>
                <c:pt idx="1">
                  <c:v>BC05</c:v>
                </c:pt>
                <c:pt idx="2">
                  <c:v>PEL08</c:v>
                </c:pt>
                <c:pt idx="3">
                  <c:v>PEL10</c:v>
                </c:pt>
                <c:pt idx="4">
                  <c:v>TC14</c:v>
                </c:pt>
                <c:pt idx="5">
                  <c:v>TC16</c:v>
                </c:pt>
                <c:pt idx="6">
                  <c:v>EGL1</c:v>
                </c:pt>
              </c:strCache>
            </c:strRef>
          </c:cat>
          <c:val>
            <c:numRef>
              <c:f>'2018 Sediment'!$V$12:$V$18</c:f>
              <c:numCache>
                <c:formatCode>0%</c:formatCode>
                <c:ptCount val="7"/>
                <c:pt idx="0">
                  <c:v>0.85</c:v>
                </c:pt>
                <c:pt idx="1">
                  <c:v>0.69</c:v>
                </c:pt>
                <c:pt idx="2">
                  <c:v>0.57999999999999996</c:v>
                </c:pt>
                <c:pt idx="3">
                  <c:v>0.63</c:v>
                </c:pt>
                <c:pt idx="4">
                  <c:v>0.36</c:v>
                </c:pt>
                <c:pt idx="5">
                  <c:v>0.36</c:v>
                </c:pt>
                <c:pt idx="6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BE-4E7A-938D-F61A8FDCE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4639744"/>
        <c:axId val="84641280"/>
      </c:barChart>
      <c:catAx>
        <c:axId val="84639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41280"/>
        <c:crosses val="autoZero"/>
        <c:auto val="1"/>
        <c:lblAlgn val="ctr"/>
        <c:lblOffset val="100"/>
        <c:noMultiLvlLbl val="0"/>
      </c:catAx>
      <c:valAx>
        <c:axId val="8464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3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Phosphorus (mgP/kg Wet Mud)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'2018 Sediment'!$AM$3:$AN$9</c:f>
              <c:multiLvlStrCache>
                <c:ptCount val="7"/>
                <c:lvl>
                  <c:pt idx="0">
                    <c:v>SedBC03</c:v>
                  </c:pt>
                  <c:pt idx="1">
                    <c:v>SedBC05</c:v>
                  </c:pt>
                  <c:pt idx="2">
                    <c:v>SedPel08</c:v>
                  </c:pt>
                  <c:pt idx="3">
                    <c:v>SedPel10</c:v>
                  </c:pt>
                  <c:pt idx="4">
                    <c:v>SedTC14</c:v>
                  </c:pt>
                  <c:pt idx="5">
                    <c:v>SedTC16</c:v>
                  </c:pt>
                  <c:pt idx="6">
                    <c:v>EGL1</c:v>
                  </c:pt>
                </c:lvl>
                <c:lvl>
                  <c:pt idx="0">
                    <c:v>Bear Creek Transect</c:v>
                  </c:pt>
                  <c:pt idx="2">
                    <c:v>Pelican Point Transect</c:v>
                  </c:pt>
                  <c:pt idx="4">
                    <c:v>Turkey Creek Transect</c:v>
                  </c:pt>
                  <c:pt idx="6">
                    <c:v>Evergreen Lake</c:v>
                  </c:pt>
                </c:lvl>
              </c:multiLvlStrCache>
            </c:multiLvlStrRef>
          </c:cat>
          <c:val>
            <c:numRef>
              <c:f>'2018 Sediment'!$AO$3:$AO$9</c:f>
              <c:numCache>
                <c:formatCode>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EBFC-406C-B08D-28D048E2F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4751104"/>
        <c:axId val="84752640"/>
      </c:barChart>
      <c:catAx>
        <c:axId val="84751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52640"/>
        <c:crosses val="autoZero"/>
        <c:auto val="1"/>
        <c:lblAlgn val="ctr"/>
        <c:lblOffset val="100"/>
        <c:noMultiLvlLbl val="0"/>
      </c:catAx>
      <c:valAx>
        <c:axId val="8475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5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9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4" Type="http://schemas.openxmlformats.org/officeDocument/2006/relationships/chart" Target="../charts/chart38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6" Type="http://schemas.openxmlformats.org/officeDocument/2006/relationships/chart" Target="../charts/chart70.xml"/><Relationship Id="rId5" Type="http://schemas.openxmlformats.org/officeDocument/2006/relationships/chart" Target="../charts/chart69.xml"/><Relationship Id="rId4" Type="http://schemas.openxmlformats.org/officeDocument/2006/relationships/chart" Target="../charts/chart68.xml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8.xml"/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4" Type="http://schemas.openxmlformats.org/officeDocument/2006/relationships/chart" Target="../charts/chart74.xml"/><Relationship Id="rId9" Type="http://schemas.openxmlformats.org/officeDocument/2006/relationships/chart" Target="../charts/chart79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3.xml"/><Relationship Id="rId7" Type="http://schemas.openxmlformats.org/officeDocument/2006/relationships/chart" Target="../charts/chart87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6" Type="http://schemas.openxmlformats.org/officeDocument/2006/relationships/chart" Target="../charts/chart86.xml"/><Relationship Id="rId5" Type="http://schemas.openxmlformats.org/officeDocument/2006/relationships/chart" Target="../charts/chart85.xml"/><Relationship Id="rId4" Type="http://schemas.openxmlformats.org/officeDocument/2006/relationships/chart" Target="../charts/chart84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22</xdr:row>
      <xdr:rowOff>123825</xdr:rowOff>
    </xdr:from>
    <xdr:to>
      <xdr:col>12</xdr:col>
      <xdr:colOff>114300</xdr:colOff>
      <xdr:row>37</xdr:row>
      <xdr:rowOff>38100</xdr:rowOff>
    </xdr:to>
    <xdr:graphicFrame macro="">
      <xdr:nvGraphicFramePr>
        <xdr:cNvPr id="1445" name="Chart 1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22</xdr:row>
      <xdr:rowOff>123825</xdr:rowOff>
    </xdr:from>
    <xdr:to>
      <xdr:col>15</xdr:col>
      <xdr:colOff>314325</xdr:colOff>
      <xdr:row>37</xdr:row>
      <xdr:rowOff>38100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55</xdr:row>
      <xdr:rowOff>0</xdr:rowOff>
    </xdr:from>
    <xdr:to>
      <xdr:col>16</xdr:col>
      <xdr:colOff>133350</xdr:colOff>
      <xdr:row>73</xdr:row>
      <xdr:rowOff>19050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285749</xdr:colOff>
      <xdr:row>37</xdr:row>
      <xdr:rowOff>152401</xdr:rowOff>
    </xdr:from>
    <xdr:to>
      <xdr:col>15</xdr:col>
      <xdr:colOff>333374</xdr:colOff>
      <xdr:row>51</xdr:row>
      <xdr:rowOff>139700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9525</xdr:colOff>
      <xdr:row>22</xdr:row>
      <xdr:rowOff>152400</xdr:rowOff>
    </xdr:from>
    <xdr:to>
      <xdr:col>35</xdr:col>
      <xdr:colOff>388620</xdr:colOff>
      <xdr:row>37</xdr:row>
      <xdr:rowOff>66675</xdr:rowOff>
    </xdr:to>
    <xdr:graphicFrame macro="">
      <xdr:nvGraphicFramePr>
        <xdr:cNvPr id="10" name="Chart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9525</xdr:colOff>
      <xdr:row>38</xdr:row>
      <xdr:rowOff>19050</xdr:rowOff>
    </xdr:from>
    <xdr:to>
      <xdr:col>35</xdr:col>
      <xdr:colOff>373380</xdr:colOff>
      <xdr:row>52</xdr:row>
      <xdr:rowOff>152399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3449</xdr:colOff>
      <xdr:row>26</xdr:row>
      <xdr:rowOff>90714</xdr:rowOff>
    </xdr:from>
    <xdr:to>
      <xdr:col>18</xdr:col>
      <xdr:colOff>144781</xdr:colOff>
      <xdr:row>42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548640</xdr:colOff>
      <xdr:row>26</xdr:row>
      <xdr:rowOff>112394</xdr:rowOff>
    </xdr:from>
    <xdr:to>
      <xdr:col>9</xdr:col>
      <xdr:colOff>476250</xdr:colOff>
      <xdr:row>42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25400</xdr:colOff>
      <xdr:row>56</xdr:row>
      <xdr:rowOff>279400</xdr:rowOff>
    </xdr:from>
    <xdr:to>
      <xdr:col>15</xdr:col>
      <xdr:colOff>273050</xdr:colOff>
      <xdr:row>72</xdr:row>
      <xdr:rowOff>45720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25</xdr:row>
      <xdr:rowOff>158749</xdr:rowOff>
    </xdr:from>
    <xdr:to>
      <xdr:col>29</xdr:col>
      <xdr:colOff>238124</xdr:colOff>
      <xdr:row>43</xdr:row>
      <xdr:rowOff>160020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782411</xdr:colOff>
      <xdr:row>116</xdr:row>
      <xdr:rowOff>79376</xdr:rowOff>
    </xdr:from>
    <xdr:to>
      <xdr:col>23</xdr:col>
      <xdr:colOff>1065893</xdr:colOff>
      <xdr:row>144</xdr:row>
      <xdr:rowOff>79375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50</xdr:col>
      <xdr:colOff>582930</xdr:colOff>
      <xdr:row>2</xdr:row>
      <xdr:rowOff>326390</xdr:rowOff>
    </xdr:from>
    <xdr:to>
      <xdr:col>59</xdr:col>
      <xdr:colOff>552450</xdr:colOff>
      <xdr:row>19</xdr:row>
      <xdr:rowOff>143510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333375</xdr:colOff>
      <xdr:row>1</xdr:row>
      <xdr:rowOff>175261</xdr:rowOff>
    </xdr:from>
    <xdr:to>
      <xdr:col>31</xdr:col>
      <xdr:colOff>287867</xdr:colOff>
      <xdr:row>20</xdr:row>
      <xdr:rowOff>1</xdr:rowOff>
    </xdr:to>
    <xdr:graphicFrame macro="">
      <xdr:nvGraphicFramePr>
        <xdr:cNvPr id="23721" name="Chart 1">
          <a:extLst>
            <a:ext uri="{FF2B5EF4-FFF2-40B4-BE49-F238E27FC236}">
              <a16:creationId xmlns:a16="http://schemas.microsoft.com/office/drawing/2014/main" id="{00000000-0008-0000-0900-0000A9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311575</xdr:colOff>
      <xdr:row>21</xdr:row>
      <xdr:rowOff>22859</xdr:rowOff>
    </xdr:from>
    <xdr:to>
      <xdr:col>31</xdr:col>
      <xdr:colOff>313268</xdr:colOff>
      <xdr:row>39</xdr:row>
      <xdr:rowOff>67733</xdr:rowOff>
    </xdr:to>
    <xdr:graphicFrame macro="">
      <xdr:nvGraphicFramePr>
        <xdr:cNvPr id="23722" name="Chart 2">
          <a:extLst>
            <a:ext uri="{FF2B5EF4-FFF2-40B4-BE49-F238E27FC236}">
              <a16:creationId xmlns:a16="http://schemas.microsoft.com/office/drawing/2014/main" id="{00000000-0008-0000-0900-0000AA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282575</xdr:colOff>
      <xdr:row>15</xdr:row>
      <xdr:rowOff>88900</xdr:rowOff>
    </xdr:from>
    <xdr:to>
      <xdr:col>8</xdr:col>
      <xdr:colOff>127001</xdr:colOff>
      <xdr:row>29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686E5F-D3C6-4C27-93A6-3E4CE8776C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390524</xdr:colOff>
      <xdr:row>15</xdr:row>
      <xdr:rowOff>50800</xdr:rowOff>
    </xdr:from>
    <xdr:to>
      <xdr:col>19</xdr:col>
      <xdr:colOff>590549</xdr:colOff>
      <xdr:row>29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A5A73E-AD79-4F88-9199-8956F01D64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292100</xdr:colOff>
      <xdr:row>30</xdr:row>
      <xdr:rowOff>171450</xdr:rowOff>
    </xdr:from>
    <xdr:to>
      <xdr:col>8</xdr:col>
      <xdr:colOff>184149</xdr:colOff>
      <xdr:row>46</xdr:row>
      <xdr:rowOff>69850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1DB8F25-0F48-42A8-AD65-D776ED19AA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390524</xdr:colOff>
      <xdr:row>30</xdr:row>
      <xdr:rowOff>127000</xdr:rowOff>
    </xdr:from>
    <xdr:to>
      <xdr:col>19</xdr:col>
      <xdr:colOff>317500</xdr:colOff>
      <xdr:row>46</xdr:row>
      <xdr:rowOff>25400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81F2C42-C246-49C4-AFEC-7414A4F2EE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848147</xdr:colOff>
      <xdr:row>23</xdr:row>
      <xdr:rowOff>153881</xdr:rowOff>
    </xdr:from>
    <xdr:to>
      <xdr:col>28</xdr:col>
      <xdr:colOff>795867</xdr:colOff>
      <xdr:row>41</xdr:row>
      <xdr:rowOff>160867</xdr:rowOff>
    </xdr:to>
    <xdr:graphicFrame macro="">
      <xdr:nvGraphicFramePr>
        <xdr:cNvPr id="29865" name="Chart 1">
          <a:extLst>
            <a:ext uri="{FF2B5EF4-FFF2-40B4-BE49-F238E27FC236}">
              <a16:creationId xmlns:a16="http://schemas.microsoft.com/office/drawing/2014/main" id="{00000000-0008-0000-0A00-0000A9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819150</xdr:colOff>
      <xdr:row>1</xdr:row>
      <xdr:rowOff>11431</xdr:rowOff>
    </xdr:from>
    <xdr:to>
      <xdr:col>28</xdr:col>
      <xdr:colOff>778933</xdr:colOff>
      <xdr:row>22</xdr:row>
      <xdr:rowOff>160867</xdr:rowOff>
    </xdr:to>
    <xdr:graphicFrame macro="">
      <xdr:nvGraphicFramePr>
        <xdr:cNvPr id="29866" name="Chart 2">
          <a:extLst>
            <a:ext uri="{FF2B5EF4-FFF2-40B4-BE49-F238E27FC236}">
              <a16:creationId xmlns:a16="http://schemas.microsoft.com/office/drawing/2014/main" id="{00000000-0008-0000-0A00-0000AA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717974</xdr:colOff>
      <xdr:row>21</xdr:row>
      <xdr:rowOff>44026</xdr:rowOff>
    </xdr:from>
    <xdr:to>
      <xdr:col>31</xdr:col>
      <xdr:colOff>601134</xdr:colOff>
      <xdr:row>37</xdr:row>
      <xdr:rowOff>84667</xdr:rowOff>
    </xdr:to>
    <xdr:graphicFrame macro="">
      <xdr:nvGraphicFramePr>
        <xdr:cNvPr id="24661" name="Chart 1">
          <a:extLst>
            <a:ext uri="{FF2B5EF4-FFF2-40B4-BE49-F238E27FC236}">
              <a16:creationId xmlns:a16="http://schemas.microsoft.com/office/drawing/2014/main" id="{00000000-0008-0000-0B00-000055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660400</xdr:colOff>
      <xdr:row>3</xdr:row>
      <xdr:rowOff>12701</xdr:rowOff>
    </xdr:from>
    <xdr:to>
      <xdr:col>31</xdr:col>
      <xdr:colOff>482600</xdr:colOff>
      <xdr:row>20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698500</xdr:colOff>
      <xdr:row>1</xdr:row>
      <xdr:rowOff>130175</xdr:rowOff>
    </xdr:from>
    <xdr:to>
      <xdr:col>31</xdr:col>
      <xdr:colOff>220133</xdr:colOff>
      <xdr:row>16</xdr:row>
      <xdr:rowOff>59266</xdr:rowOff>
    </xdr:to>
    <xdr:graphicFrame macro="">
      <xdr:nvGraphicFramePr>
        <xdr:cNvPr id="17493" name="Chart 1">
          <a:extLst>
            <a:ext uri="{FF2B5EF4-FFF2-40B4-BE49-F238E27FC236}">
              <a16:creationId xmlns:a16="http://schemas.microsoft.com/office/drawing/2014/main" id="{00000000-0008-0000-0C00-000055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706967</xdr:colOff>
      <xdr:row>17</xdr:row>
      <xdr:rowOff>101600</xdr:rowOff>
    </xdr:from>
    <xdr:to>
      <xdr:col>31</xdr:col>
      <xdr:colOff>254000</xdr:colOff>
      <xdr:row>32</xdr:row>
      <xdr:rowOff>59267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325751</xdr:colOff>
      <xdr:row>8</xdr:row>
      <xdr:rowOff>154303</xdr:rowOff>
    </xdr:from>
    <xdr:to>
      <xdr:col>18</xdr:col>
      <xdr:colOff>95249</xdr:colOff>
      <xdr:row>26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333374</xdr:colOff>
      <xdr:row>8</xdr:row>
      <xdr:rowOff>97155</xdr:rowOff>
    </xdr:from>
    <xdr:to>
      <xdr:col>33</xdr:col>
      <xdr:colOff>241300</xdr:colOff>
      <xdr:row>27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23</xdr:row>
      <xdr:rowOff>3174</xdr:rowOff>
    </xdr:from>
    <xdr:to>
      <xdr:col>12</xdr:col>
      <xdr:colOff>514350</xdr:colOff>
      <xdr:row>44</xdr:row>
      <xdr:rowOff>101600</xdr:rowOff>
    </xdr:to>
    <xdr:graphicFrame macro="">
      <xdr:nvGraphicFramePr>
        <xdr:cNvPr id="33963" name="Chart 1">
          <a:extLst>
            <a:ext uri="{FF2B5EF4-FFF2-40B4-BE49-F238E27FC236}">
              <a16:creationId xmlns:a16="http://schemas.microsoft.com/office/drawing/2014/main" id="{00000000-0008-0000-0E00-0000AB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321733</xdr:colOff>
      <xdr:row>22</xdr:row>
      <xdr:rowOff>0</xdr:rowOff>
    </xdr:from>
    <xdr:to>
      <xdr:col>25</xdr:col>
      <xdr:colOff>60960</xdr:colOff>
      <xdr:row>42</xdr:row>
      <xdr:rowOff>42333</xdr:rowOff>
    </xdr:to>
    <xdr:graphicFrame macro="">
      <xdr:nvGraphicFramePr>
        <xdr:cNvPr id="33964" name="Chart 2">
          <a:extLst>
            <a:ext uri="{FF2B5EF4-FFF2-40B4-BE49-F238E27FC236}">
              <a16:creationId xmlns:a16="http://schemas.microsoft.com/office/drawing/2014/main" id="{00000000-0008-0000-0E00-0000AC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</xdr:rowOff>
    </xdr:from>
    <xdr:to>
      <xdr:col>15</xdr:col>
      <xdr:colOff>0</xdr:colOff>
      <xdr:row>49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E77A9C-B73F-437C-AD01-B2675EDFE1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24</xdr:row>
      <xdr:rowOff>0</xdr:rowOff>
    </xdr:from>
    <xdr:to>
      <xdr:col>29</xdr:col>
      <xdr:colOff>127000</xdr:colOff>
      <xdr:row>46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DAA893-DD5E-4ADB-9508-E20810346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89957</xdr:colOff>
      <xdr:row>24</xdr:row>
      <xdr:rowOff>152400</xdr:rowOff>
    </xdr:from>
    <xdr:to>
      <xdr:col>27</xdr:col>
      <xdr:colOff>575734</xdr:colOff>
      <xdr:row>39</xdr:row>
      <xdr:rowOff>101600</xdr:rowOff>
    </xdr:to>
    <xdr:graphicFrame macro="">
      <xdr:nvGraphicFramePr>
        <xdr:cNvPr id="12457" name="Chart 1">
          <a:extLst>
            <a:ext uri="{FF2B5EF4-FFF2-40B4-BE49-F238E27FC236}">
              <a16:creationId xmlns:a16="http://schemas.microsoft.com/office/drawing/2014/main" id="{00000000-0008-0000-1100-0000A9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179492</xdr:colOff>
      <xdr:row>24</xdr:row>
      <xdr:rowOff>143934</xdr:rowOff>
    </xdr:from>
    <xdr:to>
      <xdr:col>13</xdr:col>
      <xdr:colOff>423332</xdr:colOff>
      <xdr:row>39</xdr:row>
      <xdr:rowOff>135467</xdr:rowOff>
    </xdr:to>
    <xdr:graphicFrame macro="">
      <xdr:nvGraphicFramePr>
        <xdr:cNvPr id="12458" name="Chart 2">
          <a:extLst>
            <a:ext uri="{FF2B5EF4-FFF2-40B4-BE49-F238E27FC236}">
              <a16:creationId xmlns:a16="http://schemas.microsoft.com/office/drawing/2014/main" id="{00000000-0008-0000-1100-0000AA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43179</xdr:colOff>
      <xdr:row>20</xdr:row>
      <xdr:rowOff>165100</xdr:rowOff>
    </xdr:from>
    <xdr:to>
      <xdr:col>19</xdr:col>
      <xdr:colOff>528954</xdr:colOff>
      <xdr:row>41</xdr:row>
      <xdr:rowOff>153670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114299</xdr:colOff>
      <xdr:row>0</xdr:row>
      <xdr:rowOff>190501</xdr:rowOff>
    </xdr:from>
    <xdr:to>
      <xdr:col>19</xdr:col>
      <xdr:colOff>600074</xdr:colOff>
      <xdr:row>18</xdr:row>
      <xdr:rowOff>60960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89535</xdr:colOff>
      <xdr:row>45</xdr:row>
      <xdr:rowOff>80011</xdr:rowOff>
    </xdr:from>
    <xdr:to>
      <xdr:col>19</xdr:col>
      <xdr:colOff>575310</xdr:colOff>
      <xdr:row>65</xdr:row>
      <xdr:rowOff>7621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609599</xdr:colOff>
      <xdr:row>66</xdr:row>
      <xdr:rowOff>19051</xdr:rowOff>
    </xdr:from>
    <xdr:to>
      <xdr:col>19</xdr:col>
      <xdr:colOff>552450</xdr:colOff>
      <xdr:row>89</xdr:row>
      <xdr:rowOff>114300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415924</xdr:colOff>
      <xdr:row>144</xdr:row>
      <xdr:rowOff>142875</xdr:rowOff>
    </xdr:from>
    <xdr:to>
      <xdr:col>17</xdr:col>
      <xdr:colOff>203200</xdr:colOff>
      <xdr:row>158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F77EA5-101C-4D3C-BD6C-88980F113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415924</xdr:colOff>
      <xdr:row>158</xdr:row>
      <xdr:rowOff>130175</xdr:rowOff>
    </xdr:from>
    <xdr:to>
      <xdr:col>14</xdr:col>
      <xdr:colOff>425449</xdr:colOff>
      <xdr:row>169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97CE74-4184-4FD4-9598-9A52F352FE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469898</xdr:colOff>
      <xdr:row>23</xdr:row>
      <xdr:rowOff>2</xdr:rowOff>
    </xdr:from>
    <xdr:to>
      <xdr:col>9</xdr:col>
      <xdr:colOff>257174</xdr:colOff>
      <xdr:row>37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428621</xdr:colOff>
      <xdr:row>37</xdr:row>
      <xdr:rowOff>174624</xdr:rowOff>
    </xdr:from>
    <xdr:to>
      <xdr:col>9</xdr:col>
      <xdr:colOff>241298</xdr:colOff>
      <xdr:row>53</xdr:row>
      <xdr:rowOff>95251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11906</xdr:colOff>
      <xdr:row>46</xdr:row>
      <xdr:rowOff>111126</xdr:rowOff>
    </xdr:from>
    <xdr:to>
      <xdr:col>20</xdr:col>
      <xdr:colOff>277812</xdr:colOff>
      <xdr:row>65</xdr:row>
      <xdr:rowOff>15875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35873</xdr:colOff>
      <xdr:row>23</xdr:row>
      <xdr:rowOff>11648</xdr:rowOff>
    </xdr:from>
    <xdr:to>
      <xdr:col>20</xdr:col>
      <xdr:colOff>293688</xdr:colOff>
      <xdr:row>46</xdr:row>
      <xdr:rowOff>31751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125410</xdr:colOff>
      <xdr:row>22</xdr:row>
      <xdr:rowOff>40482</xdr:rowOff>
    </xdr:from>
    <xdr:to>
      <xdr:col>29</xdr:col>
      <xdr:colOff>857250</xdr:colOff>
      <xdr:row>42</xdr:row>
      <xdr:rowOff>139700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23</xdr:row>
      <xdr:rowOff>174625</xdr:rowOff>
    </xdr:from>
    <xdr:to>
      <xdr:col>13</xdr:col>
      <xdr:colOff>390525</xdr:colOff>
      <xdr:row>37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2D730A-BC95-4BDA-9430-6A65BC2337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606425</xdr:colOff>
      <xdr:row>37</xdr:row>
      <xdr:rowOff>174625</xdr:rowOff>
    </xdr:from>
    <xdr:to>
      <xdr:col>13</xdr:col>
      <xdr:colOff>358775</xdr:colOff>
      <xdr:row>50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49E2E5-2E6E-4AA1-B486-48F2F9DA0A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34925</xdr:colOff>
      <xdr:row>51</xdr:row>
      <xdr:rowOff>73025</xdr:rowOff>
    </xdr:from>
    <xdr:to>
      <xdr:col>13</xdr:col>
      <xdr:colOff>374650</xdr:colOff>
      <xdr:row>61</xdr:row>
      <xdr:rowOff>88900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13BAC40-2D0C-49DB-860A-C4D62D16D4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44450</xdr:colOff>
      <xdr:row>19</xdr:row>
      <xdr:rowOff>327025</xdr:rowOff>
    </xdr:from>
    <xdr:to>
      <xdr:col>34</xdr:col>
      <xdr:colOff>200025</xdr:colOff>
      <xdr:row>33</xdr:row>
      <xdr:rowOff>136525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7AFBD5-D4D3-47D3-95C2-8BD7062641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12</xdr:row>
      <xdr:rowOff>85725</xdr:rowOff>
    </xdr:from>
    <xdr:to>
      <xdr:col>20</xdr:col>
      <xdr:colOff>527050</xdr:colOff>
      <xdr:row>26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55B082-995B-49C8-BCD5-508FF1912D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19051</xdr:colOff>
      <xdr:row>27</xdr:row>
      <xdr:rowOff>130175</xdr:rowOff>
    </xdr:from>
    <xdr:to>
      <xdr:col>25</xdr:col>
      <xdr:colOff>12701</xdr:colOff>
      <xdr:row>39</xdr:row>
      <xdr:rowOff>228600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6CC4F4-F124-4B68-95DA-BFB85C884C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339724</xdr:colOff>
      <xdr:row>40</xdr:row>
      <xdr:rowOff>127000</xdr:rowOff>
    </xdr:from>
    <xdr:to>
      <xdr:col>24</xdr:col>
      <xdr:colOff>190499</xdr:colOff>
      <xdr:row>51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7040E7-0FEE-409C-9B70-1E47CB7DEF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344170</xdr:colOff>
      <xdr:row>34</xdr:row>
      <xdr:rowOff>38101</xdr:rowOff>
    </xdr:from>
    <xdr:to>
      <xdr:col>23</xdr:col>
      <xdr:colOff>406400</xdr:colOff>
      <xdr:row>50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350521</xdr:colOff>
      <xdr:row>51</xdr:row>
      <xdr:rowOff>92074</xdr:rowOff>
    </xdr:from>
    <xdr:to>
      <xdr:col>23</xdr:col>
      <xdr:colOff>419100</xdr:colOff>
      <xdr:row>66</xdr:row>
      <xdr:rowOff>82550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309245</xdr:colOff>
      <xdr:row>17</xdr:row>
      <xdr:rowOff>91440</xdr:rowOff>
    </xdr:from>
    <xdr:to>
      <xdr:col>23</xdr:col>
      <xdr:colOff>419100</xdr:colOff>
      <xdr:row>32</xdr:row>
      <xdr:rowOff>120650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359411</xdr:colOff>
      <xdr:row>67</xdr:row>
      <xdr:rowOff>114300</xdr:rowOff>
    </xdr:from>
    <xdr:to>
      <xdr:col>23</xdr:col>
      <xdr:colOff>450850</xdr:colOff>
      <xdr:row>82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230504</xdr:colOff>
      <xdr:row>159</xdr:row>
      <xdr:rowOff>41911</xdr:rowOff>
    </xdr:from>
    <xdr:to>
      <xdr:col>22</xdr:col>
      <xdr:colOff>41910</xdr:colOff>
      <xdr:row>170</xdr:row>
      <xdr:rowOff>91441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314325</xdr:colOff>
      <xdr:row>83</xdr:row>
      <xdr:rowOff>9525</xdr:rowOff>
    </xdr:from>
    <xdr:to>
      <xdr:col>22</xdr:col>
      <xdr:colOff>250825</xdr:colOff>
      <xdr:row>100</xdr:row>
      <xdr:rowOff>53975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22A24F2-3FDD-4E8C-8609-5731354B09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514351</xdr:colOff>
      <xdr:row>27</xdr:row>
      <xdr:rowOff>133348</xdr:rowOff>
    </xdr:from>
    <xdr:to>
      <xdr:col>10</xdr:col>
      <xdr:colOff>298450</xdr:colOff>
      <xdr:row>48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520700</xdr:colOff>
      <xdr:row>49</xdr:row>
      <xdr:rowOff>66041</xdr:rowOff>
    </xdr:from>
    <xdr:to>
      <xdr:col>10</xdr:col>
      <xdr:colOff>323850</xdr:colOff>
      <xdr:row>68</xdr:row>
      <xdr:rowOff>146050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441324</xdr:colOff>
      <xdr:row>1</xdr:row>
      <xdr:rowOff>3174</xdr:rowOff>
    </xdr:from>
    <xdr:to>
      <xdr:col>31</xdr:col>
      <xdr:colOff>463550</xdr:colOff>
      <xdr:row>19</xdr:row>
      <xdr:rowOff>158750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27058A-9480-42F9-AC7A-E55468012B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425450</xdr:colOff>
      <xdr:row>19</xdr:row>
      <xdr:rowOff>174625</xdr:rowOff>
    </xdr:from>
    <xdr:to>
      <xdr:col>31</xdr:col>
      <xdr:colOff>469900</xdr:colOff>
      <xdr:row>39</xdr:row>
      <xdr:rowOff>168275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A0F1614-4CAF-4D91-B50B-21DE698B5B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130174</xdr:colOff>
      <xdr:row>152</xdr:row>
      <xdr:rowOff>117475</xdr:rowOff>
    </xdr:from>
    <xdr:to>
      <xdr:col>23</xdr:col>
      <xdr:colOff>374650</xdr:colOff>
      <xdr:row>164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F7066C9-1055-4FDB-B706-71B6BA065F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34925</xdr:colOff>
      <xdr:row>171</xdr:row>
      <xdr:rowOff>111125</xdr:rowOff>
    </xdr:from>
    <xdr:to>
      <xdr:col>23</xdr:col>
      <xdr:colOff>231775</xdr:colOff>
      <xdr:row>187</xdr:row>
      <xdr:rowOff>9525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6BE93D9-E8A7-47DA-A849-5C8650EE9D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352425</xdr:colOff>
      <xdr:row>187</xdr:row>
      <xdr:rowOff>104775</xdr:rowOff>
    </xdr:from>
    <xdr:to>
      <xdr:col>23</xdr:col>
      <xdr:colOff>180975</xdr:colOff>
      <xdr:row>203</xdr:row>
      <xdr:rowOff>3175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29CD94A-19C9-4751-9B51-D792DB2334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669924</xdr:colOff>
      <xdr:row>132</xdr:row>
      <xdr:rowOff>92075</xdr:rowOff>
    </xdr:from>
    <xdr:to>
      <xdr:col>23</xdr:col>
      <xdr:colOff>228599</xdr:colOff>
      <xdr:row>147</xdr:row>
      <xdr:rowOff>168275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8029802-528F-4F65-B636-6AC4AD517A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473074</xdr:colOff>
      <xdr:row>152</xdr:row>
      <xdr:rowOff>120650</xdr:rowOff>
    </xdr:from>
    <xdr:to>
      <xdr:col>31</xdr:col>
      <xdr:colOff>539749</xdr:colOff>
      <xdr:row>164</xdr:row>
      <xdr:rowOff>133349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18CE9ED-BD33-4C8D-A4F3-E0C05681DE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688975</xdr:colOff>
      <xdr:row>16</xdr:row>
      <xdr:rowOff>139700</xdr:rowOff>
    </xdr:from>
    <xdr:to>
      <xdr:col>8</xdr:col>
      <xdr:colOff>260351</xdr:colOff>
      <xdr:row>29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965093-CAA6-48F1-8F32-011EE75556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22</xdr:row>
      <xdr:rowOff>107951</xdr:rowOff>
    </xdr:from>
    <xdr:to>
      <xdr:col>8</xdr:col>
      <xdr:colOff>342900</xdr:colOff>
      <xdr:row>39</xdr:row>
      <xdr:rowOff>25401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482599</xdr:colOff>
      <xdr:row>40</xdr:row>
      <xdr:rowOff>50801</xdr:rowOff>
    </xdr:from>
    <xdr:to>
      <xdr:col>8</xdr:col>
      <xdr:colOff>253999</xdr:colOff>
      <xdr:row>54</xdr:row>
      <xdr:rowOff>158751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581025</xdr:colOff>
      <xdr:row>58</xdr:row>
      <xdr:rowOff>53975</xdr:rowOff>
    </xdr:from>
    <xdr:to>
      <xdr:col>7</xdr:col>
      <xdr:colOff>136525</xdr:colOff>
      <xdr:row>74</xdr:row>
      <xdr:rowOff>155575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4F828E-5BF0-4F93-A8F5-AD4F9D007B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711200</xdr:colOff>
      <xdr:row>76</xdr:row>
      <xdr:rowOff>34925</xdr:rowOff>
    </xdr:from>
    <xdr:to>
      <xdr:col>7</xdr:col>
      <xdr:colOff>266700</xdr:colOff>
      <xdr:row>89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D0AC5E6-DC69-43A9-AFD3-E104532903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635000</xdr:colOff>
      <xdr:row>89</xdr:row>
      <xdr:rowOff>142875</xdr:rowOff>
    </xdr:from>
    <xdr:to>
      <xdr:col>7</xdr:col>
      <xdr:colOff>190500</xdr:colOff>
      <xdr:row>106</xdr:row>
      <xdr:rowOff>79375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4E31C90-9EAA-43DC-AA56-C1112FB46B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83</xdr:row>
      <xdr:rowOff>98425</xdr:rowOff>
    </xdr:from>
    <xdr:to>
      <xdr:col>13</xdr:col>
      <xdr:colOff>352425</xdr:colOff>
      <xdr:row>100</xdr:row>
      <xdr:rowOff>34925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E4786B4-1FD0-4852-9E2B-799B7C55B4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200025</xdr:colOff>
      <xdr:row>118</xdr:row>
      <xdr:rowOff>0</xdr:rowOff>
    </xdr:from>
    <xdr:to>
      <xdr:col>15</xdr:col>
      <xdr:colOff>117475</xdr:colOff>
      <xdr:row>132</xdr:row>
      <xdr:rowOff>139700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38FD65-B99C-4484-86CA-D5769122F0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160020</xdr:colOff>
      <xdr:row>56</xdr:row>
      <xdr:rowOff>76200</xdr:rowOff>
    </xdr:from>
    <xdr:to>
      <xdr:col>44</xdr:col>
      <xdr:colOff>234950</xdr:colOff>
      <xdr:row>69</xdr:row>
      <xdr:rowOff>25400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251460</xdr:colOff>
      <xdr:row>36</xdr:row>
      <xdr:rowOff>97790</xdr:rowOff>
    </xdr:from>
    <xdr:to>
      <xdr:col>55</xdr:col>
      <xdr:colOff>603250</xdr:colOff>
      <xdr:row>52</xdr:row>
      <xdr:rowOff>36830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1F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215900</xdr:colOff>
      <xdr:row>19</xdr:row>
      <xdr:rowOff>86360</xdr:rowOff>
    </xdr:from>
    <xdr:to>
      <xdr:col>22</xdr:col>
      <xdr:colOff>328930</xdr:colOff>
      <xdr:row>34</xdr:row>
      <xdr:rowOff>109220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27940</xdr:colOff>
      <xdr:row>0</xdr:row>
      <xdr:rowOff>0</xdr:rowOff>
    </xdr:from>
    <xdr:to>
      <xdr:col>51</xdr:col>
      <xdr:colOff>35560</xdr:colOff>
      <xdr:row>14</xdr:row>
      <xdr:rowOff>15240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352424</xdr:colOff>
      <xdr:row>0</xdr:row>
      <xdr:rowOff>57151</xdr:rowOff>
    </xdr:from>
    <xdr:to>
      <xdr:col>20</xdr:col>
      <xdr:colOff>12700</xdr:colOff>
      <xdr:row>16</xdr:row>
      <xdr:rowOff>69850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342899</xdr:colOff>
      <xdr:row>17</xdr:row>
      <xdr:rowOff>50800</xdr:rowOff>
    </xdr:from>
    <xdr:to>
      <xdr:col>20</xdr:col>
      <xdr:colOff>107950</xdr:colOff>
      <xdr:row>41</xdr:row>
      <xdr:rowOff>25400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358775</xdr:colOff>
      <xdr:row>44</xdr:row>
      <xdr:rowOff>60326</xdr:rowOff>
    </xdr:from>
    <xdr:to>
      <xdr:col>20</xdr:col>
      <xdr:colOff>301624</xdr:colOff>
      <xdr:row>62</xdr:row>
      <xdr:rowOff>120650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390524</xdr:colOff>
      <xdr:row>63</xdr:row>
      <xdr:rowOff>165101</xdr:rowOff>
    </xdr:from>
    <xdr:to>
      <xdr:col>18</xdr:col>
      <xdr:colOff>82549</xdr:colOff>
      <xdr:row>91</xdr:row>
      <xdr:rowOff>79376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38</xdr:row>
      <xdr:rowOff>9525</xdr:rowOff>
    </xdr:from>
    <xdr:to>
      <xdr:col>6</xdr:col>
      <xdr:colOff>422911</xdr:colOff>
      <xdr:row>53</xdr:row>
      <xdr:rowOff>44450</xdr:rowOff>
    </xdr:to>
    <xdr:graphicFrame macro="">
      <xdr:nvGraphicFramePr>
        <xdr:cNvPr id="10" name="Chart 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38</xdr:row>
      <xdr:rowOff>25400</xdr:rowOff>
    </xdr:from>
    <xdr:to>
      <xdr:col>15</xdr:col>
      <xdr:colOff>374650</xdr:colOff>
      <xdr:row>52</xdr:row>
      <xdr:rowOff>171450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822325</xdr:colOff>
      <xdr:row>55</xdr:row>
      <xdr:rowOff>69851</xdr:rowOff>
    </xdr:from>
    <xdr:to>
      <xdr:col>7</xdr:col>
      <xdr:colOff>95250</xdr:colOff>
      <xdr:row>71</xdr:row>
      <xdr:rowOff>165100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942974</xdr:colOff>
      <xdr:row>3</xdr:row>
      <xdr:rowOff>130175</xdr:rowOff>
    </xdr:from>
    <xdr:to>
      <xdr:col>28</xdr:col>
      <xdr:colOff>247649</xdr:colOff>
      <xdr:row>18</xdr:row>
      <xdr:rowOff>155575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4A23AE-AA3D-4BDF-B60F-0E0C225EA9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149224</xdr:colOff>
      <xdr:row>1</xdr:row>
      <xdr:rowOff>15875</xdr:rowOff>
    </xdr:from>
    <xdr:to>
      <xdr:col>43</xdr:col>
      <xdr:colOff>63499</xdr:colOff>
      <xdr:row>10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D5B2F5-3754-413C-94BC-369F6F1AFF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168274</xdr:colOff>
      <xdr:row>11</xdr:row>
      <xdr:rowOff>98425</xdr:rowOff>
    </xdr:from>
    <xdr:to>
      <xdr:col>43</xdr:col>
      <xdr:colOff>101599</xdr:colOff>
      <xdr:row>23</xdr:row>
      <xdr:rowOff>146050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7DE28D6-7168-4C29-B3DA-EC019C4806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184148</xdr:colOff>
      <xdr:row>42</xdr:row>
      <xdr:rowOff>194310</xdr:rowOff>
    </xdr:from>
    <xdr:to>
      <xdr:col>20</xdr:col>
      <xdr:colOff>279399</xdr:colOff>
      <xdr:row>59</xdr:row>
      <xdr:rowOff>57150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222250</xdr:colOff>
      <xdr:row>43</xdr:row>
      <xdr:rowOff>167640</xdr:rowOff>
    </xdr:from>
    <xdr:to>
      <xdr:col>14</xdr:col>
      <xdr:colOff>190500</xdr:colOff>
      <xdr:row>47</xdr:row>
      <xdr:rowOff>82550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4800600" y="8282940"/>
          <a:ext cx="1168400" cy="62611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45-50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Mesotrophic-Eutrophic</a:t>
          </a:r>
          <a:r>
            <a:rPr lang="en-US" sz="800"/>
            <a:t> 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50-65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Eutrophic</a:t>
          </a:r>
        </a:p>
        <a:p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65+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Hypereutrophic</a:t>
          </a:r>
          <a:r>
            <a:rPr lang="en-US" sz="800"/>
            <a:t> </a:t>
          </a:r>
        </a:p>
      </xdr:txBody>
    </xdr:sp>
    <xdr:clientData/>
  </xdr:twoCellAnchor>
  <xdr:twoCellAnchor>
    <xdr:from>
      <xdr:col>6</xdr:col>
      <xdr:colOff>346075</xdr:colOff>
      <xdr:row>61</xdr:row>
      <xdr:rowOff>54611</xdr:rowOff>
    </xdr:from>
    <xdr:to>
      <xdr:col>21</xdr:col>
      <xdr:colOff>565150</xdr:colOff>
      <xdr:row>75</xdr:row>
      <xdr:rowOff>171451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252730</xdr:colOff>
      <xdr:row>62</xdr:row>
      <xdr:rowOff>232410</xdr:rowOff>
    </xdr:from>
    <xdr:to>
      <xdr:col>16</xdr:col>
      <xdr:colOff>90806</xdr:colOff>
      <xdr:row>65</xdr:row>
      <xdr:rowOff>120650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5631180" y="11878310"/>
          <a:ext cx="1038226" cy="650240"/>
        </a:xfrm>
        <a:prstGeom prst="rect">
          <a:avLst/>
        </a:prstGeom>
        <a:gradFill>
          <a:gsLst>
            <a:gs pos="34000">
              <a:schemeClr val="bg1">
                <a:lumMod val="95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45-50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Mesotrophic-Eutrophic</a:t>
          </a:r>
          <a:r>
            <a:rPr lang="en-US" sz="800"/>
            <a:t> 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50-65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Eutrophic</a:t>
          </a:r>
        </a:p>
        <a:p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65+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Hypereutrophic</a:t>
          </a:r>
          <a:r>
            <a:rPr lang="en-US" sz="800"/>
            <a:t>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0.61617</cdr:x>
      <cdr:y>0.24597</cdr:y>
    </cdr:from>
    <cdr:to>
      <cdr:x>0.61617</cdr:x>
      <cdr:y>0.24597</cdr:y>
    </cdr:to>
    <cdr:sp macro="" textlink="">
      <cdr:nvSpPr>
        <cdr:cNvPr id="7170" name="Text Box 2">
          <a:extLst xmlns:a="http://schemas.openxmlformats.org/drawingml/2006/main">
            <a:ext uri="{FF2B5EF4-FFF2-40B4-BE49-F238E27FC236}">
              <a16:creationId xmlns:a16="http://schemas.microsoft.com/office/drawing/2014/main" id="{A18814AF-2F06-45A8-BCEB-790C40DAD2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6768" y="75055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Eutrophic</a:t>
          </a:r>
        </a:p>
      </cdr:txBody>
    </cdr:sp>
  </cdr:relSizeAnchor>
  <cdr:relSizeAnchor xmlns:cdr="http://schemas.openxmlformats.org/drawingml/2006/chartDrawing">
    <cdr:from>
      <cdr:x>0.47618</cdr:x>
      <cdr:y>0.52397</cdr:y>
    </cdr:from>
    <cdr:to>
      <cdr:x>0.47618</cdr:x>
      <cdr:y>0.52397</cdr:y>
    </cdr:to>
    <cdr:sp macro="" textlink="">
      <cdr:nvSpPr>
        <cdr:cNvPr id="7171" name="Text Box 3">
          <a:extLst xmlns:a="http://schemas.openxmlformats.org/drawingml/2006/main">
            <a:ext uri="{FF2B5EF4-FFF2-40B4-BE49-F238E27FC236}">
              <a16:creationId xmlns:a16="http://schemas.microsoft.com/office/drawing/2014/main" id="{1269A0DD-448B-4EDE-938C-927C25995C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9387" y="159525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Mesotropic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0.49607</cdr:x>
      <cdr:y>0.20226</cdr:y>
    </cdr:from>
    <cdr:to>
      <cdr:x>0.49607</cdr:x>
      <cdr:y>0.20226</cdr:y>
    </cdr:to>
    <cdr:sp macro="" textlink="">
      <cdr:nvSpPr>
        <cdr:cNvPr id="6146" name="Text Box 2">
          <a:extLst xmlns:a="http://schemas.openxmlformats.org/drawingml/2006/main">
            <a:ext uri="{FF2B5EF4-FFF2-40B4-BE49-F238E27FC236}">
              <a16:creationId xmlns:a16="http://schemas.microsoft.com/office/drawing/2014/main" id="{513FF264-D4D8-4E8B-BFCC-718D09BEE15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7881" y="61003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Eutrophic zone</a:t>
          </a:r>
        </a:p>
      </cdr:txBody>
    </cdr:sp>
  </cdr:relSizeAnchor>
  <cdr:relSizeAnchor xmlns:cdr="http://schemas.openxmlformats.org/drawingml/2006/chartDrawing">
    <cdr:from>
      <cdr:x>0.49607</cdr:x>
      <cdr:y>0.5092</cdr:y>
    </cdr:from>
    <cdr:to>
      <cdr:x>0.49607</cdr:x>
      <cdr:y>0.5092</cdr:y>
    </cdr:to>
    <cdr:sp macro="" textlink="">
      <cdr:nvSpPr>
        <cdr:cNvPr id="6147" name="Text Box 3">
          <a:extLst xmlns:a="http://schemas.openxmlformats.org/drawingml/2006/main">
            <a:ext uri="{FF2B5EF4-FFF2-40B4-BE49-F238E27FC236}">
              <a16:creationId xmlns:a16="http://schemas.microsoft.com/office/drawing/2014/main" id="{ABB78786-973E-4A11-B25A-7175E6A636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7881" y="153096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Mesotrophic zone</a:t>
          </a:r>
        </a:p>
      </cdr:txBody>
    </cdr:sp>
  </cdr:relSizeAnchor>
  <cdr:relSizeAnchor xmlns:cdr="http://schemas.openxmlformats.org/drawingml/2006/chartDrawing">
    <cdr:from>
      <cdr:x>0.48698</cdr:x>
      <cdr:y>0.65976</cdr:y>
    </cdr:from>
    <cdr:to>
      <cdr:x>0.48698</cdr:x>
      <cdr:y>0.65976</cdr:y>
    </cdr:to>
    <cdr:sp macro="" textlink="">
      <cdr:nvSpPr>
        <cdr:cNvPr id="6148" name="Text Box 4">
          <a:extLst xmlns:a="http://schemas.openxmlformats.org/drawingml/2006/main">
            <a:ext uri="{FF2B5EF4-FFF2-40B4-BE49-F238E27FC236}">
              <a16:creationId xmlns:a16="http://schemas.microsoft.com/office/drawing/2014/main" id="{7DE2DE22-F3E4-4B48-8FC8-0941ACF79BF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07396" y="198270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Oligotropic zone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219075</xdr:colOff>
      <xdr:row>53</xdr:row>
      <xdr:rowOff>106681</xdr:rowOff>
    </xdr:from>
    <xdr:to>
      <xdr:col>41</xdr:col>
      <xdr:colOff>228600</xdr:colOff>
      <xdr:row>67</xdr:row>
      <xdr:rowOff>44451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200025</xdr:colOff>
      <xdr:row>33</xdr:row>
      <xdr:rowOff>57150</xdr:rowOff>
    </xdr:from>
    <xdr:to>
      <xdr:col>45</xdr:col>
      <xdr:colOff>203200</xdr:colOff>
      <xdr:row>52</xdr:row>
      <xdr:rowOff>142875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0.32385</cdr:x>
      <cdr:y>0.5757</cdr:y>
    </cdr:from>
    <cdr:to>
      <cdr:x>0.32385</cdr:x>
      <cdr:y>0.5757</cdr:y>
    </cdr:to>
    <cdr:sp macro="" textlink="">
      <cdr:nvSpPr>
        <cdr:cNvPr id="10241" name="Text Box 1">
          <a:extLst xmlns:a="http://schemas.openxmlformats.org/drawingml/2006/main">
            <a:ext uri="{FF2B5EF4-FFF2-40B4-BE49-F238E27FC236}">
              <a16:creationId xmlns:a16="http://schemas.microsoft.com/office/drawing/2014/main" id="{DE1C76F6-1A0C-4AE1-A151-8851E6B67B5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0350" y="186209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Mesotrophic/Eutrophic Boundary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ssell/Documents/Bear%20Creek%20Association/Watershed%202009/2009%20Bear%20Creek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Trophic"/>
      <sheetName val="Annual Reservoir Trends"/>
      <sheetName val="Nitrate Trends"/>
      <sheetName val="Phosphorus Trends"/>
      <sheetName val="Loading"/>
      <sheetName val="Carlson"/>
      <sheetName val="Walker"/>
      <sheetName val="Monthly Discharge"/>
      <sheetName val="Temperature"/>
      <sheetName val="Conductance"/>
      <sheetName val="pH"/>
      <sheetName val="Oxygen"/>
      <sheetName val="T &amp; Diss Phosphorus"/>
      <sheetName val="Nitrate &amp; T Nitrogen"/>
      <sheetName val="TSS"/>
      <sheetName val="Chlsecchi"/>
      <sheetName val="Phytoplankton"/>
      <sheetName val="Monthly Chemistry"/>
      <sheetName val="1-26-09"/>
      <sheetName val="2-23-09"/>
      <sheetName val="3-16-09"/>
      <sheetName val="4-27-09"/>
      <sheetName val="Aeration Tests"/>
      <sheetName val="5-18-09"/>
      <sheetName val="6-22-09"/>
      <sheetName val="7-6-09"/>
      <sheetName val="7-20-09"/>
      <sheetName val="8-3-09"/>
      <sheetName val="8-17-09"/>
      <sheetName val="9-16-09"/>
      <sheetName val="9-28-09"/>
      <sheetName val="10-19-09"/>
      <sheetName val="11-16-09"/>
      <sheetName val="12-14-09"/>
      <sheetName val="Field Sheet"/>
      <sheetName val="Temp DO Comp"/>
      <sheetName val="Aeartion Log"/>
      <sheetName val="Flow"/>
      <sheetName val="Fishery Data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Turkey Creek Inflow</v>
          </cell>
        </row>
        <row r="5">
          <cell r="A5" t="str">
            <v>Bear Creek Inflow</v>
          </cell>
        </row>
      </sheetData>
      <sheetData sheetId="5"/>
      <sheetData sheetId="6">
        <row r="2">
          <cell r="X2">
            <v>1988</v>
          </cell>
        </row>
      </sheetData>
      <sheetData sheetId="7">
        <row r="23">
          <cell r="B23" t="str">
            <v>Jan</v>
          </cell>
          <cell r="C23" t="str">
            <v>Feb</v>
          </cell>
          <cell r="D23" t="str">
            <v>Mar</v>
          </cell>
          <cell r="E23" t="str">
            <v>Apr</v>
          </cell>
          <cell r="F23" t="str">
            <v>May</v>
          </cell>
          <cell r="G23" t="str">
            <v>Jun</v>
          </cell>
          <cell r="H23" t="str">
            <v>Jul</v>
          </cell>
          <cell r="I23" t="str">
            <v>Aug</v>
          </cell>
          <cell r="J23" t="str">
            <v>Sep</v>
          </cell>
          <cell r="K23" t="str">
            <v>Oct</v>
          </cell>
          <cell r="L23" t="str">
            <v>Nov</v>
          </cell>
          <cell r="M23" t="str">
            <v>Dec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opLeftCell="A34" workbookViewId="0">
      <selection activeCell="B41" sqref="B41"/>
    </sheetView>
  </sheetViews>
  <sheetFormatPr defaultRowHeight="14"/>
  <cols>
    <col min="1" max="1" width="61.08984375" bestFit="1" customWidth="1"/>
    <col min="2" max="2" width="21.26953125" bestFit="1" customWidth="1"/>
  </cols>
  <sheetData>
    <row r="1" spans="1:2" ht="15">
      <c r="A1" s="2905" t="s">
        <v>1730</v>
      </c>
      <c r="B1" s="2905"/>
    </row>
    <row r="2" spans="1:2">
      <c r="A2" s="2908" t="s">
        <v>282</v>
      </c>
      <c r="B2" s="2908"/>
    </row>
    <row r="3" spans="1:2" ht="15">
      <c r="A3" s="1818" t="s">
        <v>420</v>
      </c>
      <c r="B3" s="1819" t="s">
        <v>6</v>
      </c>
    </row>
    <row r="4" spans="1:2">
      <c r="A4" s="2903" t="s">
        <v>398</v>
      </c>
      <c r="B4" s="2903"/>
    </row>
    <row r="5" spans="1:2" ht="14.25" customHeight="1">
      <c r="A5" s="138" t="s">
        <v>280</v>
      </c>
      <c r="B5" s="139">
        <v>14.6</v>
      </c>
    </row>
    <row r="6" spans="1:2">
      <c r="A6" s="138" t="s">
        <v>281</v>
      </c>
      <c r="B6" s="139">
        <v>16.399999999999999</v>
      </c>
    </row>
    <row r="7" spans="1:2">
      <c r="A7" s="106" t="s">
        <v>7</v>
      </c>
      <c r="B7" s="139">
        <v>44.5</v>
      </c>
    </row>
    <row r="8" spans="1:2">
      <c r="A8" s="2903" t="s">
        <v>64</v>
      </c>
      <c r="B8" s="2903"/>
    </row>
    <row r="9" spans="1:2" ht="19.5" customHeight="1">
      <c r="A9" s="106" t="s">
        <v>279</v>
      </c>
      <c r="B9" s="298">
        <v>44.6</v>
      </c>
    </row>
    <row r="10" spans="1:2">
      <c r="A10" s="106" t="s">
        <v>276</v>
      </c>
      <c r="B10" s="1817">
        <v>41.4</v>
      </c>
    </row>
    <row r="11" spans="1:2">
      <c r="A11" s="106" t="s">
        <v>277</v>
      </c>
      <c r="B11" s="1817">
        <v>47.9</v>
      </c>
    </row>
    <row r="12" spans="1:2">
      <c r="A12" s="106" t="s">
        <v>278</v>
      </c>
      <c r="B12" s="1817">
        <v>61.8</v>
      </c>
    </row>
    <row r="13" spans="1:2">
      <c r="A13" s="106" t="s">
        <v>274</v>
      </c>
      <c r="B13" s="1817">
        <v>56.5</v>
      </c>
    </row>
    <row r="14" spans="1:2">
      <c r="A14" s="106" t="s">
        <v>275</v>
      </c>
      <c r="B14" s="1817">
        <v>67.2</v>
      </c>
    </row>
    <row r="15" spans="1:2">
      <c r="A15" s="106" t="s">
        <v>271</v>
      </c>
      <c r="B15" s="1817">
        <v>82.5</v>
      </c>
    </row>
    <row r="16" spans="1:2">
      <c r="A16" s="2903" t="s">
        <v>181</v>
      </c>
      <c r="B16" s="2904"/>
    </row>
    <row r="17" spans="1:6">
      <c r="A17" s="106" t="s">
        <v>273</v>
      </c>
      <c r="B17" s="229">
        <v>810</v>
      </c>
    </row>
    <row r="18" spans="1:6">
      <c r="A18" s="106" t="s">
        <v>269</v>
      </c>
      <c r="B18" s="229">
        <v>800</v>
      </c>
    </row>
    <row r="19" spans="1:6">
      <c r="A19" s="106" t="s">
        <v>270</v>
      </c>
      <c r="B19" s="229">
        <v>820</v>
      </c>
    </row>
    <row r="20" spans="1:6">
      <c r="A20" s="106" t="s">
        <v>283</v>
      </c>
      <c r="B20" s="229">
        <v>1219</v>
      </c>
    </row>
    <row r="21" spans="1:6">
      <c r="A21" s="106" t="s">
        <v>284</v>
      </c>
      <c r="B21" s="229">
        <v>1170</v>
      </c>
    </row>
    <row r="22" spans="1:6">
      <c r="A22" s="106" t="s">
        <v>285</v>
      </c>
      <c r="B22" s="229">
        <v>1267</v>
      </c>
    </row>
    <row r="23" spans="1:6">
      <c r="A23" s="2903" t="s">
        <v>399</v>
      </c>
      <c r="B23" s="2904"/>
    </row>
    <row r="24" spans="1:6">
      <c r="A24" s="106" t="s">
        <v>134</v>
      </c>
      <c r="B24" s="268">
        <v>1.54</v>
      </c>
    </row>
    <row r="25" spans="1:6">
      <c r="A25" s="106" t="s">
        <v>286</v>
      </c>
      <c r="B25" s="268">
        <v>1.21</v>
      </c>
    </row>
    <row r="26" spans="1:6">
      <c r="A26" s="2903" t="s">
        <v>400</v>
      </c>
      <c r="B26" s="2903"/>
      <c r="D26" s="41"/>
      <c r="E26" s="41"/>
      <c r="F26" s="41"/>
    </row>
    <row r="27" spans="1:6">
      <c r="A27" s="128" t="s">
        <v>401</v>
      </c>
      <c r="B27" s="556">
        <v>9.11</v>
      </c>
      <c r="D27" s="579"/>
      <c r="E27" s="579"/>
      <c r="F27" s="579"/>
    </row>
    <row r="28" spans="1:6">
      <c r="A28" s="128" t="s">
        <v>403</v>
      </c>
      <c r="B28" s="556">
        <v>7.42</v>
      </c>
      <c r="D28" s="41"/>
      <c r="E28" s="41"/>
      <c r="F28" s="41"/>
    </row>
    <row r="29" spans="1:6">
      <c r="A29" s="128" t="s">
        <v>402</v>
      </c>
      <c r="B29" s="556">
        <v>6.16</v>
      </c>
    </row>
    <row r="30" spans="1:6">
      <c r="A30" s="2903" t="s">
        <v>139</v>
      </c>
      <c r="B30" s="2903"/>
    </row>
    <row r="31" spans="1:6">
      <c r="A31" s="128" t="s">
        <v>401</v>
      </c>
      <c r="B31" s="268">
        <v>8.25</v>
      </c>
    </row>
    <row r="32" spans="1:6">
      <c r="A32" s="128" t="s">
        <v>403</v>
      </c>
      <c r="B32" s="268">
        <v>8.2799999999999994</v>
      </c>
    </row>
    <row r="33" spans="1:6">
      <c r="A33" s="128" t="s">
        <v>552</v>
      </c>
      <c r="B33" s="268">
        <v>8.56</v>
      </c>
    </row>
    <row r="34" spans="1:6">
      <c r="A34" s="2901" t="s">
        <v>404</v>
      </c>
      <c r="B34" s="2902"/>
    </row>
    <row r="35" spans="1:6">
      <c r="A35" s="128" t="s">
        <v>405</v>
      </c>
      <c r="B35" s="139">
        <v>610</v>
      </c>
    </row>
    <row r="36" spans="1:6">
      <c r="A36" s="128" t="s">
        <v>406</v>
      </c>
      <c r="B36" s="139">
        <v>626</v>
      </c>
    </row>
    <row r="37" spans="1:6">
      <c r="A37" s="128" t="s">
        <v>407</v>
      </c>
      <c r="B37" s="139">
        <v>668</v>
      </c>
    </row>
    <row r="38" spans="1:6">
      <c r="A38" s="2903" t="s">
        <v>118</v>
      </c>
      <c r="B38" s="2903"/>
    </row>
    <row r="39" spans="1:6">
      <c r="A39" s="2906" t="s">
        <v>1818</v>
      </c>
      <c r="B39" s="2896" t="s">
        <v>1383</v>
      </c>
    </row>
    <row r="40" spans="1:6">
      <c r="A40" s="2907"/>
      <c r="B40" s="2896" t="s">
        <v>1817</v>
      </c>
    </row>
    <row r="41" spans="1:6">
      <c r="A41" s="2907"/>
      <c r="B41" s="2896" t="s">
        <v>1007</v>
      </c>
    </row>
    <row r="42" spans="1:6">
      <c r="A42" s="2907"/>
      <c r="B42" s="2896" t="s">
        <v>1005</v>
      </c>
    </row>
    <row r="43" spans="1:6">
      <c r="A43" s="2907"/>
      <c r="B43" s="2896" t="s">
        <v>1787</v>
      </c>
    </row>
    <row r="44" spans="1:6">
      <c r="A44" s="2907"/>
      <c r="B44" s="2897" t="s">
        <v>1006</v>
      </c>
    </row>
    <row r="45" spans="1:6">
      <c r="A45" s="2907"/>
      <c r="B45" s="2896" t="s">
        <v>1790</v>
      </c>
    </row>
    <row r="46" spans="1:6" s="358" customFormat="1">
      <c r="A46" s="2907"/>
      <c r="B46" s="2896" t="s">
        <v>1384</v>
      </c>
    </row>
    <row r="47" spans="1:6">
      <c r="A47" s="2907"/>
      <c r="B47" s="2897" t="s">
        <v>1385</v>
      </c>
      <c r="E47" s="43"/>
      <c r="F47" s="43"/>
    </row>
    <row r="48" spans="1:6">
      <c r="A48" s="2903" t="s">
        <v>421</v>
      </c>
      <c r="B48" s="2903"/>
    </row>
    <row r="49" spans="1:6">
      <c r="A49" s="1816" t="s">
        <v>1006</v>
      </c>
      <c r="B49" s="179" t="s">
        <v>1819</v>
      </c>
      <c r="D49" s="733"/>
      <c r="E49" s="733"/>
      <c r="F49" s="2898"/>
    </row>
    <row r="50" spans="1:6" ht="25.5">
      <c r="A50" s="1816" t="s">
        <v>1006</v>
      </c>
      <c r="B50" s="771" t="s">
        <v>1820</v>
      </c>
    </row>
    <row r="51" spans="1:6">
      <c r="A51" s="2901" t="s">
        <v>419</v>
      </c>
      <c r="B51" s="2902"/>
    </row>
    <row r="52" spans="1:6">
      <c r="A52" s="177" t="s">
        <v>413</v>
      </c>
      <c r="B52" s="426">
        <v>18249</v>
      </c>
    </row>
    <row r="53" spans="1:6">
      <c r="A53" s="177" t="s">
        <v>414</v>
      </c>
      <c r="B53" s="426">
        <v>15538</v>
      </c>
    </row>
    <row r="54" spans="1:6">
      <c r="A54" s="177" t="s">
        <v>415</v>
      </c>
      <c r="B54" s="426">
        <v>2712</v>
      </c>
    </row>
    <row r="55" spans="1:6">
      <c r="A55" s="177" t="s">
        <v>416</v>
      </c>
      <c r="B55" s="426">
        <v>741</v>
      </c>
    </row>
    <row r="56" spans="1:6">
      <c r="A56" s="177" t="s">
        <v>417</v>
      </c>
      <c r="B56" s="426">
        <v>409</v>
      </c>
    </row>
    <row r="57" spans="1:6">
      <c r="A57" s="177" t="s">
        <v>418</v>
      </c>
      <c r="B57" s="426">
        <v>332</v>
      </c>
    </row>
  </sheetData>
  <mergeCells count="13">
    <mergeCell ref="A51:B51"/>
    <mergeCell ref="A48:B48"/>
    <mergeCell ref="A23:B23"/>
    <mergeCell ref="A38:B38"/>
    <mergeCell ref="A1:B1"/>
    <mergeCell ref="A4:B4"/>
    <mergeCell ref="A8:B8"/>
    <mergeCell ref="A16:B16"/>
    <mergeCell ref="A39:A47"/>
    <mergeCell ref="A2:B2"/>
    <mergeCell ref="A26:B26"/>
    <mergeCell ref="A30:B30"/>
    <mergeCell ref="A34:B34"/>
  </mergeCells>
  <phoneticPr fontId="10" type="noConversion"/>
  <pageMargins left="0.5" right="0.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>
    <tabColor rgb="FF92D050"/>
    <pageSetUpPr fitToPage="1"/>
  </sheetPr>
  <dimension ref="A1:S79"/>
  <sheetViews>
    <sheetView zoomScale="75" zoomScaleNormal="75" workbookViewId="0">
      <selection activeCell="B5" sqref="B5:P5"/>
    </sheetView>
  </sheetViews>
  <sheetFormatPr defaultRowHeight="14"/>
  <cols>
    <col min="1" max="1" width="25.26953125" style="1" bestFit="1" customWidth="1"/>
    <col min="2" max="2" width="5.1796875" style="1" bestFit="1" customWidth="1"/>
    <col min="3" max="3" width="6.36328125" style="1" bestFit="1" customWidth="1"/>
    <col min="4" max="4" width="6.7265625" style="1" bestFit="1" customWidth="1"/>
    <col min="5" max="5" width="5.453125" bestFit="1" customWidth="1"/>
    <col min="6" max="6" width="6.90625" bestFit="1" customWidth="1"/>
    <col min="7" max="7" width="6.26953125" bestFit="1" customWidth="1"/>
    <col min="8" max="8" width="5.36328125" bestFit="1" customWidth="1"/>
    <col min="9" max="9" width="5.81640625" bestFit="1" customWidth="1"/>
    <col min="10" max="10" width="5.6328125" bestFit="1" customWidth="1"/>
    <col min="11" max="11" width="6.6328125" bestFit="1" customWidth="1"/>
    <col min="12" max="14" width="6.26953125" bestFit="1" customWidth="1"/>
    <col min="15" max="15" width="5.6328125" bestFit="1" customWidth="1"/>
    <col min="16" max="16" width="6.54296875" style="358" bestFit="1" customWidth="1"/>
    <col min="17" max="17" width="9" customWidth="1"/>
    <col min="18" max="18" width="5.36328125" bestFit="1" customWidth="1"/>
    <col min="19" max="19" width="9.453125" customWidth="1"/>
    <col min="20" max="20" width="9.6328125" customWidth="1"/>
    <col min="21" max="21" width="10.90625" bestFit="1" customWidth="1"/>
    <col min="22" max="22" width="9.90625" bestFit="1" customWidth="1"/>
    <col min="23" max="23" width="10.36328125" bestFit="1" customWidth="1"/>
    <col min="24" max="24" width="10.90625" bestFit="1" customWidth="1"/>
    <col min="25" max="25" width="11.08984375" bestFit="1" customWidth="1"/>
    <col min="26" max="26" width="11.36328125" customWidth="1"/>
    <col min="27" max="27" width="11" customWidth="1"/>
    <col min="28" max="28" width="10.453125" customWidth="1"/>
    <col min="29" max="29" width="12.54296875" customWidth="1"/>
    <col min="30" max="30" width="10.90625" bestFit="1" customWidth="1"/>
  </cols>
  <sheetData>
    <row r="1" spans="1:19" s="1" customFormat="1" ht="17.5">
      <c r="A1" s="2928" t="s">
        <v>244</v>
      </c>
      <c r="B1" s="2928"/>
      <c r="C1" s="2928"/>
      <c r="D1" s="2928"/>
      <c r="E1" s="2928"/>
      <c r="F1" s="2928"/>
      <c r="G1" s="2928"/>
      <c r="H1" s="2928"/>
      <c r="I1" s="2928"/>
      <c r="J1" s="2928"/>
      <c r="K1" s="2928"/>
      <c r="L1" s="2928"/>
      <c r="M1" s="2928"/>
      <c r="N1" s="2928"/>
      <c r="O1" s="2928"/>
      <c r="P1" s="1358"/>
    </row>
    <row r="2" spans="1:19" s="6" customFormat="1" ht="26">
      <c r="A2" s="51"/>
      <c r="B2" s="2842">
        <v>43108</v>
      </c>
      <c r="C2" s="2842">
        <v>43143</v>
      </c>
      <c r="D2" s="2842">
        <v>43178</v>
      </c>
      <c r="E2" s="2842">
        <v>43199</v>
      </c>
      <c r="F2" s="2842">
        <v>43234</v>
      </c>
      <c r="G2" s="2842">
        <v>43262</v>
      </c>
      <c r="H2" s="2842">
        <v>43290</v>
      </c>
      <c r="I2" s="2842">
        <v>43297</v>
      </c>
      <c r="J2" s="2842">
        <v>43319</v>
      </c>
      <c r="K2" s="2842">
        <v>43325</v>
      </c>
      <c r="L2" s="2842">
        <v>43353</v>
      </c>
      <c r="M2" s="2842">
        <v>43369</v>
      </c>
      <c r="N2" s="2842">
        <v>43388</v>
      </c>
      <c r="O2" s="2842">
        <v>43409</v>
      </c>
      <c r="P2" s="2842">
        <v>43444</v>
      </c>
      <c r="Q2" s="52" t="s">
        <v>85</v>
      </c>
      <c r="R2" s="53" t="s">
        <v>77</v>
      </c>
      <c r="S2" s="53" t="s">
        <v>103</v>
      </c>
    </row>
    <row r="3" spans="1:19" s="2" customFormat="1">
      <c r="A3" s="552" t="s">
        <v>301</v>
      </c>
      <c r="B3" s="318">
        <v>2.4</v>
      </c>
      <c r="C3" s="318">
        <v>0.6</v>
      </c>
      <c r="D3" s="318">
        <v>3.2</v>
      </c>
      <c r="E3" s="318">
        <v>6.4</v>
      </c>
      <c r="F3" s="318">
        <v>10.8</v>
      </c>
      <c r="G3" s="318">
        <v>13.1</v>
      </c>
      <c r="H3" s="318">
        <v>20.8</v>
      </c>
      <c r="I3" s="318">
        <v>20.8</v>
      </c>
      <c r="J3" s="105">
        <v>15.9</v>
      </c>
      <c r="K3" s="318">
        <v>20.7</v>
      </c>
      <c r="L3" s="318">
        <v>14.3</v>
      </c>
      <c r="M3" s="318">
        <v>15.5</v>
      </c>
      <c r="N3" s="318">
        <v>3.8</v>
      </c>
      <c r="O3" s="318">
        <v>5.2</v>
      </c>
      <c r="P3" s="1512">
        <v>0.6</v>
      </c>
      <c r="Q3" s="1624">
        <f>AVERAGE(B3:P3)</f>
        <v>10.273333333333333</v>
      </c>
      <c r="R3" s="1623">
        <f>MAX(B3:P3)</f>
        <v>20.8</v>
      </c>
      <c r="S3" s="1623">
        <f>AVERAGE(H3:M3)</f>
        <v>18</v>
      </c>
    </row>
    <row r="4" spans="1:19" s="2" customFormat="1">
      <c r="A4" s="553" t="s">
        <v>302</v>
      </c>
      <c r="B4" s="318">
        <v>7.0000000000000007E-2</v>
      </c>
      <c r="C4" s="318">
        <v>-0.1</v>
      </c>
      <c r="D4" s="318">
        <v>2.6</v>
      </c>
      <c r="E4" s="318">
        <v>6.4</v>
      </c>
      <c r="F4" s="318">
        <v>12.1</v>
      </c>
      <c r="G4" s="318">
        <v>15.3</v>
      </c>
      <c r="H4" s="318">
        <v>19.100000000000001</v>
      </c>
      <c r="I4" s="318">
        <v>16.8</v>
      </c>
      <c r="J4" s="105">
        <v>17.5</v>
      </c>
      <c r="K4" s="318">
        <v>15.8</v>
      </c>
      <c r="L4" s="318">
        <v>14.4</v>
      </c>
      <c r="M4" s="318">
        <v>9.6999999999999993</v>
      </c>
      <c r="N4" s="318">
        <v>1.2</v>
      </c>
      <c r="O4" s="318">
        <v>4.2</v>
      </c>
      <c r="P4" s="1512">
        <v>1.7</v>
      </c>
      <c r="Q4" s="1624">
        <f>AVERAGE(B4:P4)</f>
        <v>9.1179999999999986</v>
      </c>
      <c r="R4" s="1623">
        <f>MAX(B4:P4)</f>
        <v>19.100000000000001</v>
      </c>
      <c r="S4" s="1623">
        <f>AVERAGE(H4:M4)</f>
        <v>15.550000000000002</v>
      </c>
    </row>
    <row r="5" spans="1:19" s="2" customFormat="1">
      <c r="A5" s="553" t="s">
        <v>303</v>
      </c>
      <c r="B5" s="318">
        <v>4.2</v>
      </c>
      <c r="C5" s="318">
        <v>4</v>
      </c>
      <c r="D5" s="318">
        <v>8.1</v>
      </c>
      <c r="E5" s="318">
        <v>10.199999999999999</v>
      </c>
      <c r="F5" s="318">
        <v>15.9</v>
      </c>
      <c r="G5" s="318">
        <v>20</v>
      </c>
      <c r="H5" s="318">
        <v>23.2</v>
      </c>
      <c r="I5" s="318">
        <v>21.2</v>
      </c>
      <c r="J5" s="105">
        <v>23</v>
      </c>
      <c r="K5" s="318">
        <v>23.3</v>
      </c>
      <c r="L5" s="318">
        <v>20.8</v>
      </c>
      <c r="M5" s="318">
        <v>18.7</v>
      </c>
      <c r="N5" s="318">
        <v>11.7</v>
      </c>
      <c r="O5" s="318">
        <v>9.1</v>
      </c>
      <c r="P5" s="1512">
        <v>3.7</v>
      </c>
      <c r="Q5" s="1624">
        <f>AVERAGE(B5:P5)</f>
        <v>14.473333333333333</v>
      </c>
      <c r="R5" s="1623">
        <f>MAX(B5:P5)</f>
        <v>23.3</v>
      </c>
      <c r="S5" s="1623">
        <f>AVERAGE(H5:M5)</f>
        <v>21.7</v>
      </c>
    </row>
    <row r="6" spans="1:19" s="2" customFormat="1">
      <c r="A6" s="553" t="s">
        <v>883</v>
      </c>
      <c r="B6" s="318">
        <v>3.3</v>
      </c>
      <c r="C6" s="318">
        <v>2.4</v>
      </c>
      <c r="D6" s="318">
        <v>7.4</v>
      </c>
      <c r="E6" s="318">
        <v>11</v>
      </c>
      <c r="F6" s="318">
        <v>16.600000000000001</v>
      </c>
      <c r="G6" s="318">
        <v>19.8</v>
      </c>
      <c r="H6" s="318">
        <v>23.1</v>
      </c>
      <c r="I6" s="318">
        <v>22.5</v>
      </c>
      <c r="J6" s="105">
        <v>23</v>
      </c>
      <c r="K6" s="318">
        <v>20</v>
      </c>
      <c r="L6" s="318">
        <v>20.3</v>
      </c>
      <c r="M6" s="318">
        <v>14.5</v>
      </c>
      <c r="N6" s="318">
        <v>7.8</v>
      </c>
      <c r="O6" s="318">
        <v>8</v>
      </c>
      <c r="P6" s="1512">
        <v>0.4</v>
      </c>
      <c r="Q6" s="1624">
        <f>AVERAGE(B6:P6)</f>
        <v>13.340000000000002</v>
      </c>
      <c r="R6" s="1623">
        <f>MAX(B6:P6)</f>
        <v>23.1</v>
      </c>
      <c r="S6" s="1623">
        <f>AVERAGE(H6:M6)</f>
        <v>20.566666666666666</v>
      </c>
    </row>
    <row r="7" spans="1:19" s="2" customFormat="1" ht="15" customHeight="1">
      <c r="A7" s="2956" t="s">
        <v>295</v>
      </c>
      <c r="B7" s="2957"/>
      <c r="C7" s="2957"/>
      <c r="D7" s="2957"/>
      <c r="E7" s="2957"/>
      <c r="F7" s="2957"/>
      <c r="G7" s="2957"/>
      <c r="H7" s="2957"/>
      <c r="I7" s="2957"/>
      <c r="J7" s="2957"/>
      <c r="K7" s="2957"/>
      <c r="L7" s="2957"/>
      <c r="M7" s="2957"/>
      <c r="N7" s="2957"/>
      <c r="O7" s="2957"/>
      <c r="P7" s="2957"/>
      <c r="Q7" s="2957"/>
      <c r="R7" s="2957"/>
      <c r="S7" s="2958"/>
    </row>
    <row r="8" spans="1:19" s="2" customFormat="1">
      <c r="A8" s="212" t="s">
        <v>239</v>
      </c>
      <c r="B8" s="318">
        <v>4.3</v>
      </c>
      <c r="C8" s="318">
        <v>2.9</v>
      </c>
      <c r="D8" s="318">
        <v>6.9</v>
      </c>
      <c r="E8" s="318">
        <v>9.5</v>
      </c>
      <c r="F8" s="318">
        <v>16.100000000000001</v>
      </c>
      <c r="G8" s="318">
        <v>18.2</v>
      </c>
      <c r="H8" s="318">
        <v>23.1</v>
      </c>
      <c r="I8" s="318">
        <v>24.2</v>
      </c>
      <c r="J8" s="356">
        <v>22.5</v>
      </c>
      <c r="K8" s="318">
        <v>22.7</v>
      </c>
      <c r="L8" s="318">
        <v>19.5</v>
      </c>
      <c r="M8" s="318">
        <v>18</v>
      </c>
      <c r="N8" s="318">
        <v>10.9</v>
      </c>
      <c r="O8" s="318">
        <v>8.9</v>
      </c>
      <c r="P8" s="1512">
        <v>3.3</v>
      </c>
      <c r="Q8" s="1624">
        <f>AVERAGE(B8:P8)</f>
        <v>14.066666666666668</v>
      </c>
      <c r="R8" s="1623">
        <f>MAX(B8:P8)</f>
        <v>24.2</v>
      </c>
      <c r="S8" s="1623">
        <f t="shared" ref="S8:S21" si="0">AVERAGE(H8:M8)</f>
        <v>21.666666666666668</v>
      </c>
    </row>
    <row r="9" spans="1:19" s="2" customFormat="1">
      <c r="A9" s="212" t="s">
        <v>140</v>
      </c>
      <c r="B9" s="318">
        <v>4.2</v>
      </c>
      <c r="C9" s="318">
        <v>3.8</v>
      </c>
      <c r="D9" s="318">
        <v>6.9</v>
      </c>
      <c r="E9" s="318">
        <v>9.5</v>
      </c>
      <c r="F9" s="318">
        <v>15.7</v>
      </c>
      <c r="G9" s="318">
        <v>19.2</v>
      </c>
      <c r="H9" s="318">
        <v>22.7</v>
      </c>
      <c r="I9" s="318">
        <v>23.3</v>
      </c>
      <c r="J9" s="356">
        <v>22.2</v>
      </c>
      <c r="K9" s="318">
        <v>22.5</v>
      </c>
      <c r="L9" s="318">
        <v>19.5</v>
      </c>
      <c r="M9" s="318">
        <v>18.100000000000001</v>
      </c>
      <c r="N9" s="318">
        <v>10.9</v>
      </c>
      <c r="O9" s="318">
        <v>8.9</v>
      </c>
      <c r="P9" s="1512">
        <v>2.7</v>
      </c>
      <c r="Q9" s="1624">
        <f>AVERAGE(B9:P9)</f>
        <v>14.006666666666666</v>
      </c>
      <c r="R9" s="1623">
        <f t="shared" ref="R9:R21" si="1">MAX(B9:P9)</f>
        <v>23.3</v>
      </c>
      <c r="S9" s="1623">
        <f t="shared" si="0"/>
        <v>21.383333333333336</v>
      </c>
    </row>
    <row r="10" spans="1:19" s="2" customFormat="1">
      <c r="A10" s="212" t="s">
        <v>240</v>
      </c>
      <c r="B10" s="318">
        <v>4.5</v>
      </c>
      <c r="C10" s="318">
        <v>4.5</v>
      </c>
      <c r="D10" s="318">
        <v>6.7</v>
      </c>
      <c r="E10" s="318">
        <v>9.6</v>
      </c>
      <c r="F10" s="318">
        <v>15.5</v>
      </c>
      <c r="G10" s="318">
        <v>19.2</v>
      </c>
      <c r="H10" s="318">
        <v>22.7</v>
      </c>
      <c r="I10" s="318">
        <v>23.2</v>
      </c>
      <c r="J10" s="356">
        <v>22.1</v>
      </c>
      <c r="K10" s="318">
        <v>22.4</v>
      </c>
      <c r="L10" s="318">
        <v>19.399999999999999</v>
      </c>
      <c r="M10" s="318">
        <v>18.100000000000001</v>
      </c>
      <c r="N10" s="318">
        <v>10.9</v>
      </c>
      <c r="O10" s="318">
        <v>8.9</v>
      </c>
      <c r="P10" s="1512">
        <v>2.8</v>
      </c>
      <c r="Q10" s="1624">
        <f>AVERAGE(B10:P10)</f>
        <v>14.033333333333335</v>
      </c>
      <c r="R10" s="1623">
        <f t="shared" si="1"/>
        <v>23.2</v>
      </c>
      <c r="S10" s="1623">
        <f t="shared" si="0"/>
        <v>21.316666666666666</v>
      </c>
    </row>
    <row r="11" spans="1:19" s="2" customFormat="1">
      <c r="A11" s="212" t="s">
        <v>141</v>
      </c>
      <c r="B11" s="318">
        <v>4.7</v>
      </c>
      <c r="C11" s="318">
        <v>5</v>
      </c>
      <c r="D11" s="318">
        <v>6.6</v>
      </c>
      <c r="E11" s="318">
        <v>9.5</v>
      </c>
      <c r="F11" s="318">
        <v>15.2</v>
      </c>
      <c r="G11" s="318">
        <v>19.100000000000001</v>
      </c>
      <c r="H11" s="1625">
        <v>22.6</v>
      </c>
      <c r="I11" s="318">
        <v>23.1</v>
      </c>
      <c r="J11" s="356">
        <v>22</v>
      </c>
      <c r="K11" s="318">
        <v>22.4</v>
      </c>
      <c r="L11" s="318">
        <v>19.399999999999999</v>
      </c>
      <c r="M11" s="318">
        <v>18.100000000000001</v>
      </c>
      <c r="N11" s="318">
        <v>10.8</v>
      </c>
      <c r="O11" s="318">
        <v>8.9</v>
      </c>
      <c r="P11" s="1512">
        <v>2.9</v>
      </c>
      <c r="Q11" s="1624">
        <f>AVERAGE(B11:P11)</f>
        <v>14.020000000000003</v>
      </c>
      <c r="R11" s="1623">
        <f t="shared" si="1"/>
        <v>23.1</v>
      </c>
      <c r="S11" s="1623">
        <f t="shared" si="0"/>
        <v>21.266666666666666</v>
      </c>
    </row>
    <row r="12" spans="1:19" s="2" customFormat="1">
      <c r="A12" s="212" t="s">
        <v>241</v>
      </c>
      <c r="B12" s="318">
        <v>4.9000000000000004</v>
      </c>
      <c r="C12" s="318">
        <v>5.3</v>
      </c>
      <c r="D12" s="318">
        <v>6.5</v>
      </c>
      <c r="E12" s="318">
        <v>9.4</v>
      </c>
      <c r="F12" s="318">
        <v>15</v>
      </c>
      <c r="G12" s="318">
        <v>18.899999999999999</v>
      </c>
      <c r="H12" s="318">
        <v>22.6</v>
      </c>
      <c r="I12" s="318">
        <v>23</v>
      </c>
      <c r="J12" s="356">
        <v>22</v>
      </c>
      <c r="K12" s="318">
        <v>22.4</v>
      </c>
      <c r="L12" s="318">
        <v>19.3</v>
      </c>
      <c r="M12" s="318">
        <v>18.100000000000001</v>
      </c>
      <c r="N12" s="318">
        <v>10.7</v>
      </c>
      <c r="O12" s="318">
        <v>8.9</v>
      </c>
      <c r="P12" s="1512">
        <v>3</v>
      </c>
      <c r="Q12" s="1624">
        <f>AVERAGE(B12:P12)</f>
        <v>14</v>
      </c>
      <c r="R12" s="1623">
        <f t="shared" si="1"/>
        <v>23</v>
      </c>
      <c r="S12" s="1623">
        <f t="shared" si="0"/>
        <v>21.233333333333334</v>
      </c>
    </row>
    <row r="13" spans="1:19" s="2" customFormat="1">
      <c r="A13" s="212" t="s">
        <v>142</v>
      </c>
      <c r="B13" s="318">
        <v>4.7</v>
      </c>
      <c r="C13" s="318">
        <v>5.3</v>
      </c>
      <c r="D13" s="318">
        <v>6.5</v>
      </c>
      <c r="E13" s="318">
        <v>9.4</v>
      </c>
      <c r="F13" s="318">
        <v>13.9</v>
      </c>
      <c r="G13" s="318">
        <v>18.899999999999999</v>
      </c>
      <c r="H13" s="318">
        <v>22.5</v>
      </c>
      <c r="I13" s="318">
        <v>23</v>
      </c>
      <c r="J13" s="356">
        <v>22</v>
      </c>
      <c r="K13" s="318">
        <v>22.4</v>
      </c>
      <c r="L13" s="318">
        <v>19.3</v>
      </c>
      <c r="M13" s="318">
        <v>18.100000000000001</v>
      </c>
      <c r="N13" s="318">
        <v>10.7</v>
      </c>
      <c r="O13" s="318">
        <v>8.8000000000000007</v>
      </c>
      <c r="P13" s="1512">
        <v>3</v>
      </c>
      <c r="Q13" s="1624">
        <f t="shared" ref="Q13:Q19" si="2">AVERAGE(B13:O13)</f>
        <v>14.678571428571429</v>
      </c>
      <c r="R13" s="1623">
        <f t="shared" si="1"/>
        <v>23</v>
      </c>
      <c r="S13" s="1623">
        <f t="shared" si="0"/>
        <v>21.216666666666669</v>
      </c>
    </row>
    <row r="14" spans="1:19" s="2" customFormat="1">
      <c r="A14" s="212" t="s">
        <v>242</v>
      </c>
      <c r="B14" s="318">
        <v>4.5999999999999996</v>
      </c>
      <c r="C14" s="318">
        <v>5.2</v>
      </c>
      <c r="D14" s="318">
        <v>6.5</v>
      </c>
      <c r="E14" s="318">
        <v>9.4</v>
      </c>
      <c r="F14" s="318">
        <v>13.1</v>
      </c>
      <c r="G14" s="318">
        <v>18.899999999999999</v>
      </c>
      <c r="H14" s="318">
        <v>22.5</v>
      </c>
      <c r="I14" s="318">
        <v>22.9</v>
      </c>
      <c r="J14" s="356">
        <v>21.9</v>
      </c>
      <c r="K14" s="318">
        <v>22.4</v>
      </c>
      <c r="L14" s="318">
        <v>19.3</v>
      </c>
      <c r="M14" s="318">
        <v>18.100000000000001</v>
      </c>
      <c r="N14" s="318">
        <v>10.7</v>
      </c>
      <c r="O14" s="318">
        <v>8.8000000000000007</v>
      </c>
      <c r="P14" s="1512">
        <v>3</v>
      </c>
      <c r="Q14" s="1624">
        <f t="shared" si="2"/>
        <v>14.592857142857143</v>
      </c>
      <c r="R14" s="1623">
        <f t="shared" si="1"/>
        <v>22.9</v>
      </c>
      <c r="S14" s="1623">
        <f t="shared" si="0"/>
        <v>21.183333333333334</v>
      </c>
    </row>
    <row r="15" spans="1:19" s="2" customFormat="1">
      <c r="A15" s="212" t="s">
        <v>143</v>
      </c>
      <c r="B15" s="318">
        <v>4.0999999999999996</v>
      </c>
      <c r="C15" s="318">
        <v>4.9000000000000004</v>
      </c>
      <c r="D15" s="318">
        <v>6.5</v>
      </c>
      <c r="E15" s="318">
        <v>9.4</v>
      </c>
      <c r="F15" s="318">
        <v>12.6</v>
      </c>
      <c r="G15" s="318">
        <v>18.899999999999999</v>
      </c>
      <c r="H15" s="318">
        <v>22.4</v>
      </c>
      <c r="I15" s="318">
        <v>22.9</v>
      </c>
      <c r="J15" s="356">
        <v>21.9</v>
      </c>
      <c r="K15" s="318">
        <v>22.4</v>
      </c>
      <c r="L15" s="318">
        <v>19.3</v>
      </c>
      <c r="M15" s="318">
        <v>18.100000000000001</v>
      </c>
      <c r="N15" s="318">
        <v>10.6</v>
      </c>
      <c r="O15" s="318">
        <v>8.8000000000000007</v>
      </c>
      <c r="P15" s="1512">
        <v>3.2</v>
      </c>
      <c r="Q15" s="1624">
        <f>AVERAGE(B15:P15)</f>
        <v>13.733333333333333</v>
      </c>
      <c r="R15" s="1623">
        <f t="shared" si="1"/>
        <v>22.9</v>
      </c>
      <c r="S15" s="1623">
        <f>AVERAGE(H15:M15)</f>
        <v>21.166666666666668</v>
      </c>
    </row>
    <row r="16" spans="1:19" s="2" customFormat="1">
      <c r="A16" s="212" t="s">
        <v>144</v>
      </c>
      <c r="B16" s="318">
        <v>4</v>
      </c>
      <c r="C16" s="318">
        <v>4.7</v>
      </c>
      <c r="D16" s="318">
        <v>6.5</v>
      </c>
      <c r="E16" s="318">
        <v>9.3000000000000007</v>
      </c>
      <c r="F16" s="318">
        <v>11.5</v>
      </c>
      <c r="G16" s="318">
        <v>18.8</v>
      </c>
      <c r="H16" s="318">
        <v>22.3</v>
      </c>
      <c r="I16" s="318">
        <v>22.8</v>
      </c>
      <c r="J16" s="356">
        <v>21.9</v>
      </c>
      <c r="K16" s="318">
        <v>22.4</v>
      </c>
      <c r="L16" s="318">
        <v>19.3</v>
      </c>
      <c r="M16" s="318">
        <v>18.100000000000001</v>
      </c>
      <c r="N16" s="318">
        <v>10.6</v>
      </c>
      <c r="O16" s="318">
        <v>8.8000000000000007</v>
      </c>
      <c r="P16" s="1512"/>
      <c r="Q16" s="1624">
        <f t="shared" si="2"/>
        <v>14.357142857142858</v>
      </c>
      <c r="R16" s="1623">
        <f t="shared" si="1"/>
        <v>22.8</v>
      </c>
      <c r="S16" s="1623">
        <f t="shared" si="0"/>
        <v>21.133333333333336</v>
      </c>
    </row>
    <row r="17" spans="1:19" s="2" customFormat="1">
      <c r="A17" s="212" t="s">
        <v>145</v>
      </c>
      <c r="B17" s="323">
        <v>3.8</v>
      </c>
      <c r="C17" s="323">
        <v>4.5999999999999996</v>
      </c>
      <c r="D17" s="318">
        <v>6.5</v>
      </c>
      <c r="E17" s="318">
        <v>9.3000000000000007</v>
      </c>
      <c r="F17" s="318">
        <v>11.3</v>
      </c>
      <c r="G17" s="318">
        <v>18.5</v>
      </c>
      <c r="H17" s="318" t="s">
        <v>1755</v>
      </c>
      <c r="I17" s="318">
        <v>22.6</v>
      </c>
      <c r="J17" s="356">
        <v>21.9</v>
      </c>
      <c r="K17" s="318">
        <v>22.3</v>
      </c>
      <c r="L17" s="318">
        <v>19.3</v>
      </c>
      <c r="M17" s="318">
        <v>18.100000000000001</v>
      </c>
      <c r="N17" s="318">
        <v>10.6</v>
      </c>
      <c r="O17" s="318">
        <v>8.8000000000000007</v>
      </c>
      <c r="P17" s="1512"/>
      <c r="Q17" s="1624">
        <f t="shared" si="2"/>
        <v>13.661538461538461</v>
      </c>
      <c r="R17" s="1623">
        <f t="shared" si="1"/>
        <v>22.6</v>
      </c>
      <c r="S17" s="1623">
        <f t="shared" si="0"/>
        <v>20.839999999999996</v>
      </c>
    </row>
    <row r="18" spans="1:19">
      <c r="A18" s="212" t="s">
        <v>146</v>
      </c>
      <c r="B18" s="322">
        <v>3.8</v>
      </c>
      <c r="C18" s="324">
        <v>4.5999999999999996</v>
      </c>
      <c r="D18" s="318">
        <v>6.5</v>
      </c>
      <c r="E18" s="318">
        <v>9.3000000000000007</v>
      </c>
      <c r="F18" s="318">
        <v>11</v>
      </c>
      <c r="G18" s="318">
        <v>18.2</v>
      </c>
      <c r="H18" s="318">
        <v>21.6</v>
      </c>
      <c r="I18" s="318">
        <v>22.6</v>
      </c>
      <c r="J18" s="356">
        <v>21.7</v>
      </c>
      <c r="K18" s="318">
        <v>22</v>
      </c>
      <c r="L18" s="318">
        <v>19.100000000000001</v>
      </c>
      <c r="M18" s="318">
        <v>18.100000000000001</v>
      </c>
      <c r="N18" s="318">
        <v>10.6</v>
      </c>
      <c r="O18" s="318">
        <v>8.8000000000000007</v>
      </c>
      <c r="P18" s="1512"/>
      <c r="Q18" s="1624">
        <f t="shared" si="2"/>
        <v>14.135714285714286</v>
      </c>
      <c r="R18" s="1623">
        <f t="shared" si="1"/>
        <v>22.6</v>
      </c>
      <c r="S18" s="1623">
        <f t="shared" si="0"/>
        <v>20.849999999999998</v>
      </c>
    </row>
    <row r="19" spans="1:19">
      <c r="A19" s="212" t="s">
        <v>147</v>
      </c>
      <c r="B19" s="322">
        <v>3.9</v>
      </c>
      <c r="C19" s="323">
        <v>4.5999999999999996</v>
      </c>
      <c r="D19" s="318">
        <v>6.3</v>
      </c>
      <c r="E19" s="318">
        <v>9.1999999999999993</v>
      </c>
      <c r="F19" s="318">
        <v>10.9</v>
      </c>
      <c r="G19" s="318">
        <v>17.899999999999999</v>
      </c>
      <c r="H19" s="318">
        <v>21.4</v>
      </c>
      <c r="I19" s="318">
        <v>22.3</v>
      </c>
      <c r="J19" s="356">
        <v>21.6</v>
      </c>
      <c r="K19" s="318">
        <v>22</v>
      </c>
      <c r="L19" s="318">
        <v>18.8</v>
      </c>
      <c r="M19" s="318">
        <v>18</v>
      </c>
      <c r="N19" s="318">
        <v>10.6</v>
      </c>
      <c r="O19" s="318">
        <v>8.8000000000000007</v>
      </c>
      <c r="P19" s="1512"/>
      <c r="Q19" s="1624">
        <f t="shared" si="2"/>
        <v>14.021428571428572</v>
      </c>
      <c r="R19" s="1623">
        <f t="shared" si="1"/>
        <v>22.3</v>
      </c>
      <c r="S19" s="1623">
        <f>AVERAGE(H19:M19)</f>
        <v>20.683333333333334</v>
      </c>
    </row>
    <row r="20" spans="1:19">
      <c r="A20" s="212" t="s">
        <v>148</v>
      </c>
      <c r="B20" s="322">
        <v>4</v>
      </c>
      <c r="C20" s="323">
        <v>4.8</v>
      </c>
      <c r="D20" s="318">
        <v>6.2</v>
      </c>
      <c r="E20" s="318">
        <v>9.1</v>
      </c>
      <c r="F20" s="318">
        <v>10.8</v>
      </c>
      <c r="G20" s="318">
        <v>17.399999999999999</v>
      </c>
      <c r="H20" s="318">
        <v>21.2</v>
      </c>
      <c r="I20" s="318">
        <v>21.4</v>
      </c>
      <c r="J20" s="356">
        <v>21.5</v>
      </c>
      <c r="K20" s="318">
        <v>21.8</v>
      </c>
      <c r="L20" s="318">
        <v>18.8</v>
      </c>
      <c r="M20" s="318">
        <v>18</v>
      </c>
      <c r="N20" s="318">
        <v>10.6</v>
      </c>
      <c r="O20" s="318">
        <v>8.8000000000000007</v>
      </c>
      <c r="P20" s="1512"/>
      <c r="Q20" s="1624">
        <f>AVERAGE(B20:P20)</f>
        <v>13.885714285714288</v>
      </c>
      <c r="R20" s="1623">
        <f t="shared" si="1"/>
        <v>21.8</v>
      </c>
      <c r="S20" s="1623">
        <f t="shared" si="0"/>
        <v>20.45</v>
      </c>
    </row>
    <row r="21" spans="1:19">
      <c r="A21" s="212" t="s">
        <v>167</v>
      </c>
      <c r="B21" s="322">
        <v>4.2</v>
      </c>
      <c r="C21" s="323">
        <v>5.2</v>
      </c>
      <c r="D21" s="318">
        <v>6.1</v>
      </c>
      <c r="E21" s="318">
        <v>9.1</v>
      </c>
      <c r="F21" s="318">
        <v>10.7</v>
      </c>
      <c r="G21" s="318">
        <v>16.2</v>
      </c>
      <c r="H21" s="318">
        <v>20.9</v>
      </c>
      <c r="I21" s="318">
        <v>21.2</v>
      </c>
      <c r="J21" s="356">
        <v>21.4</v>
      </c>
      <c r="K21" s="318">
        <v>21.3</v>
      </c>
      <c r="L21" s="318">
        <v>18.600000000000001</v>
      </c>
      <c r="M21" s="318">
        <v>17.899999999999999</v>
      </c>
      <c r="N21" s="318"/>
      <c r="O21" s="318"/>
      <c r="P21" s="1512"/>
      <c r="Q21" s="1624">
        <f>AVERAGE(B21:P21)</f>
        <v>14.4</v>
      </c>
      <c r="R21" s="1623">
        <f t="shared" si="1"/>
        <v>21.4</v>
      </c>
      <c r="S21" s="1623">
        <f t="shared" si="0"/>
        <v>20.216666666666669</v>
      </c>
    </row>
    <row r="22" spans="1:19">
      <c r="A22" s="146" t="s">
        <v>168</v>
      </c>
      <c r="B22" s="322"/>
      <c r="C22" s="323"/>
      <c r="D22" s="318"/>
      <c r="E22" s="318"/>
      <c r="F22" s="318"/>
      <c r="G22" s="318"/>
      <c r="H22" s="318"/>
      <c r="I22" s="318"/>
      <c r="J22" s="356"/>
      <c r="K22" s="318"/>
      <c r="L22" s="318"/>
      <c r="M22" s="318"/>
      <c r="N22" s="318"/>
      <c r="O22" s="318"/>
      <c r="P22" s="1512"/>
      <c r="Q22" s="1620"/>
      <c r="R22" s="1621"/>
      <c r="S22" s="1621"/>
    </row>
    <row r="23" spans="1:19">
      <c r="A23" s="149" t="s">
        <v>308</v>
      </c>
      <c r="B23" s="322">
        <f>AVERAGE(B8:B11)</f>
        <v>4.4249999999999998</v>
      </c>
      <c r="C23" s="322">
        <f t="shared" ref="C23:I23" si="3">AVERAGE(C8:C11)</f>
        <v>4.05</v>
      </c>
      <c r="D23" s="322">
        <f t="shared" si="3"/>
        <v>6.7750000000000004</v>
      </c>
      <c r="E23" s="322">
        <f t="shared" si="3"/>
        <v>9.5250000000000004</v>
      </c>
      <c r="F23" s="322">
        <f t="shared" si="3"/>
        <v>15.625</v>
      </c>
      <c r="G23" s="322">
        <f t="shared" si="3"/>
        <v>18.924999999999997</v>
      </c>
      <c r="H23" s="322">
        <f t="shared" si="3"/>
        <v>22.774999999999999</v>
      </c>
      <c r="I23" s="322">
        <f t="shared" si="3"/>
        <v>23.450000000000003</v>
      </c>
      <c r="J23" s="322">
        <f t="shared" ref="J23:O23" si="4">AVERAGE(J8:J11)</f>
        <v>22.200000000000003</v>
      </c>
      <c r="K23" s="322">
        <f t="shared" si="4"/>
        <v>22.5</v>
      </c>
      <c r="L23" s="322">
        <f>AVERAGE(L8:L11)</f>
        <v>19.45</v>
      </c>
      <c r="M23" s="322">
        <f>AVERAGE(M8:M11)</f>
        <v>18.075000000000003</v>
      </c>
      <c r="N23" s="322">
        <f>AVERAGE(N8:N12)</f>
        <v>10.84</v>
      </c>
      <c r="O23" s="322">
        <f t="shared" si="4"/>
        <v>8.9</v>
      </c>
      <c r="P23" s="322">
        <f>AVERAGE(P8:P12)</f>
        <v>2.9400000000000004</v>
      </c>
      <c r="Q23" s="1622">
        <f>AVERAGE(Q8:Q11)</f>
        <v>14.031666666666668</v>
      </c>
      <c r="R23" s="1623">
        <f>MAX(B8:O11)</f>
        <v>24.2</v>
      </c>
      <c r="S23" s="1622">
        <f>AVERAGE(S8:S11)</f>
        <v>21.408333333333335</v>
      </c>
    </row>
    <row r="24" spans="1:19">
      <c r="A24" s="149" t="s">
        <v>309</v>
      </c>
      <c r="B24" s="322">
        <f>AVERAGE(B8:B22)</f>
        <v>4.2642857142857142</v>
      </c>
      <c r="C24" s="322">
        <f t="shared" ref="C24:P24" si="5">AVERAGE(C8:C22)</f>
        <v>4.6714285714285717</v>
      </c>
      <c r="D24" s="322">
        <f t="shared" si="5"/>
        <v>6.5142857142857133</v>
      </c>
      <c r="E24" s="322">
        <f t="shared" si="5"/>
        <v>9.3571428571428577</v>
      </c>
      <c r="F24" s="322">
        <f t="shared" si="5"/>
        <v>13.092857142857143</v>
      </c>
      <c r="G24" s="322">
        <f t="shared" si="5"/>
        <v>18.45</v>
      </c>
      <c r="H24" s="322">
        <f t="shared" si="5"/>
        <v>22.192307692307693</v>
      </c>
      <c r="I24" s="322">
        <f t="shared" si="5"/>
        <v>22.75</v>
      </c>
      <c r="J24" s="322">
        <f t="shared" si="5"/>
        <v>21.900000000000002</v>
      </c>
      <c r="K24" s="322">
        <f t="shared" si="5"/>
        <v>22.242857142857151</v>
      </c>
      <c r="L24" s="322">
        <f t="shared" si="5"/>
        <v>19.207142857142859</v>
      </c>
      <c r="M24" s="322">
        <f t="shared" si="5"/>
        <v>18.064285714285713</v>
      </c>
      <c r="N24" s="322">
        <f t="shared" si="5"/>
        <v>10.707692307692307</v>
      </c>
      <c r="O24" s="322">
        <f t="shared" si="5"/>
        <v>8.8384615384615373</v>
      </c>
      <c r="P24" s="322">
        <f t="shared" si="5"/>
        <v>2.9875000000000003</v>
      </c>
      <c r="Q24" s="1622">
        <f>AVERAGE(Q8:Q22)</f>
        <v>14.113783359497647</v>
      </c>
      <c r="R24" s="1623">
        <f>MAX(B8:O22)</f>
        <v>24.2</v>
      </c>
      <c r="S24" s="1623">
        <f>MAX(C12:Q22)</f>
        <v>23</v>
      </c>
    </row>
    <row r="25" spans="1:19" ht="15" customHeight="1">
      <c r="A25" s="2959" t="s">
        <v>296</v>
      </c>
      <c r="B25" s="2960"/>
      <c r="C25" s="2960"/>
      <c r="D25" s="2960"/>
      <c r="E25" s="2960"/>
      <c r="F25" s="2960"/>
      <c r="G25" s="2960"/>
      <c r="H25" s="2960"/>
      <c r="I25" s="2960"/>
      <c r="J25" s="2960"/>
      <c r="K25" s="2960"/>
      <c r="L25" s="2960"/>
      <c r="M25" s="2960"/>
      <c r="N25" s="2960"/>
      <c r="O25" s="2960"/>
      <c r="P25" s="2960"/>
      <c r="Q25" s="2960"/>
      <c r="R25" s="2960"/>
      <c r="S25" s="2961"/>
    </row>
    <row r="26" spans="1:19">
      <c r="A26" s="146" t="s">
        <v>239</v>
      </c>
      <c r="B26" s="319">
        <v>3.5</v>
      </c>
      <c r="C26" s="319">
        <v>1.8</v>
      </c>
      <c r="D26" s="319">
        <v>7.2</v>
      </c>
      <c r="E26" s="320">
        <v>9.6</v>
      </c>
      <c r="F26" s="319">
        <v>16.100000000000001</v>
      </c>
      <c r="G26" s="319">
        <v>19.3</v>
      </c>
      <c r="H26" s="319">
        <v>23.1</v>
      </c>
      <c r="I26" s="319">
        <v>23.3</v>
      </c>
      <c r="J26" s="319">
        <v>22.8</v>
      </c>
      <c r="K26" s="319">
        <v>22.8</v>
      </c>
      <c r="L26" s="319">
        <v>20.2</v>
      </c>
      <c r="M26" s="319">
        <v>18.2</v>
      </c>
      <c r="N26" s="319">
        <v>11</v>
      </c>
      <c r="O26" s="319">
        <v>8.9</v>
      </c>
      <c r="P26" s="1513"/>
      <c r="Q26" s="1624">
        <f>AVERAGE(B26:P26)</f>
        <v>14.842857142857142</v>
      </c>
      <c r="R26" s="1623">
        <f>MAX(B26:P26)</f>
        <v>23.3</v>
      </c>
      <c r="S26" s="1623">
        <f t="shared" ref="S26:S37" si="6">AVERAGE(H26:M26)</f>
        <v>21.733333333333334</v>
      </c>
    </row>
    <row r="27" spans="1:19">
      <c r="A27" s="146" t="s">
        <v>140</v>
      </c>
      <c r="B27" s="319">
        <v>4</v>
      </c>
      <c r="C27" s="319">
        <v>2.8</v>
      </c>
      <c r="D27" s="319">
        <v>7.1</v>
      </c>
      <c r="E27" s="320">
        <v>9.6</v>
      </c>
      <c r="F27" s="319">
        <v>16.100000000000001</v>
      </c>
      <c r="G27" s="319">
        <v>19.2</v>
      </c>
      <c r="H27" s="319">
        <v>23</v>
      </c>
      <c r="I27" s="319">
        <v>23.2</v>
      </c>
      <c r="J27" s="319">
        <v>22.2</v>
      </c>
      <c r="K27" s="319">
        <v>22.8</v>
      </c>
      <c r="L27" s="319">
        <v>19.7</v>
      </c>
      <c r="M27" s="319">
        <v>18.2</v>
      </c>
      <c r="N27" s="319">
        <v>10.9</v>
      </c>
      <c r="O27" s="319">
        <v>8.9</v>
      </c>
      <c r="P27" s="1513"/>
      <c r="Q27" s="1624">
        <f>AVERAGE(B27:P27)</f>
        <v>14.835714285714285</v>
      </c>
      <c r="R27" s="1623">
        <f>MAX(B27:P27)</f>
        <v>23.2</v>
      </c>
      <c r="S27" s="1623">
        <f t="shared" si="6"/>
        <v>21.516666666666666</v>
      </c>
    </row>
    <row r="28" spans="1:19">
      <c r="A28" s="146" t="s">
        <v>240</v>
      </c>
      <c r="B28" s="319">
        <v>4.8</v>
      </c>
      <c r="C28" s="319">
        <v>4.5999999999999996</v>
      </c>
      <c r="D28" s="319">
        <v>7</v>
      </c>
      <c r="E28" s="320">
        <v>9.5</v>
      </c>
      <c r="F28" s="319">
        <v>15.8</v>
      </c>
      <c r="G28" s="321">
        <v>19.100000000000001</v>
      </c>
      <c r="H28" s="319">
        <v>22.8</v>
      </c>
      <c r="I28" s="319">
        <v>23.1</v>
      </c>
      <c r="J28" s="319" t="s">
        <v>1755</v>
      </c>
      <c r="K28" s="319">
        <v>22.6</v>
      </c>
      <c r="L28" s="319">
        <v>19.5</v>
      </c>
      <c r="M28" s="319">
        <v>18.100000000000001</v>
      </c>
      <c r="N28" s="319">
        <v>10.9</v>
      </c>
      <c r="O28" s="319">
        <v>8.9</v>
      </c>
      <c r="P28" s="1513"/>
      <c r="Q28" s="1624">
        <f>AVERAGE(B28:O28)</f>
        <v>14.361538461538462</v>
      </c>
      <c r="R28" s="1623">
        <f>MAX(B28:O28)</f>
        <v>23.1</v>
      </c>
      <c r="S28" s="1623">
        <f t="shared" si="6"/>
        <v>21.22</v>
      </c>
    </row>
    <row r="29" spans="1:19">
      <c r="A29" s="146" t="s">
        <v>141</v>
      </c>
      <c r="B29" s="319">
        <v>4.9000000000000004</v>
      </c>
      <c r="C29" s="319">
        <v>5</v>
      </c>
      <c r="D29" s="319">
        <v>7</v>
      </c>
      <c r="E29" s="319">
        <v>9.4</v>
      </c>
      <c r="F29" s="319">
        <v>15.4</v>
      </c>
      <c r="G29" s="319">
        <v>18.899999999999999</v>
      </c>
      <c r="H29" s="319">
        <v>22.7</v>
      </c>
      <c r="I29" s="319">
        <v>23</v>
      </c>
      <c r="J29" s="319">
        <v>22</v>
      </c>
      <c r="K29" s="319">
        <v>22.5</v>
      </c>
      <c r="L29" s="319">
        <v>19.399999999999999</v>
      </c>
      <c r="M29" s="319">
        <v>18.100000000000001</v>
      </c>
      <c r="N29" s="319">
        <v>10.8</v>
      </c>
      <c r="O29" s="319">
        <v>8.9</v>
      </c>
      <c r="P29" s="1513"/>
      <c r="Q29" s="1624">
        <f>AVERAGE(B29:O29)</f>
        <v>14.857142857142859</v>
      </c>
      <c r="R29" s="1623">
        <f>MAX(B29:O29)</f>
        <v>23</v>
      </c>
      <c r="S29" s="1623">
        <f t="shared" si="6"/>
        <v>21.283333333333331</v>
      </c>
    </row>
    <row r="30" spans="1:19">
      <c r="A30" s="146" t="s">
        <v>241</v>
      </c>
      <c r="B30" s="319">
        <v>5.0999999999999996</v>
      </c>
      <c r="C30" s="319">
        <v>5.0999999999999996</v>
      </c>
      <c r="D30" s="319">
        <v>6.9</v>
      </c>
      <c r="E30" s="319">
        <v>9.4</v>
      </c>
      <c r="F30" s="319">
        <v>14.3</v>
      </c>
      <c r="G30" s="319">
        <v>18.899999999999999</v>
      </c>
      <c r="H30" s="319">
        <v>22.6</v>
      </c>
      <c r="I30" s="319">
        <v>22.9</v>
      </c>
      <c r="J30" s="319">
        <v>21.9</v>
      </c>
      <c r="K30" s="319">
        <v>22.4</v>
      </c>
      <c r="L30" s="319">
        <v>19.399999999999999</v>
      </c>
      <c r="M30" s="319">
        <v>18.100000000000001</v>
      </c>
      <c r="N30" s="319">
        <v>10.8</v>
      </c>
      <c r="O30" s="319">
        <v>8.9</v>
      </c>
      <c r="P30" s="1513"/>
      <c r="Q30" s="1624">
        <f>AVERAGE(B30:O30)</f>
        <v>14.764285714285716</v>
      </c>
      <c r="R30" s="1623">
        <f>MAX(B30:O30)</f>
        <v>22.9</v>
      </c>
      <c r="S30" s="1623">
        <f t="shared" si="6"/>
        <v>21.216666666666669</v>
      </c>
    </row>
    <row r="31" spans="1:19">
      <c r="A31" s="146" t="s">
        <v>142</v>
      </c>
      <c r="B31" s="551">
        <v>4.8</v>
      </c>
      <c r="C31" s="319">
        <v>5.3</v>
      </c>
      <c r="D31" s="319">
        <v>6.6</v>
      </c>
      <c r="E31" s="319">
        <v>9.3000000000000007</v>
      </c>
      <c r="F31" s="319">
        <v>13.8</v>
      </c>
      <c r="G31" s="319">
        <v>18.8</v>
      </c>
      <c r="H31" s="319">
        <v>22.5</v>
      </c>
      <c r="I31" s="319">
        <v>22.9</v>
      </c>
      <c r="J31" s="319">
        <v>21.9</v>
      </c>
      <c r="K31" s="319">
        <v>22.4</v>
      </c>
      <c r="L31" s="319">
        <v>19.399999999999999</v>
      </c>
      <c r="M31" s="319">
        <v>18</v>
      </c>
      <c r="N31" s="319">
        <v>10.8</v>
      </c>
      <c r="O31" s="319">
        <v>8.9</v>
      </c>
      <c r="P31" s="1513"/>
      <c r="Q31" s="1624">
        <f t="shared" ref="Q31:Q36" si="7">AVERAGE(B31:P31)</f>
        <v>14.671428571428574</v>
      </c>
      <c r="R31" s="1623">
        <f t="shared" ref="R31:R36" si="8">MAX(B31:P31)</f>
        <v>22.9</v>
      </c>
      <c r="S31" s="1623">
        <f t="shared" si="6"/>
        <v>21.183333333333334</v>
      </c>
    </row>
    <row r="32" spans="1:19">
      <c r="A32" s="146" t="s">
        <v>242</v>
      </c>
      <c r="B32" s="319">
        <v>4.5</v>
      </c>
      <c r="C32" s="319">
        <v>5.0999999999999996</v>
      </c>
      <c r="D32" s="319">
        <v>6.6</v>
      </c>
      <c r="E32" s="319">
        <v>9.3000000000000007</v>
      </c>
      <c r="F32" s="319">
        <v>13.3</v>
      </c>
      <c r="G32" s="319">
        <v>18.5</v>
      </c>
      <c r="H32" s="319">
        <v>22.5</v>
      </c>
      <c r="I32" s="319">
        <v>22.9</v>
      </c>
      <c r="J32" s="319">
        <v>21.9</v>
      </c>
      <c r="K32" s="319">
        <v>22.4</v>
      </c>
      <c r="L32" s="319">
        <v>19.399999999999999</v>
      </c>
      <c r="M32" s="319">
        <v>18</v>
      </c>
      <c r="N32" s="319">
        <v>10.8</v>
      </c>
      <c r="O32" s="319">
        <v>8.9</v>
      </c>
      <c r="P32" s="1513"/>
      <c r="Q32" s="1624">
        <f t="shared" si="7"/>
        <v>14.578571428571431</v>
      </c>
      <c r="R32" s="1623">
        <f t="shared" si="8"/>
        <v>22.9</v>
      </c>
      <c r="S32" s="1623">
        <f t="shared" si="6"/>
        <v>21.183333333333334</v>
      </c>
    </row>
    <row r="33" spans="1:19">
      <c r="A33" s="146" t="s">
        <v>143</v>
      </c>
      <c r="B33" s="319">
        <v>4.3</v>
      </c>
      <c r="C33" s="319">
        <v>4.9000000000000004</v>
      </c>
      <c r="D33" s="319">
        <v>6.6</v>
      </c>
      <c r="E33" s="319">
        <v>9.3000000000000007</v>
      </c>
      <c r="F33" s="319">
        <v>12.5</v>
      </c>
      <c r="G33" s="319">
        <v>18.100000000000001</v>
      </c>
      <c r="H33" s="319">
        <v>22.4</v>
      </c>
      <c r="I33" s="319">
        <v>22.9</v>
      </c>
      <c r="J33" s="319">
        <v>21.9</v>
      </c>
      <c r="K33" s="319">
        <v>22.4</v>
      </c>
      <c r="L33" s="319">
        <v>19.3</v>
      </c>
      <c r="M33" s="319">
        <v>18</v>
      </c>
      <c r="N33" s="319">
        <v>10.7</v>
      </c>
      <c r="O33" s="319">
        <v>8.8000000000000007</v>
      </c>
      <c r="P33" s="1513"/>
      <c r="Q33" s="1624">
        <f t="shared" si="7"/>
        <v>14.435714285714287</v>
      </c>
      <c r="R33" s="1623">
        <f t="shared" si="8"/>
        <v>22.9</v>
      </c>
      <c r="S33" s="1623">
        <f t="shared" si="6"/>
        <v>21.15</v>
      </c>
    </row>
    <row r="34" spans="1:19">
      <c r="A34" s="146" t="s">
        <v>144</v>
      </c>
      <c r="B34" s="319">
        <v>3.9</v>
      </c>
      <c r="C34" s="319">
        <v>4.5999999999999996</v>
      </c>
      <c r="D34" s="319">
        <v>6.5</v>
      </c>
      <c r="E34" s="319">
        <v>9.3000000000000007</v>
      </c>
      <c r="F34" s="319">
        <v>11.7</v>
      </c>
      <c r="G34" s="319">
        <v>18.600000000000001</v>
      </c>
      <c r="H34" s="319">
        <v>22.3</v>
      </c>
      <c r="I34" s="319">
        <v>22.8</v>
      </c>
      <c r="J34" s="319">
        <v>21.9</v>
      </c>
      <c r="K34" s="319">
        <v>22.4</v>
      </c>
      <c r="L34" s="319">
        <v>19.3</v>
      </c>
      <c r="M34" s="319">
        <v>18</v>
      </c>
      <c r="N34" s="319">
        <v>10.7</v>
      </c>
      <c r="O34" s="319">
        <v>8.8000000000000007</v>
      </c>
      <c r="P34" s="1513"/>
      <c r="Q34" s="1624">
        <f t="shared" si="7"/>
        <v>14.342857142857143</v>
      </c>
      <c r="R34" s="1623">
        <f t="shared" si="8"/>
        <v>22.8</v>
      </c>
      <c r="S34" s="1623">
        <f t="shared" si="6"/>
        <v>21.116666666666667</v>
      </c>
    </row>
    <row r="35" spans="1:19">
      <c r="A35" s="146" t="s">
        <v>145</v>
      </c>
      <c r="B35" s="319">
        <v>3.8</v>
      </c>
      <c r="C35" s="319">
        <v>4.5</v>
      </c>
      <c r="D35" s="319">
        <v>6.5</v>
      </c>
      <c r="E35" s="319">
        <v>9.3000000000000007</v>
      </c>
      <c r="F35" s="319">
        <v>11.4</v>
      </c>
      <c r="G35" s="319">
        <v>18.5</v>
      </c>
      <c r="H35" s="319">
        <v>21.7</v>
      </c>
      <c r="I35" s="319">
        <v>22.8</v>
      </c>
      <c r="J35" s="319">
        <v>21.9</v>
      </c>
      <c r="K35" s="319">
        <v>22.2</v>
      </c>
      <c r="L35" s="319">
        <v>19.3</v>
      </c>
      <c r="M35" s="319">
        <v>18</v>
      </c>
      <c r="N35" s="319">
        <v>10.6</v>
      </c>
      <c r="O35" s="319">
        <v>8.8000000000000007</v>
      </c>
      <c r="P35" s="1513"/>
      <c r="Q35" s="1624">
        <f t="shared" si="7"/>
        <v>14.235714285714286</v>
      </c>
      <c r="R35" s="1623">
        <f t="shared" si="8"/>
        <v>22.8</v>
      </c>
      <c r="S35" s="1623">
        <f t="shared" si="6"/>
        <v>20.983333333333334</v>
      </c>
    </row>
    <row r="36" spans="1:19">
      <c r="A36" s="146" t="s">
        <v>146</v>
      </c>
      <c r="B36" s="319">
        <v>3.9</v>
      </c>
      <c r="C36" s="319">
        <v>4.5999999999999996</v>
      </c>
      <c r="D36" s="319">
        <v>6.5</v>
      </c>
      <c r="E36" s="319">
        <v>9.3000000000000007</v>
      </c>
      <c r="F36" s="319">
        <v>11</v>
      </c>
      <c r="G36" s="319">
        <v>18.2</v>
      </c>
      <c r="H36" s="319">
        <v>21.3</v>
      </c>
      <c r="I36" s="319">
        <v>22.8</v>
      </c>
      <c r="J36" s="319"/>
      <c r="K36" s="319">
        <v>22.1</v>
      </c>
      <c r="L36" s="319">
        <v>19.2</v>
      </c>
      <c r="M36" s="319"/>
      <c r="N36" s="319">
        <v>10.6</v>
      </c>
      <c r="O36" s="319"/>
      <c r="P36" s="1513"/>
      <c r="Q36" s="1624">
        <f t="shared" si="7"/>
        <v>13.590909090909088</v>
      </c>
      <c r="R36" s="1623">
        <f t="shared" si="8"/>
        <v>22.8</v>
      </c>
      <c r="S36" s="1623">
        <f t="shared" si="6"/>
        <v>21.35</v>
      </c>
    </row>
    <row r="37" spans="1:19">
      <c r="A37" s="146" t="s">
        <v>147</v>
      </c>
      <c r="B37" s="319">
        <v>4</v>
      </c>
      <c r="C37" s="319">
        <v>4.7</v>
      </c>
      <c r="D37" s="319">
        <v>6.4</v>
      </c>
      <c r="E37" s="319">
        <v>9.6</v>
      </c>
      <c r="F37" s="319">
        <v>10.9</v>
      </c>
      <c r="G37" s="319">
        <v>18</v>
      </c>
      <c r="H37" s="319">
        <v>21</v>
      </c>
      <c r="I37" s="319">
        <v>22.8</v>
      </c>
      <c r="J37" s="319"/>
      <c r="K37" s="319">
        <v>22</v>
      </c>
      <c r="L37" s="319"/>
      <c r="M37" s="319"/>
      <c r="N37" s="319"/>
      <c r="O37" s="319"/>
      <c r="P37" s="1513"/>
      <c r="Q37" s="1624">
        <f>AVERAGE(B37:O37)</f>
        <v>13.266666666666666</v>
      </c>
      <c r="R37" s="1623">
        <f>MAX(B37:O37)</f>
        <v>22.8</v>
      </c>
      <c r="S37" s="1623">
        <f t="shared" si="6"/>
        <v>21.933333333333334</v>
      </c>
    </row>
    <row r="38" spans="1:19">
      <c r="A38" s="149" t="s">
        <v>308</v>
      </c>
      <c r="B38" s="322">
        <f>AVERAGE(B26:B29)</f>
        <v>4.3000000000000007</v>
      </c>
      <c r="C38" s="322">
        <f t="shared" ref="C38:H38" si="9">AVERAGE(C26:C29)</f>
        <v>3.55</v>
      </c>
      <c r="D38" s="322">
        <f t="shared" si="9"/>
        <v>7.0750000000000002</v>
      </c>
      <c r="E38" s="322">
        <f t="shared" si="9"/>
        <v>9.5250000000000004</v>
      </c>
      <c r="F38" s="322">
        <f t="shared" si="9"/>
        <v>15.85</v>
      </c>
      <c r="G38" s="322">
        <f t="shared" si="9"/>
        <v>19.125</v>
      </c>
      <c r="H38" s="322">
        <f t="shared" si="9"/>
        <v>22.900000000000002</v>
      </c>
      <c r="I38" s="322">
        <f>AVERAGE(I26:I29)</f>
        <v>23.15</v>
      </c>
      <c r="J38" s="322">
        <f>AVERAGE(J26:J29)</f>
        <v>22.333333333333332</v>
      </c>
      <c r="K38" s="322">
        <f>AVERAGE(K26:K29)</f>
        <v>22.675000000000001</v>
      </c>
      <c r="L38" s="322">
        <f t="shared" ref="L38:O38" si="10">AVERAGE(L26:L29)</f>
        <v>19.7</v>
      </c>
      <c r="M38" s="322">
        <f t="shared" si="10"/>
        <v>18.149999999999999</v>
      </c>
      <c r="N38" s="322">
        <f t="shared" si="10"/>
        <v>10.899999999999999</v>
      </c>
      <c r="O38" s="322">
        <f t="shared" si="10"/>
        <v>8.9</v>
      </c>
      <c r="P38" s="322"/>
      <c r="Q38" s="1622">
        <f>AVERAGE(Q26:Q29)</f>
        <v>14.724313186813188</v>
      </c>
      <c r="R38" s="1622">
        <f>AVERAGE(R26:R29)</f>
        <v>23.15</v>
      </c>
      <c r="S38" s="1622">
        <f>AVERAGE(S26:S29)</f>
        <v>21.438333333333333</v>
      </c>
    </row>
    <row r="39" spans="1:19">
      <c r="A39" s="146" t="s">
        <v>306</v>
      </c>
      <c r="B39" s="322">
        <f t="shared" ref="B39:O39" si="11">AVERAGE(B26:B37)</f>
        <v>4.291666666666667</v>
      </c>
      <c r="C39" s="322">
        <f t="shared" si="11"/>
        <v>4.416666666666667</v>
      </c>
      <c r="D39" s="322">
        <f t="shared" si="11"/>
        <v>6.7416666666666671</v>
      </c>
      <c r="E39" s="322">
        <f t="shared" si="11"/>
        <v>9.4083333333333314</v>
      </c>
      <c r="F39" s="322">
        <f t="shared" si="11"/>
        <v>13.525</v>
      </c>
      <c r="G39" s="322">
        <f t="shared" si="11"/>
        <v>18.674999999999997</v>
      </c>
      <c r="H39" s="322">
        <f t="shared" si="11"/>
        <v>22.325000000000003</v>
      </c>
      <c r="I39" s="322">
        <f t="shared" si="11"/>
        <v>22.950000000000003</v>
      </c>
      <c r="J39" s="322">
        <f t="shared" si="11"/>
        <v>22.044444444444448</v>
      </c>
      <c r="K39" s="322">
        <f t="shared" si="11"/>
        <v>22.416666666666668</v>
      </c>
      <c r="L39" s="322">
        <f t="shared" si="11"/>
        <v>19.463636363636365</v>
      </c>
      <c r="M39" s="322">
        <f t="shared" si="11"/>
        <v>18.07</v>
      </c>
      <c r="N39" s="322">
        <f t="shared" si="11"/>
        <v>10.78181818181818</v>
      </c>
      <c r="O39" s="322">
        <f t="shared" si="11"/>
        <v>8.8699999999999992</v>
      </c>
      <c r="P39" s="322"/>
      <c r="Q39" s="1622">
        <f>AVERAGE(Q26:Q37)</f>
        <v>14.398616661116662</v>
      </c>
      <c r="R39" s="1622">
        <f>AVERAGE(R26:R37)</f>
        <v>22.950000000000003</v>
      </c>
      <c r="S39" s="1622">
        <f>AVERAGE(S26:S37)</f>
        <v>21.322500000000002</v>
      </c>
    </row>
    <row r="40" spans="1:19" ht="15" customHeight="1">
      <c r="A40" s="2959" t="s">
        <v>297</v>
      </c>
      <c r="B40" s="2960"/>
      <c r="C40" s="2960"/>
      <c r="D40" s="2960"/>
      <c r="E40" s="2960"/>
      <c r="F40" s="2960"/>
      <c r="G40" s="2960"/>
      <c r="H40" s="2960"/>
      <c r="I40" s="2960"/>
      <c r="J40" s="2960"/>
      <c r="K40" s="2960"/>
      <c r="L40" s="2960"/>
      <c r="M40" s="2960"/>
      <c r="N40" s="2960"/>
      <c r="O40" s="2960"/>
      <c r="P40" s="2960"/>
      <c r="Q40" s="2960"/>
      <c r="R40" s="2960"/>
      <c r="S40" s="2961"/>
    </row>
    <row r="41" spans="1:19">
      <c r="A41" s="146" t="s">
        <v>239</v>
      </c>
      <c r="B41" s="275"/>
      <c r="C41" s="275">
        <v>4</v>
      </c>
      <c r="D41" s="318">
        <v>7.2</v>
      </c>
      <c r="E41" s="318">
        <v>9.6</v>
      </c>
      <c r="F41" s="318">
        <v>16</v>
      </c>
      <c r="G41" s="318">
        <v>18.8</v>
      </c>
      <c r="H41" s="318">
        <v>23.3</v>
      </c>
      <c r="I41" s="318">
        <v>23.6</v>
      </c>
      <c r="J41" s="318">
        <v>22.8</v>
      </c>
      <c r="K41" s="318">
        <v>23</v>
      </c>
      <c r="L41" s="318">
        <v>19.8</v>
      </c>
      <c r="M41" s="318">
        <v>18.2</v>
      </c>
      <c r="N41" s="318">
        <v>11.1</v>
      </c>
      <c r="O41" s="318">
        <v>8.9</v>
      </c>
      <c r="P41" s="1512"/>
      <c r="Q41" s="1624">
        <f>AVERAGE(B41:P41)</f>
        <v>15.86923076923077</v>
      </c>
      <c r="R41" s="1623">
        <f>MAX(B41:P41)</f>
        <v>23.6</v>
      </c>
      <c r="S41" s="1623">
        <f t="shared" ref="S41:S49" si="12">AVERAGE(H41:M41)</f>
        <v>21.783333333333331</v>
      </c>
    </row>
    <row r="42" spans="1:19">
      <c r="A42" s="146" t="s">
        <v>140</v>
      </c>
      <c r="B42" s="275"/>
      <c r="C42" s="275">
        <v>4.3</v>
      </c>
      <c r="D42" s="318">
        <v>7.1</v>
      </c>
      <c r="E42" s="318">
        <v>9.5</v>
      </c>
      <c r="F42" s="318">
        <v>15.5</v>
      </c>
      <c r="G42" s="318">
        <v>19.100000000000001</v>
      </c>
      <c r="H42" s="318">
        <v>22.8</v>
      </c>
      <c r="I42" s="318">
        <v>23.2</v>
      </c>
      <c r="J42" s="318">
        <v>22.3</v>
      </c>
      <c r="K42" s="318">
        <v>22.6</v>
      </c>
      <c r="L42" s="318">
        <v>19.8</v>
      </c>
      <c r="M42" s="318">
        <v>18.2</v>
      </c>
      <c r="N42" s="318">
        <v>11.1</v>
      </c>
      <c r="O42" s="318">
        <v>8.9</v>
      </c>
      <c r="P42" s="1512"/>
      <c r="Q42" s="1624">
        <f>AVERAGE(B42:P42)</f>
        <v>15.723076923076924</v>
      </c>
      <c r="R42" s="1623">
        <f>MAX(B42:P42)</f>
        <v>23.2</v>
      </c>
      <c r="S42" s="1623">
        <f t="shared" si="12"/>
        <v>21.483333333333334</v>
      </c>
    </row>
    <row r="43" spans="1:19">
      <c r="A43" s="146" t="s">
        <v>240</v>
      </c>
      <c r="B43" s="275"/>
      <c r="C43" s="275">
        <v>4.5</v>
      </c>
      <c r="D43" s="318">
        <v>7</v>
      </c>
      <c r="E43" s="318">
        <v>9.5</v>
      </c>
      <c r="F43" s="318">
        <v>15.3</v>
      </c>
      <c r="G43" s="318">
        <v>18.899999999999999</v>
      </c>
      <c r="H43" s="318">
        <v>22.8</v>
      </c>
      <c r="I43" s="318">
        <v>23.1</v>
      </c>
      <c r="J43" s="318">
        <v>22.2</v>
      </c>
      <c r="K43" s="318">
        <v>22.6</v>
      </c>
      <c r="L43" s="318">
        <v>19.5</v>
      </c>
      <c r="M43" s="318">
        <v>18.100000000000001</v>
      </c>
      <c r="N43" s="318">
        <v>10.8</v>
      </c>
      <c r="O43" s="318">
        <v>8.9</v>
      </c>
      <c r="P43" s="1512"/>
      <c r="Q43" s="1624">
        <f t="shared" ref="Q43:Q48" si="13">AVERAGE(B43:O43)</f>
        <v>15.630769230769232</v>
      </c>
      <c r="R43" s="1623">
        <f t="shared" ref="R43:R48" si="14">MAX(B43:O43)</f>
        <v>23.1</v>
      </c>
      <c r="S43" s="1623">
        <f t="shared" si="12"/>
        <v>21.383333333333336</v>
      </c>
    </row>
    <row r="44" spans="1:19">
      <c r="A44" s="146" t="s">
        <v>141</v>
      </c>
      <c r="B44" s="275"/>
      <c r="C44" s="275">
        <v>4.9000000000000004</v>
      </c>
      <c r="D44" s="318">
        <v>7</v>
      </c>
      <c r="E44" s="318">
        <v>9.4</v>
      </c>
      <c r="F44" s="318">
        <v>15.2</v>
      </c>
      <c r="G44" s="318">
        <v>19</v>
      </c>
      <c r="H44" s="318">
        <v>22.7</v>
      </c>
      <c r="I44" s="318">
        <v>22.9</v>
      </c>
      <c r="J44" s="318">
        <v>22.1</v>
      </c>
      <c r="K44" s="318">
        <v>22.5</v>
      </c>
      <c r="L44" s="318">
        <v>19.5</v>
      </c>
      <c r="M44" s="318">
        <v>18.100000000000001</v>
      </c>
      <c r="N44" s="318">
        <v>10.7</v>
      </c>
      <c r="O44" s="318">
        <v>8.9</v>
      </c>
      <c r="P44" s="1512"/>
      <c r="Q44" s="1624">
        <f t="shared" si="13"/>
        <v>15.607692307692306</v>
      </c>
      <c r="R44" s="1623">
        <f t="shared" si="14"/>
        <v>22.9</v>
      </c>
      <c r="S44" s="1623">
        <f t="shared" si="12"/>
        <v>21.299999999999997</v>
      </c>
    </row>
    <row r="45" spans="1:19">
      <c r="A45" s="146" t="s">
        <v>241</v>
      </c>
      <c r="B45" s="275"/>
      <c r="C45" s="275">
        <v>5</v>
      </c>
      <c r="D45" s="318">
        <v>6.6</v>
      </c>
      <c r="E45" s="318">
        <v>9.3000000000000007</v>
      </c>
      <c r="F45" s="318">
        <v>15</v>
      </c>
      <c r="G45" s="318">
        <v>18.8</v>
      </c>
      <c r="H45" s="318">
        <v>22.6</v>
      </c>
      <c r="I45" s="318">
        <v>22.9</v>
      </c>
      <c r="J45" s="318">
        <v>22.1</v>
      </c>
      <c r="K45" s="318">
        <v>22.5</v>
      </c>
      <c r="L45" s="318">
        <v>19.399999999999999</v>
      </c>
      <c r="M45" s="318">
        <v>18</v>
      </c>
      <c r="N45" s="318">
        <v>10.6</v>
      </c>
      <c r="O45" s="318">
        <v>8.9</v>
      </c>
      <c r="P45" s="1512"/>
      <c r="Q45" s="1624">
        <f t="shared" si="13"/>
        <v>15.515384615384617</v>
      </c>
      <c r="R45" s="1623">
        <f t="shared" si="14"/>
        <v>22.9</v>
      </c>
      <c r="S45" s="1623">
        <f t="shared" si="12"/>
        <v>21.25</v>
      </c>
    </row>
    <row r="46" spans="1:19">
      <c r="A46" s="146" t="s">
        <v>142</v>
      </c>
      <c r="B46" s="275"/>
      <c r="C46" s="275">
        <v>5.2</v>
      </c>
      <c r="D46" s="318">
        <v>6.6</v>
      </c>
      <c r="E46" s="318">
        <v>9.3000000000000007</v>
      </c>
      <c r="F46" s="318">
        <v>14</v>
      </c>
      <c r="G46" s="318">
        <v>18.8</v>
      </c>
      <c r="H46" s="318">
        <v>22.6</v>
      </c>
      <c r="I46" s="318">
        <v>22.9</v>
      </c>
      <c r="J46" s="318">
        <v>22</v>
      </c>
      <c r="K46" s="318">
        <v>22.4</v>
      </c>
      <c r="L46" s="318">
        <v>19.3</v>
      </c>
      <c r="M46" s="318">
        <v>18</v>
      </c>
      <c r="N46" s="318">
        <v>10.6</v>
      </c>
      <c r="O46" s="318">
        <v>8.9</v>
      </c>
      <c r="P46" s="1512"/>
      <c r="Q46" s="1624">
        <f t="shared" si="13"/>
        <v>15.430769230769233</v>
      </c>
      <c r="R46" s="1623">
        <f t="shared" si="14"/>
        <v>22.9</v>
      </c>
      <c r="S46" s="1623">
        <f t="shared" si="12"/>
        <v>21.2</v>
      </c>
    </row>
    <row r="47" spans="1:19">
      <c r="A47" s="146" t="s">
        <v>242</v>
      </c>
      <c r="B47" s="275"/>
      <c r="C47" s="275">
        <v>5.2</v>
      </c>
      <c r="D47" s="318">
        <v>6.6</v>
      </c>
      <c r="E47" s="318">
        <v>9.3000000000000007</v>
      </c>
      <c r="F47" s="318">
        <v>13.5</v>
      </c>
      <c r="G47" s="318">
        <v>18.7</v>
      </c>
      <c r="H47" s="318">
        <v>22.5</v>
      </c>
      <c r="I47" s="318">
        <v>22.9</v>
      </c>
      <c r="J47" s="318">
        <v>22</v>
      </c>
      <c r="K47" s="318">
        <v>22.4</v>
      </c>
      <c r="L47" s="318">
        <v>19.3</v>
      </c>
      <c r="M47" s="318">
        <v>18</v>
      </c>
      <c r="N47" s="318">
        <v>10.5</v>
      </c>
      <c r="O47" s="318">
        <v>8.9</v>
      </c>
      <c r="P47" s="1512"/>
      <c r="Q47" s="1624">
        <f t="shared" si="13"/>
        <v>15.36923076923077</v>
      </c>
      <c r="R47" s="1623">
        <f t="shared" si="14"/>
        <v>22.9</v>
      </c>
      <c r="S47" s="1623">
        <f t="shared" si="12"/>
        <v>21.183333333333334</v>
      </c>
    </row>
    <row r="48" spans="1:19">
      <c r="A48" s="146" t="s">
        <v>143</v>
      </c>
      <c r="B48" s="275"/>
      <c r="C48" s="275">
        <v>5.0999999999999996</v>
      </c>
      <c r="D48" s="318">
        <v>6.5</v>
      </c>
      <c r="E48" s="318">
        <v>9.1999999999999993</v>
      </c>
      <c r="F48" s="318">
        <v>12.5</v>
      </c>
      <c r="G48" s="318">
        <v>18.600000000000001</v>
      </c>
      <c r="H48" s="318">
        <v>22.4</v>
      </c>
      <c r="I48" s="318">
        <v>22.9</v>
      </c>
      <c r="J48" s="318">
        <v>21.9</v>
      </c>
      <c r="K48" s="318">
        <v>22.4</v>
      </c>
      <c r="L48" s="318">
        <v>19.3</v>
      </c>
      <c r="M48" s="318">
        <v>18</v>
      </c>
      <c r="N48" s="318">
        <v>10.3</v>
      </c>
      <c r="O48" s="318">
        <v>8.9</v>
      </c>
      <c r="P48" s="1512"/>
      <c r="Q48" s="1624">
        <f t="shared" si="13"/>
        <v>15.230769230769234</v>
      </c>
      <c r="R48" s="1623">
        <f t="shared" si="14"/>
        <v>22.9</v>
      </c>
      <c r="S48" s="1623">
        <f t="shared" si="12"/>
        <v>21.15</v>
      </c>
    </row>
    <row r="49" spans="1:19" s="358" customFormat="1">
      <c r="A49" s="146" t="s">
        <v>144</v>
      </c>
      <c r="B49" s="275"/>
      <c r="C49" s="275">
        <v>4.7</v>
      </c>
      <c r="D49" s="318">
        <v>6.5</v>
      </c>
      <c r="E49" s="318">
        <v>9.1999999999999993</v>
      </c>
      <c r="F49" s="318">
        <v>11.9</v>
      </c>
      <c r="G49" s="318">
        <v>18.600000000000001</v>
      </c>
      <c r="H49" s="318">
        <v>22.1</v>
      </c>
      <c r="I49" s="318">
        <v>22.7</v>
      </c>
      <c r="J49" s="318">
        <v>21.9</v>
      </c>
      <c r="K49" s="318">
        <v>22.4</v>
      </c>
      <c r="L49" s="318">
        <v>19.100000000000001</v>
      </c>
      <c r="M49" s="318">
        <v>17.899999999999999</v>
      </c>
      <c r="N49" s="318"/>
      <c r="O49" s="318">
        <v>8.9</v>
      </c>
      <c r="P49" s="298"/>
      <c r="Q49" s="1624">
        <f>AVERAGE(B49:P49)</f>
        <v>15.491666666666667</v>
      </c>
      <c r="R49" s="1623">
        <f>MAX(B49:P49)</f>
        <v>22.7</v>
      </c>
      <c r="S49" s="1623">
        <f t="shared" si="12"/>
        <v>21.016666666666666</v>
      </c>
    </row>
    <row r="50" spans="1:19" s="358" customFormat="1">
      <c r="A50" s="212" t="s">
        <v>145</v>
      </c>
      <c r="B50" s="275"/>
      <c r="C50" s="275">
        <v>4.5</v>
      </c>
      <c r="D50" s="275"/>
      <c r="E50" s="318">
        <v>9.1999999999999993</v>
      </c>
      <c r="F50" s="318">
        <v>11.5</v>
      </c>
      <c r="G50" s="275"/>
      <c r="H50" s="275"/>
      <c r="I50" s="275"/>
      <c r="J50" s="318">
        <v>21.8</v>
      </c>
      <c r="K50" s="275"/>
      <c r="L50" s="275"/>
      <c r="M50" s="275"/>
      <c r="N50" s="275"/>
      <c r="O50" s="275"/>
      <c r="P50" s="1514"/>
      <c r="Q50" s="1624">
        <f>AVERAGE(B50:P50)</f>
        <v>11.75</v>
      </c>
      <c r="R50" s="1623">
        <f>MAX(B50:P50)</f>
        <v>21.8</v>
      </c>
      <c r="S50" s="1621"/>
    </row>
    <row r="51" spans="1:19">
      <c r="A51" s="212" t="s">
        <v>308</v>
      </c>
      <c r="B51" s="322"/>
      <c r="C51" s="322">
        <f>AVERAGE(C41:C44)</f>
        <v>4.4250000000000007</v>
      </c>
      <c r="D51" s="322">
        <f t="shared" ref="D51:L51" si="15">AVERAGE(D41:D44)</f>
        <v>7.0750000000000002</v>
      </c>
      <c r="E51" s="322">
        <f t="shared" si="15"/>
        <v>9.5</v>
      </c>
      <c r="F51" s="322">
        <f t="shared" si="15"/>
        <v>15.5</v>
      </c>
      <c r="G51" s="322">
        <f t="shared" si="15"/>
        <v>18.950000000000003</v>
      </c>
      <c r="H51" s="322">
        <f t="shared" si="15"/>
        <v>22.900000000000002</v>
      </c>
      <c r="I51" s="322">
        <f t="shared" si="15"/>
        <v>23.200000000000003</v>
      </c>
      <c r="J51" s="322">
        <f t="shared" si="15"/>
        <v>22.35</v>
      </c>
      <c r="K51" s="322">
        <f t="shared" si="15"/>
        <v>22.675000000000001</v>
      </c>
      <c r="L51" s="322">
        <f t="shared" si="15"/>
        <v>19.649999999999999</v>
      </c>
      <c r="M51" s="322">
        <f>AVERAGE(M41:M45)</f>
        <v>18.119999999999997</v>
      </c>
      <c r="N51" s="322">
        <f>AVERAGE(N41:N45)</f>
        <v>10.860000000000001</v>
      </c>
      <c r="O51" s="322">
        <f t="shared" ref="O51:S51" si="16">AVERAGE(O41:O44)</f>
        <v>8.9</v>
      </c>
      <c r="P51" s="322"/>
      <c r="Q51" s="1622">
        <f t="shared" si="16"/>
        <v>15.707692307692307</v>
      </c>
      <c r="R51" s="1622">
        <f t="shared" si="16"/>
        <v>23.200000000000003</v>
      </c>
      <c r="S51" s="1622">
        <f t="shared" si="16"/>
        <v>21.487500000000001</v>
      </c>
    </row>
    <row r="52" spans="1:19">
      <c r="A52" s="212" t="s">
        <v>306</v>
      </c>
      <c r="B52" s="322"/>
      <c r="C52" s="322">
        <f t="shared" ref="C52:Q52" si="17">AVERAGE(C41:C50)</f>
        <v>4.74</v>
      </c>
      <c r="D52" s="322">
        <f t="shared" si="17"/>
        <v>6.7888888888888888</v>
      </c>
      <c r="E52" s="322">
        <f t="shared" si="17"/>
        <v>9.35</v>
      </c>
      <c r="F52" s="322">
        <f t="shared" si="17"/>
        <v>14.040000000000001</v>
      </c>
      <c r="G52" s="322">
        <f t="shared" si="17"/>
        <v>18.81111111111111</v>
      </c>
      <c r="H52" s="322">
        <f t="shared" si="17"/>
        <v>22.644444444444446</v>
      </c>
      <c r="I52" s="322">
        <f t="shared" si="17"/>
        <v>23.011111111111113</v>
      </c>
      <c r="J52" s="322">
        <f t="shared" si="17"/>
        <v>22.110000000000003</v>
      </c>
      <c r="K52" s="322">
        <f t="shared" si="17"/>
        <v>22.533333333333335</v>
      </c>
      <c r="L52" s="322">
        <f t="shared" si="17"/>
        <v>19.444444444444443</v>
      </c>
      <c r="M52" s="322">
        <f t="shared" si="17"/>
        <v>18.055555555555557</v>
      </c>
      <c r="N52" s="322">
        <f t="shared" si="17"/>
        <v>10.7125</v>
      </c>
      <c r="O52" s="322">
        <f t="shared" si="17"/>
        <v>8.9</v>
      </c>
      <c r="P52" s="322"/>
      <c r="Q52" s="1622">
        <f t="shared" si="17"/>
        <v>15.161858974358974</v>
      </c>
      <c r="R52" s="1622">
        <f>AVERAGE(R41:R50)</f>
        <v>22.890000000000004</v>
      </c>
      <c r="S52" s="1622">
        <f>AVERAGE(S41:S50)</f>
        <v>21.305555555555557</v>
      </c>
    </row>
    <row r="53" spans="1:19" ht="15" customHeight="1">
      <c r="A53" s="2955"/>
      <c r="B53" s="2955"/>
      <c r="C53" s="2955"/>
      <c r="D53" s="2955"/>
      <c r="E53" s="2955"/>
      <c r="F53" s="2955"/>
      <c r="G53" s="2955"/>
      <c r="H53" s="2955"/>
      <c r="I53" s="2955"/>
      <c r="J53" s="2955"/>
      <c r="K53" s="2955"/>
      <c r="L53" s="2955"/>
      <c r="M53" s="2955"/>
      <c r="N53" s="2955"/>
      <c r="O53" s="2955"/>
      <c r="P53" s="2955"/>
      <c r="Q53" s="2955"/>
      <c r="R53" s="2955"/>
      <c r="S53" s="2955"/>
    </row>
    <row r="54" spans="1:19">
      <c r="A54" s="554"/>
      <c r="B54" s="570"/>
      <c r="C54" s="570"/>
      <c r="D54" s="570"/>
      <c r="E54" s="571"/>
      <c r="F54" s="570"/>
      <c r="G54" s="570"/>
      <c r="H54" s="570"/>
      <c r="I54" s="570"/>
      <c r="J54" s="570"/>
      <c r="K54" s="570"/>
      <c r="L54" s="570"/>
      <c r="M54" s="572"/>
      <c r="N54" s="570"/>
      <c r="O54" s="572"/>
      <c r="P54" s="572"/>
      <c r="Q54" s="573"/>
      <c r="R54" s="573"/>
      <c r="S54" s="573"/>
    </row>
    <row r="55" spans="1:19">
      <c r="A55" s="554"/>
      <c r="B55" s="570"/>
      <c r="C55" s="570"/>
      <c r="D55" s="570"/>
      <c r="E55" s="571"/>
      <c r="F55" s="570"/>
      <c r="G55" s="570"/>
      <c r="H55" s="570"/>
      <c r="I55" s="570"/>
      <c r="J55" s="570"/>
      <c r="K55" s="570"/>
      <c r="L55" s="570"/>
      <c r="M55" s="572"/>
      <c r="N55" s="570"/>
      <c r="O55" s="572"/>
      <c r="P55" s="572"/>
      <c r="Q55" s="573"/>
      <c r="R55" s="573"/>
      <c r="S55" s="573"/>
    </row>
    <row r="56" spans="1:19">
      <c r="A56" s="554"/>
      <c r="B56" s="570"/>
      <c r="C56" s="570"/>
      <c r="D56" s="570"/>
      <c r="E56" s="571"/>
      <c r="F56" s="570"/>
      <c r="G56" s="570"/>
      <c r="H56" s="570"/>
      <c r="I56" s="570"/>
      <c r="J56" s="570"/>
      <c r="K56" s="570"/>
      <c r="L56" s="570"/>
      <c r="M56" s="572"/>
      <c r="N56" s="570"/>
      <c r="O56" s="572"/>
      <c r="P56" s="572"/>
      <c r="Q56" s="573"/>
      <c r="R56" s="573"/>
      <c r="S56" s="573"/>
    </row>
    <row r="57" spans="1:19">
      <c r="A57" s="554"/>
      <c r="B57" s="570"/>
      <c r="C57" s="570"/>
      <c r="D57" s="570"/>
      <c r="E57" s="571"/>
      <c r="F57" s="570"/>
      <c r="G57" s="570"/>
      <c r="H57" s="570"/>
      <c r="I57" s="570"/>
      <c r="J57" s="570"/>
      <c r="K57" s="570"/>
      <c r="L57" s="570"/>
      <c r="M57" s="572"/>
      <c r="N57" s="570"/>
      <c r="O57" s="572"/>
      <c r="P57" s="572"/>
      <c r="Q57" s="573"/>
      <c r="R57" s="573"/>
      <c r="S57" s="573"/>
    </row>
    <row r="58" spans="1:19">
      <c r="A58" s="554"/>
      <c r="B58" s="570"/>
      <c r="C58" s="570"/>
      <c r="D58" s="570"/>
      <c r="E58" s="571"/>
      <c r="F58" s="570"/>
      <c r="G58" s="570"/>
      <c r="H58" s="570"/>
      <c r="I58" s="570"/>
      <c r="J58" s="570"/>
      <c r="K58" s="570"/>
      <c r="L58" s="570"/>
      <c r="M58" s="572"/>
      <c r="N58" s="570"/>
      <c r="O58" s="572"/>
      <c r="P58" s="572"/>
      <c r="Q58" s="573"/>
      <c r="R58" s="573"/>
      <c r="S58" s="573"/>
    </row>
    <row r="59" spans="1:19">
      <c r="A59" s="554"/>
      <c r="B59" s="570"/>
      <c r="C59" s="570"/>
      <c r="D59" s="570"/>
      <c r="E59" s="571"/>
      <c r="F59" s="570"/>
      <c r="G59" s="570"/>
      <c r="H59" s="570"/>
      <c r="I59" s="570"/>
      <c r="J59" s="570"/>
      <c r="K59" s="570"/>
      <c r="L59" s="570"/>
      <c r="M59" s="572"/>
      <c r="N59" s="570"/>
      <c r="O59" s="572"/>
      <c r="P59" s="572"/>
      <c r="Q59" s="573"/>
      <c r="R59" s="573"/>
      <c r="S59" s="573"/>
    </row>
    <row r="60" spans="1:19">
      <c r="A60" s="554"/>
      <c r="B60" s="570"/>
      <c r="C60" s="570"/>
      <c r="D60" s="570"/>
      <c r="E60" s="571"/>
      <c r="F60" s="570"/>
      <c r="G60" s="570"/>
      <c r="H60" s="570"/>
      <c r="I60" s="570"/>
      <c r="J60" s="570"/>
      <c r="K60" s="570"/>
      <c r="L60" s="570"/>
      <c r="M60" s="572"/>
      <c r="N60" s="570"/>
      <c r="O60" s="572"/>
      <c r="P60" s="572"/>
      <c r="Q60" s="573"/>
      <c r="R60" s="573"/>
      <c r="S60" s="573"/>
    </row>
    <row r="61" spans="1:19" s="358" customFormat="1">
      <c r="A61" s="554"/>
      <c r="B61" s="570"/>
      <c r="C61" s="570"/>
      <c r="D61" s="570"/>
      <c r="E61" s="571"/>
      <c r="F61" s="570"/>
      <c r="G61" s="570"/>
      <c r="H61" s="570"/>
      <c r="I61" s="570"/>
      <c r="J61" s="570"/>
      <c r="K61" s="570"/>
      <c r="L61" s="570"/>
      <c r="M61" s="572"/>
      <c r="N61" s="570"/>
      <c r="O61" s="572"/>
      <c r="P61" s="572"/>
      <c r="Q61" s="573"/>
      <c r="R61" s="573"/>
      <c r="S61" s="573"/>
    </row>
    <row r="62" spans="1:19">
      <c r="A62" s="554"/>
      <c r="B62" s="570"/>
      <c r="C62" s="570"/>
      <c r="D62" s="570"/>
      <c r="E62" s="570"/>
      <c r="F62" s="570"/>
      <c r="G62" s="570"/>
      <c r="H62" s="570"/>
      <c r="I62" s="570"/>
      <c r="J62" s="570"/>
      <c r="K62" s="570"/>
      <c r="L62" s="570"/>
      <c r="M62" s="572"/>
      <c r="N62" s="570"/>
      <c r="O62" s="572"/>
      <c r="P62" s="572"/>
      <c r="Q62" s="573"/>
      <c r="R62" s="573"/>
      <c r="S62" s="573"/>
    </row>
    <row r="63" spans="1:19">
      <c r="A63" s="554"/>
      <c r="B63" s="574"/>
      <c r="C63" s="574"/>
      <c r="D63" s="574"/>
      <c r="E63" s="574"/>
      <c r="F63" s="574"/>
      <c r="G63" s="574"/>
      <c r="H63" s="574"/>
      <c r="I63" s="574"/>
      <c r="J63" s="574"/>
      <c r="K63" s="574"/>
      <c r="L63" s="574"/>
      <c r="M63" s="574"/>
      <c r="N63" s="574"/>
      <c r="O63" s="574"/>
      <c r="P63" s="574"/>
      <c r="Q63" s="574"/>
      <c r="R63" s="573"/>
      <c r="S63" s="573"/>
    </row>
    <row r="64" spans="1:19">
      <c r="A64" s="554"/>
      <c r="B64" s="574"/>
      <c r="C64" s="574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3"/>
      <c r="S64" s="573"/>
    </row>
    <row r="65" spans="1:19" ht="15" customHeight="1">
      <c r="A65" s="2955"/>
      <c r="B65" s="2955"/>
      <c r="C65" s="2955"/>
      <c r="D65" s="2955"/>
      <c r="E65" s="2955"/>
      <c r="F65" s="2955"/>
      <c r="G65" s="2955"/>
      <c r="H65" s="2955"/>
      <c r="I65" s="2955"/>
      <c r="J65" s="2955"/>
      <c r="K65" s="2955"/>
      <c r="L65" s="2955"/>
      <c r="M65" s="2955"/>
      <c r="N65" s="2955"/>
      <c r="O65" s="2955"/>
      <c r="P65" s="2955"/>
      <c r="Q65" s="2955"/>
      <c r="R65" s="2955"/>
      <c r="S65" s="2955"/>
    </row>
    <row r="66" spans="1:19">
      <c r="A66" s="554"/>
      <c r="B66" s="570"/>
      <c r="C66" s="570"/>
      <c r="D66" s="570"/>
      <c r="E66" s="570"/>
      <c r="F66" s="570"/>
      <c r="G66" s="570"/>
      <c r="H66" s="570"/>
      <c r="I66" s="570"/>
      <c r="J66" s="570"/>
      <c r="K66" s="570"/>
      <c r="L66" s="570"/>
      <c r="M66" s="570"/>
      <c r="N66" s="570"/>
      <c r="O66" s="570"/>
      <c r="P66" s="570"/>
      <c r="Q66" s="573"/>
      <c r="R66" s="573"/>
      <c r="S66" s="573"/>
    </row>
    <row r="67" spans="1:19">
      <c r="A67" s="554"/>
      <c r="B67" s="570"/>
      <c r="C67" s="570"/>
      <c r="D67" s="570"/>
      <c r="E67" s="570"/>
      <c r="F67" s="570"/>
      <c r="G67" s="570"/>
      <c r="H67" s="570"/>
      <c r="I67" s="570"/>
      <c r="J67" s="570"/>
      <c r="K67" s="570"/>
      <c r="L67" s="570"/>
      <c r="M67" s="570"/>
      <c r="N67" s="570"/>
      <c r="O67" s="570"/>
      <c r="P67" s="570"/>
      <c r="Q67" s="573"/>
      <c r="R67" s="573"/>
      <c r="S67" s="573"/>
    </row>
    <row r="68" spans="1:19">
      <c r="A68" s="554"/>
      <c r="B68" s="570"/>
      <c r="C68" s="570"/>
      <c r="D68" s="570"/>
      <c r="E68" s="570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3"/>
      <c r="R68" s="573"/>
      <c r="S68" s="573"/>
    </row>
    <row r="69" spans="1:19">
      <c r="A69" s="554"/>
      <c r="B69" s="570"/>
      <c r="C69" s="570"/>
      <c r="D69" s="570"/>
      <c r="E69" s="570"/>
      <c r="F69" s="570"/>
      <c r="G69" s="570"/>
      <c r="H69" s="570"/>
      <c r="I69" s="570"/>
      <c r="J69" s="570"/>
      <c r="K69" s="570"/>
      <c r="L69" s="570"/>
      <c r="M69" s="570"/>
      <c r="N69" s="570"/>
      <c r="O69" s="570"/>
      <c r="P69" s="570"/>
      <c r="Q69" s="573"/>
      <c r="R69" s="573"/>
      <c r="S69" s="573"/>
    </row>
    <row r="70" spans="1:19">
      <c r="A70" s="554"/>
      <c r="B70" s="570"/>
      <c r="C70" s="570"/>
      <c r="D70" s="570"/>
      <c r="E70" s="570"/>
      <c r="F70" s="570"/>
      <c r="G70" s="570"/>
      <c r="H70" s="570"/>
      <c r="I70" s="570"/>
      <c r="J70" s="570"/>
      <c r="K70" s="570"/>
      <c r="L70" s="570"/>
      <c r="M70" s="570"/>
      <c r="N70" s="570"/>
      <c r="O70" s="570"/>
      <c r="P70" s="570"/>
      <c r="Q70" s="573"/>
      <c r="R70" s="573"/>
      <c r="S70" s="573"/>
    </row>
    <row r="71" spans="1:19">
      <c r="A71" s="554"/>
      <c r="B71" s="570"/>
      <c r="C71" s="570"/>
      <c r="D71" s="570"/>
      <c r="E71" s="570"/>
      <c r="F71" s="570"/>
      <c r="G71" s="570"/>
      <c r="H71" s="570"/>
      <c r="I71" s="570"/>
      <c r="J71" s="570"/>
      <c r="K71" s="570"/>
      <c r="L71" s="570"/>
      <c r="M71" s="570"/>
      <c r="N71" s="570"/>
      <c r="O71" s="570"/>
      <c r="P71" s="570"/>
      <c r="Q71" s="573"/>
      <c r="R71" s="573"/>
      <c r="S71" s="573"/>
    </row>
    <row r="72" spans="1:19">
      <c r="A72" s="554"/>
      <c r="B72" s="570"/>
      <c r="C72" s="570"/>
      <c r="D72" s="570"/>
      <c r="E72" s="570"/>
      <c r="F72" s="570"/>
      <c r="G72" s="570"/>
      <c r="H72" s="570"/>
      <c r="I72" s="570"/>
      <c r="J72" s="570"/>
      <c r="K72" s="570"/>
      <c r="L72" s="570"/>
      <c r="M72" s="570"/>
      <c r="N72" s="570"/>
      <c r="O72" s="570"/>
      <c r="P72" s="570"/>
      <c r="Q72" s="573"/>
      <c r="R72" s="573"/>
      <c r="S72" s="573"/>
    </row>
    <row r="73" spans="1:19">
      <c r="A73" s="554"/>
      <c r="B73" s="570"/>
      <c r="C73" s="570"/>
      <c r="D73" s="570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3"/>
      <c r="R73" s="573"/>
      <c r="S73" s="573"/>
    </row>
    <row r="74" spans="1:19">
      <c r="A74" s="554"/>
      <c r="B74" s="570"/>
      <c r="C74" s="570"/>
      <c r="D74" s="570"/>
      <c r="E74" s="570"/>
      <c r="F74" s="570"/>
      <c r="G74" s="570"/>
      <c r="H74" s="570"/>
      <c r="I74" s="570"/>
      <c r="J74" s="570"/>
      <c r="K74" s="570"/>
      <c r="L74" s="570"/>
      <c r="M74" s="570"/>
      <c r="N74" s="570"/>
      <c r="O74" s="570"/>
      <c r="P74" s="570"/>
      <c r="Q74" s="573"/>
      <c r="R74" s="573"/>
      <c r="S74" s="573"/>
    </row>
    <row r="75" spans="1:19" s="358" customFormat="1">
      <c r="A75" s="554"/>
      <c r="B75" s="570"/>
      <c r="C75" s="570"/>
      <c r="D75" s="570"/>
      <c r="E75" s="570"/>
      <c r="F75" s="570"/>
      <c r="G75" s="570"/>
      <c r="H75" s="570"/>
      <c r="I75" s="570"/>
      <c r="J75" s="570"/>
      <c r="K75" s="570"/>
      <c r="L75" s="570"/>
      <c r="M75" s="570"/>
      <c r="N75" s="570"/>
      <c r="O75" s="570"/>
      <c r="P75" s="570"/>
      <c r="Q75" s="573"/>
      <c r="R75" s="573"/>
      <c r="S75" s="573"/>
    </row>
    <row r="76" spans="1:19" s="358" customFormat="1">
      <c r="A76" s="554"/>
      <c r="B76" s="570"/>
      <c r="C76" s="570"/>
      <c r="D76" s="570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3"/>
      <c r="R76" s="573"/>
      <c r="S76" s="573"/>
    </row>
    <row r="77" spans="1:19">
      <c r="A77" s="554"/>
      <c r="B77" s="570"/>
      <c r="C77" s="570"/>
      <c r="D77" s="570"/>
      <c r="E77" s="570"/>
      <c r="F77" s="570"/>
      <c r="G77" s="570"/>
      <c r="H77" s="570"/>
      <c r="I77" s="570"/>
      <c r="J77" s="570"/>
      <c r="K77" s="570"/>
      <c r="L77" s="570"/>
      <c r="M77" s="570"/>
      <c r="N77" s="570"/>
      <c r="O77" s="570"/>
      <c r="P77" s="570"/>
      <c r="Q77" s="573"/>
      <c r="R77" s="573"/>
      <c r="S77" s="573"/>
    </row>
    <row r="78" spans="1:19">
      <c r="A78" s="554"/>
      <c r="B78" s="574"/>
      <c r="C78" s="574"/>
      <c r="D78" s="574"/>
      <c r="E78" s="574"/>
      <c r="F78" s="574"/>
      <c r="G78" s="574"/>
      <c r="H78" s="574"/>
      <c r="I78" s="574"/>
      <c r="J78" s="574"/>
      <c r="K78" s="574"/>
      <c r="L78" s="574"/>
      <c r="M78" s="574"/>
      <c r="N78" s="574"/>
      <c r="O78" s="574"/>
      <c r="P78" s="574"/>
      <c r="Q78" s="41"/>
      <c r="R78" s="41"/>
      <c r="S78" s="41"/>
    </row>
    <row r="79" spans="1:19">
      <c r="A79" s="554"/>
      <c r="B79" s="574"/>
      <c r="C79" s="574"/>
      <c r="D79" s="574"/>
      <c r="E79" s="574"/>
      <c r="F79" s="574"/>
      <c r="G79" s="574"/>
      <c r="H79" s="574"/>
      <c r="I79" s="574"/>
      <c r="J79" s="574"/>
      <c r="K79" s="574"/>
      <c r="L79" s="574"/>
      <c r="M79" s="574"/>
      <c r="N79" s="574"/>
      <c r="O79" s="574"/>
      <c r="P79" s="574"/>
      <c r="Q79" s="41"/>
      <c r="R79" s="41"/>
      <c r="S79" s="41"/>
    </row>
  </sheetData>
  <mergeCells count="6">
    <mergeCell ref="A65:S65"/>
    <mergeCell ref="A1:O1"/>
    <mergeCell ref="A7:S7"/>
    <mergeCell ref="A25:S25"/>
    <mergeCell ref="A40:S40"/>
    <mergeCell ref="A53:S53"/>
  </mergeCells>
  <phoneticPr fontId="0" type="noConversion"/>
  <pageMargins left="0.75" right="0.75" top="1" bottom="1" header="0.5" footer="0.5"/>
  <pageSetup scale="4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DC36D-8543-45FA-A42B-495D0146793C}">
  <dimension ref="A1:P15"/>
  <sheetViews>
    <sheetView topLeftCell="A7" workbookViewId="0">
      <selection activeCell="R14" sqref="R14"/>
    </sheetView>
  </sheetViews>
  <sheetFormatPr defaultRowHeight="14"/>
  <cols>
    <col min="1" max="1" width="29.453125" customWidth="1"/>
    <col min="2" max="2" width="4.7265625" bestFit="1" customWidth="1"/>
    <col min="3" max="3" width="6" bestFit="1" customWidth="1"/>
    <col min="4" max="4" width="6.26953125" bestFit="1" customWidth="1"/>
    <col min="5" max="5" width="5.1796875" bestFit="1" customWidth="1"/>
    <col min="6" max="6" width="6.453125" bestFit="1" customWidth="1"/>
    <col min="7" max="7" width="5.6328125" bestFit="1" customWidth="1"/>
    <col min="8" max="8" width="4.453125" bestFit="1" customWidth="1"/>
    <col min="9" max="9" width="5.36328125" bestFit="1" customWidth="1"/>
    <col min="10" max="10" width="5.26953125" bestFit="1" customWidth="1"/>
    <col min="11" max="11" width="6.1796875" bestFit="1" customWidth="1"/>
    <col min="12" max="13" width="6" bestFit="1" customWidth="1"/>
    <col min="14" max="14" width="5.81640625" bestFit="1" customWidth="1"/>
    <col min="15" max="15" width="5.453125" bestFit="1" customWidth="1"/>
    <col min="16" max="16" width="6.1796875" bestFit="1" customWidth="1"/>
  </cols>
  <sheetData>
    <row r="1" spans="1:16">
      <c r="B1" s="2962" t="s">
        <v>1363</v>
      </c>
      <c r="C1" s="2962"/>
      <c r="D1" s="2962"/>
      <c r="E1" s="2962"/>
      <c r="F1" s="2962"/>
      <c r="G1" s="2962"/>
      <c r="H1" s="2962"/>
      <c r="I1" s="2962"/>
      <c r="J1" s="2962"/>
      <c r="K1" s="2962"/>
      <c r="L1" s="2962"/>
      <c r="M1" s="2962"/>
      <c r="N1" s="2962"/>
      <c r="O1" s="2962"/>
      <c r="P1" s="2962"/>
    </row>
    <row r="2" spans="1:16">
      <c r="A2" s="51"/>
      <c r="B2" s="269">
        <v>43108</v>
      </c>
      <c r="C2" s="2841">
        <v>43143</v>
      </c>
      <c r="D2" s="2841">
        <v>43178</v>
      </c>
      <c r="E2" s="2841">
        <v>43199</v>
      </c>
      <c r="F2" s="2841">
        <v>43234</v>
      </c>
      <c r="G2" s="2841">
        <v>43262</v>
      </c>
      <c r="H2" s="2841">
        <v>43290</v>
      </c>
      <c r="I2" s="2841">
        <v>43297</v>
      </c>
      <c r="J2" s="2841">
        <v>43319</v>
      </c>
      <c r="K2" s="2841">
        <v>43325</v>
      </c>
      <c r="L2" s="2841">
        <v>43353</v>
      </c>
      <c r="M2" s="2841">
        <v>43369</v>
      </c>
      <c r="N2" s="2841">
        <v>43388</v>
      </c>
      <c r="O2" s="2841">
        <v>43409</v>
      </c>
      <c r="P2" s="2841">
        <v>43444</v>
      </c>
    </row>
    <row r="3" spans="1:16">
      <c r="A3" s="54" t="s">
        <v>301</v>
      </c>
      <c r="B3" s="298">
        <v>8.1</v>
      </c>
      <c r="C3" s="2831">
        <v>-4.7</v>
      </c>
      <c r="D3" s="298">
        <v>7.1</v>
      </c>
      <c r="E3" s="298">
        <v>6.6</v>
      </c>
      <c r="F3" s="298">
        <v>15.1</v>
      </c>
      <c r="G3" s="298">
        <v>20.8</v>
      </c>
      <c r="H3" s="298">
        <v>28.9</v>
      </c>
      <c r="I3" s="298">
        <v>20.3</v>
      </c>
      <c r="J3" s="298">
        <v>22.8</v>
      </c>
      <c r="K3" s="298">
        <v>20.8</v>
      </c>
      <c r="L3" s="298">
        <v>23.7</v>
      </c>
      <c r="M3" s="298">
        <v>14.4</v>
      </c>
      <c r="N3" s="298">
        <v>4.4000000000000004</v>
      </c>
      <c r="O3" s="298">
        <v>10</v>
      </c>
      <c r="P3" s="298">
        <v>6.3</v>
      </c>
    </row>
    <row r="4" spans="1:16">
      <c r="A4" s="55" t="s">
        <v>302</v>
      </c>
      <c r="B4" s="298">
        <v>8.1</v>
      </c>
      <c r="C4" s="2831">
        <v>-2.7</v>
      </c>
      <c r="D4" s="298">
        <v>10.199999999999999</v>
      </c>
      <c r="E4" s="298">
        <v>6.1</v>
      </c>
      <c r="F4" s="298">
        <v>19.399999999999999</v>
      </c>
      <c r="G4" s="298">
        <v>21.4</v>
      </c>
      <c r="H4" s="298">
        <v>31.8</v>
      </c>
      <c r="I4" s="298">
        <v>24.2</v>
      </c>
      <c r="J4" s="298">
        <v>24.3</v>
      </c>
      <c r="K4" s="298">
        <v>23</v>
      </c>
      <c r="L4" s="298">
        <v>25.2</v>
      </c>
      <c r="M4" s="298">
        <v>15.6</v>
      </c>
      <c r="N4" s="298">
        <v>5.5</v>
      </c>
      <c r="O4" s="298">
        <v>11.5</v>
      </c>
      <c r="P4" s="298">
        <v>9.3000000000000007</v>
      </c>
    </row>
    <row r="5" spans="1:16">
      <c r="A5" s="55" t="s">
        <v>303</v>
      </c>
      <c r="B5" s="298">
        <v>6.8</v>
      </c>
      <c r="C5" s="2831">
        <v>-3.3</v>
      </c>
      <c r="D5" s="298">
        <v>12</v>
      </c>
      <c r="E5" s="298">
        <v>13.8</v>
      </c>
      <c r="F5" s="298">
        <v>21</v>
      </c>
      <c r="G5" s="298">
        <v>29.8</v>
      </c>
      <c r="H5" s="298">
        <v>33.4</v>
      </c>
      <c r="I5" s="298">
        <v>27.5</v>
      </c>
      <c r="J5" s="298">
        <v>31.4</v>
      </c>
      <c r="K5" s="298">
        <v>27.5</v>
      </c>
      <c r="L5" s="298">
        <v>34.9</v>
      </c>
      <c r="M5" s="298">
        <v>20.399999999999999</v>
      </c>
      <c r="N5" s="298">
        <v>13.6</v>
      </c>
      <c r="O5" s="298">
        <v>12.4</v>
      </c>
      <c r="P5" s="298">
        <v>12.9</v>
      </c>
    </row>
    <row r="6" spans="1:16">
      <c r="A6" s="55" t="s">
        <v>883</v>
      </c>
      <c r="B6" s="298">
        <v>8</v>
      </c>
      <c r="C6" s="2831">
        <v>-3</v>
      </c>
      <c r="D6" s="298">
        <v>14</v>
      </c>
      <c r="E6" s="298">
        <v>16.5</v>
      </c>
      <c r="F6" s="298">
        <v>16.7</v>
      </c>
      <c r="G6" s="298">
        <v>24</v>
      </c>
      <c r="H6" s="298">
        <v>35</v>
      </c>
      <c r="I6" s="298">
        <v>30.4</v>
      </c>
      <c r="J6" s="298">
        <v>33.5</v>
      </c>
      <c r="K6" s="298">
        <v>29.1</v>
      </c>
      <c r="L6" s="298">
        <v>37.700000000000003</v>
      </c>
      <c r="M6" s="298">
        <v>23</v>
      </c>
      <c r="N6" s="298">
        <v>11.9</v>
      </c>
      <c r="O6" s="298">
        <v>13.8</v>
      </c>
      <c r="P6" s="298">
        <v>13.4</v>
      </c>
    </row>
    <row r="7" spans="1:16">
      <c r="A7" s="55" t="s">
        <v>1362</v>
      </c>
      <c r="B7" s="298">
        <v>6.8</v>
      </c>
      <c r="C7" s="2831">
        <v>-4.8</v>
      </c>
      <c r="D7" s="298">
        <v>10.6</v>
      </c>
      <c r="E7" s="298">
        <v>13.5</v>
      </c>
      <c r="F7" s="298">
        <v>19.5</v>
      </c>
      <c r="G7" s="298">
        <v>28.3</v>
      </c>
      <c r="H7" s="298">
        <v>27</v>
      </c>
      <c r="I7" s="298">
        <v>29.4</v>
      </c>
      <c r="J7" s="298">
        <v>24.3</v>
      </c>
      <c r="K7" s="298">
        <v>22.7</v>
      </c>
      <c r="L7" s="298">
        <v>29.2</v>
      </c>
      <c r="M7" s="298">
        <v>15</v>
      </c>
      <c r="N7" s="298">
        <v>8</v>
      </c>
      <c r="O7" s="298">
        <v>12.5</v>
      </c>
      <c r="P7" s="298">
        <v>8.9</v>
      </c>
    </row>
    <row r="9" spans="1:16">
      <c r="B9" s="2962" t="s">
        <v>1364</v>
      </c>
      <c r="C9" s="2962"/>
      <c r="D9" s="2962"/>
      <c r="E9" s="2962"/>
      <c r="F9" s="2962"/>
      <c r="G9" s="2962"/>
      <c r="H9" s="2962"/>
      <c r="I9" s="2962"/>
      <c r="J9" s="2962"/>
      <c r="K9" s="2962"/>
      <c r="L9" s="2962"/>
      <c r="M9" s="2962"/>
      <c r="N9" s="2962"/>
      <c r="O9" s="2962"/>
      <c r="P9" s="2962"/>
    </row>
    <row r="10" spans="1:16">
      <c r="A10" s="55" t="s">
        <v>301</v>
      </c>
      <c r="B10" s="318">
        <v>2.4</v>
      </c>
      <c r="C10" s="318">
        <v>0.6</v>
      </c>
      <c r="D10" s="318">
        <v>3.2</v>
      </c>
      <c r="E10" s="318">
        <v>6.4</v>
      </c>
      <c r="F10" s="318">
        <v>10.8</v>
      </c>
      <c r="G10" s="318">
        <v>13.1</v>
      </c>
      <c r="H10" s="318">
        <v>20.8</v>
      </c>
      <c r="I10" s="318">
        <v>20.8</v>
      </c>
      <c r="J10" s="105">
        <v>15.9</v>
      </c>
      <c r="K10" s="318">
        <v>20.7</v>
      </c>
      <c r="L10" s="318">
        <v>14.3</v>
      </c>
      <c r="M10" s="318">
        <v>15.5</v>
      </c>
      <c r="N10" s="318">
        <v>3.8</v>
      </c>
      <c r="O10" s="318">
        <v>5.2</v>
      </c>
      <c r="P10" s="1512">
        <v>0.6</v>
      </c>
    </row>
    <row r="11" spans="1:16">
      <c r="A11" s="55" t="s">
        <v>302</v>
      </c>
      <c r="B11" s="318">
        <v>7.0000000000000007E-2</v>
      </c>
      <c r="C11" s="318">
        <v>-0.1</v>
      </c>
      <c r="D11" s="318">
        <v>2.6</v>
      </c>
      <c r="E11" s="318">
        <v>6.4</v>
      </c>
      <c r="F11" s="318">
        <v>12.1</v>
      </c>
      <c r="G11" s="318">
        <v>15.3</v>
      </c>
      <c r="H11" s="318">
        <v>19.100000000000001</v>
      </c>
      <c r="I11" s="318">
        <v>16.8</v>
      </c>
      <c r="J11" s="105">
        <v>17.5</v>
      </c>
      <c r="K11" s="318">
        <v>15.8</v>
      </c>
      <c r="L11" s="318">
        <v>14.4</v>
      </c>
      <c r="M11" s="318">
        <v>9.6999999999999993</v>
      </c>
      <c r="N11" s="318">
        <v>1.2</v>
      </c>
      <c r="O11" s="318">
        <v>4.2</v>
      </c>
      <c r="P11" s="1512">
        <v>1.7</v>
      </c>
    </row>
    <row r="12" spans="1:16">
      <c r="A12" s="55" t="s">
        <v>303</v>
      </c>
      <c r="B12" s="318">
        <v>4.2</v>
      </c>
      <c r="C12" s="318">
        <v>4</v>
      </c>
      <c r="D12" s="318">
        <v>8.1</v>
      </c>
      <c r="E12" s="318">
        <v>10.199999999999999</v>
      </c>
      <c r="F12" s="318">
        <v>15.9</v>
      </c>
      <c r="G12" s="318">
        <v>20</v>
      </c>
      <c r="H12" s="318">
        <v>23.2</v>
      </c>
      <c r="I12" s="318">
        <v>21.2</v>
      </c>
      <c r="J12" s="105">
        <v>23</v>
      </c>
      <c r="K12" s="318">
        <v>23.3</v>
      </c>
      <c r="L12" s="318">
        <v>20.8</v>
      </c>
      <c r="M12" s="318">
        <v>18.7</v>
      </c>
      <c r="N12" s="318">
        <v>11.7</v>
      </c>
      <c r="O12" s="318">
        <v>9.1</v>
      </c>
      <c r="P12" s="1512">
        <v>3.7</v>
      </c>
    </row>
    <row r="13" spans="1:16">
      <c r="A13" s="55" t="s">
        <v>883</v>
      </c>
      <c r="B13" s="318">
        <v>3.3</v>
      </c>
      <c r="C13" s="318">
        <v>2.4</v>
      </c>
      <c r="D13" s="318">
        <v>7.4</v>
      </c>
      <c r="E13" s="318">
        <v>11</v>
      </c>
      <c r="F13" s="318">
        <v>16.600000000000001</v>
      </c>
      <c r="G13" s="318">
        <v>19.8</v>
      </c>
      <c r="H13" s="318">
        <v>23.1</v>
      </c>
      <c r="I13" s="318">
        <v>22.5</v>
      </c>
      <c r="J13" s="105">
        <v>23</v>
      </c>
      <c r="K13" s="318">
        <v>20</v>
      </c>
      <c r="L13" s="318">
        <v>20.3</v>
      </c>
      <c r="M13" s="318">
        <v>14.5</v>
      </c>
      <c r="N13" s="318">
        <v>7.8</v>
      </c>
      <c r="O13" s="318">
        <v>8.9</v>
      </c>
      <c r="P13" s="1512">
        <v>4.4000000000000004</v>
      </c>
    </row>
    <row r="14" spans="1:16">
      <c r="A14" s="55" t="s">
        <v>1361</v>
      </c>
      <c r="B14" s="907">
        <v>4.43</v>
      </c>
      <c r="C14" s="907">
        <v>4.05</v>
      </c>
      <c r="D14" s="907">
        <v>6.72</v>
      </c>
      <c r="E14" s="907">
        <v>9.5299999999999994</v>
      </c>
      <c r="F14" s="907">
        <v>15.63</v>
      </c>
      <c r="G14" s="907">
        <v>18.93</v>
      </c>
      <c r="H14" s="907">
        <v>22.78</v>
      </c>
      <c r="I14" s="298">
        <v>23.45</v>
      </c>
      <c r="J14" s="298">
        <v>22.2</v>
      </c>
      <c r="K14" s="298">
        <v>22.5</v>
      </c>
      <c r="L14" s="298">
        <v>19.45</v>
      </c>
      <c r="M14" s="298">
        <v>18.079999999999998</v>
      </c>
      <c r="N14" s="298">
        <v>10.84</v>
      </c>
      <c r="O14" s="298">
        <v>8.9</v>
      </c>
      <c r="P14" s="298">
        <v>2.94</v>
      </c>
    </row>
    <row r="15" spans="1:16">
      <c r="A15" s="55" t="s">
        <v>1365</v>
      </c>
      <c r="B15" s="298">
        <v>4.3</v>
      </c>
      <c r="C15" s="298">
        <v>2.9</v>
      </c>
      <c r="D15" s="298">
        <v>6.9</v>
      </c>
      <c r="E15" s="298">
        <v>9.5</v>
      </c>
      <c r="F15" s="298">
        <v>16.100000000000001</v>
      </c>
      <c r="G15" s="298">
        <v>18.2</v>
      </c>
      <c r="H15" s="298">
        <v>23.1</v>
      </c>
      <c r="I15" s="298">
        <v>24.2</v>
      </c>
      <c r="J15" s="298">
        <v>22.5</v>
      </c>
      <c r="K15" s="298">
        <v>22.7</v>
      </c>
      <c r="L15" s="1584">
        <v>19.5</v>
      </c>
      <c r="M15" s="1584">
        <v>18</v>
      </c>
      <c r="N15" s="298">
        <v>10.9</v>
      </c>
      <c r="O15" s="298">
        <v>8.9</v>
      </c>
      <c r="P15" s="298">
        <v>3.3</v>
      </c>
    </row>
  </sheetData>
  <mergeCells count="2">
    <mergeCell ref="B1:P1"/>
    <mergeCell ref="B9:P9"/>
  </mergeCells>
  <pageMargins left="0.7" right="0.7" top="0.75" bottom="0.75" header="0.3" footer="0.3"/>
  <pageSetup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rgb="FF92D050"/>
    <pageSetUpPr fitToPage="1"/>
  </sheetPr>
  <dimension ref="A1:S75"/>
  <sheetViews>
    <sheetView topLeftCell="A19" zoomScale="75" zoomScaleNormal="75" workbookViewId="0">
      <selection activeCell="A25" sqref="A25"/>
    </sheetView>
  </sheetViews>
  <sheetFormatPr defaultColWidth="14.08984375" defaultRowHeight="14"/>
  <cols>
    <col min="1" max="1" width="31.6328125" style="1" customWidth="1"/>
    <col min="2" max="2" width="6.453125" bestFit="1" customWidth="1"/>
    <col min="3" max="3" width="6.7265625" bestFit="1" customWidth="1"/>
    <col min="4" max="4" width="6.81640625" bestFit="1" customWidth="1"/>
    <col min="5" max="5" width="6.36328125" bestFit="1" customWidth="1"/>
    <col min="6" max="6" width="6.90625" bestFit="1" customWidth="1"/>
    <col min="7" max="7" width="6.36328125" bestFit="1" customWidth="1"/>
    <col min="8" max="8" width="5.90625" bestFit="1" customWidth="1"/>
    <col min="9" max="10" width="6.36328125" bestFit="1" customWidth="1"/>
    <col min="11" max="11" width="6.6328125" bestFit="1" customWidth="1"/>
    <col min="12" max="15" width="6.36328125" bestFit="1" customWidth="1"/>
    <col min="16" max="16" width="6.54296875" style="358" bestFit="1" customWidth="1"/>
    <col min="17" max="17" width="8.1796875" customWidth="1"/>
    <col min="18" max="18" width="7.08984375" bestFit="1" customWidth="1"/>
    <col min="19" max="19" width="10.81640625" customWidth="1"/>
  </cols>
  <sheetData>
    <row r="1" spans="1:19" ht="15.5">
      <c r="A1" s="2928" t="s">
        <v>877</v>
      </c>
      <c r="B1" s="2928"/>
      <c r="C1" s="2928"/>
      <c r="D1" s="2928"/>
      <c r="E1" s="2928"/>
      <c r="F1" s="2928"/>
      <c r="G1" s="2928"/>
      <c r="H1" s="2928"/>
      <c r="I1" s="2928"/>
      <c r="J1" s="2928"/>
      <c r="K1" s="2928"/>
      <c r="L1" s="2928"/>
      <c r="M1" s="2928"/>
      <c r="N1" s="2928"/>
      <c r="O1" s="2928"/>
      <c r="P1" s="1358"/>
    </row>
    <row r="2" spans="1:19" ht="26">
      <c r="A2" s="83"/>
      <c r="B2" s="2842">
        <v>43108</v>
      </c>
      <c r="C2" s="2842">
        <v>43143</v>
      </c>
      <c r="D2" s="2842">
        <v>43178</v>
      </c>
      <c r="E2" s="2842">
        <v>43199</v>
      </c>
      <c r="F2" s="2842">
        <v>43234</v>
      </c>
      <c r="G2" s="2842">
        <v>43262</v>
      </c>
      <c r="H2" s="2842">
        <v>43290</v>
      </c>
      <c r="I2" s="2842">
        <v>43297</v>
      </c>
      <c r="J2" s="2842">
        <v>43319</v>
      </c>
      <c r="K2" s="2842">
        <v>43325</v>
      </c>
      <c r="L2" s="2842">
        <v>43353</v>
      </c>
      <c r="M2" s="2842">
        <v>43369</v>
      </c>
      <c r="N2" s="2842">
        <v>43388</v>
      </c>
      <c r="O2" s="2842">
        <v>43409</v>
      </c>
      <c r="P2" s="2842">
        <v>43444</v>
      </c>
      <c r="Q2" s="1630" t="s">
        <v>85</v>
      </c>
      <c r="R2" s="1631" t="s">
        <v>77</v>
      </c>
      <c r="S2" s="1631" t="s">
        <v>103</v>
      </c>
    </row>
    <row r="3" spans="1:19">
      <c r="A3" s="1646" t="s">
        <v>301</v>
      </c>
      <c r="B3" s="1649">
        <v>1387</v>
      </c>
      <c r="C3" s="1649">
        <v>1323</v>
      </c>
      <c r="D3" s="1649">
        <v>1642</v>
      </c>
      <c r="E3" s="1649">
        <v>1355</v>
      </c>
      <c r="F3" s="1649">
        <v>997</v>
      </c>
      <c r="G3" s="1649">
        <v>1382</v>
      </c>
      <c r="H3" s="1649">
        <v>893</v>
      </c>
      <c r="I3" s="1649">
        <v>1028</v>
      </c>
      <c r="J3" s="74">
        <v>2017</v>
      </c>
      <c r="K3" s="1649">
        <v>978</v>
      </c>
      <c r="L3" s="1649">
        <v>2075</v>
      </c>
      <c r="M3" s="1649">
        <v>1179</v>
      </c>
      <c r="N3" s="1649">
        <v>2088</v>
      </c>
      <c r="O3" s="1649">
        <v>1503</v>
      </c>
      <c r="P3" s="1654">
        <v>2020</v>
      </c>
      <c r="Q3" s="1624">
        <f>AVERAGE(B3:P3)</f>
        <v>1457.8</v>
      </c>
      <c r="R3" s="1623">
        <f>MAX(B3:P3)</f>
        <v>2088</v>
      </c>
      <c r="S3" s="1623">
        <f>AVERAGE(H3:M3)</f>
        <v>1361.6666666666667</v>
      </c>
    </row>
    <row r="4" spans="1:19" s="6" customFormat="1">
      <c r="A4" s="1647" t="s">
        <v>302</v>
      </c>
      <c r="B4" s="1649">
        <v>320.5</v>
      </c>
      <c r="C4" s="1649">
        <v>335.5</v>
      </c>
      <c r="D4" s="1649">
        <v>441.6</v>
      </c>
      <c r="E4" s="1649">
        <v>409.5</v>
      </c>
      <c r="F4" s="1649">
        <v>296.2</v>
      </c>
      <c r="G4" s="1649">
        <v>335.8</v>
      </c>
      <c r="H4" s="1649">
        <v>492.6</v>
      </c>
      <c r="I4" s="1649">
        <v>292.39999999999998</v>
      </c>
      <c r="J4" s="74">
        <v>446.1</v>
      </c>
      <c r="K4" s="1649">
        <v>433</v>
      </c>
      <c r="L4" s="1649">
        <v>267.5</v>
      </c>
      <c r="M4" s="1649">
        <v>336.6</v>
      </c>
      <c r="N4" s="1649">
        <v>329.3</v>
      </c>
      <c r="O4" s="1649">
        <v>372.1</v>
      </c>
      <c r="P4" s="1654">
        <v>546.70000000000005</v>
      </c>
      <c r="Q4" s="1624">
        <f>AVERAGE(B4:P4)</f>
        <v>377.0266666666667</v>
      </c>
      <c r="R4" s="1623">
        <f>MAX(E4:Q4)</f>
        <v>546.70000000000005</v>
      </c>
      <c r="S4" s="1623">
        <f>AVERAGE(H4:M4)</f>
        <v>378.0333333333333</v>
      </c>
    </row>
    <row r="5" spans="1:19">
      <c r="A5" s="1647" t="s">
        <v>303</v>
      </c>
      <c r="B5" s="1649">
        <v>425.9</v>
      </c>
      <c r="C5" s="1649">
        <v>445.2</v>
      </c>
      <c r="D5" s="1649">
        <v>609.4</v>
      </c>
      <c r="E5" s="1649">
        <v>693.5</v>
      </c>
      <c r="F5" s="1649">
        <v>593.79999999999995</v>
      </c>
      <c r="G5" s="1649">
        <v>594</v>
      </c>
      <c r="H5" s="1649">
        <v>616</v>
      </c>
      <c r="I5" s="1649">
        <v>665</v>
      </c>
      <c r="J5" s="74">
        <v>622</v>
      </c>
      <c r="K5" s="1649">
        <v>632</v>
      </c>
      <c r="L5" s="1649">
        <v>651</v>
      </c>
      <c r="M5" s="1649">
        <v>670</v>
      </c>
      <c r="N5" s="1649">
        <v>671</v>
      </c>
      <c r="O5" s="1649">
        <v>679.8</v>
      </c>
      <c r="P5" s="1654">
        <v>756.4</v>
      </c>
      <c r="Q5" s="1624">
        <f>AVERAGE(B5:P5)</f>
        <v>621.66666666666663</v>
      </c>
      <c r="R5" s="1623">
        <f>MAX(E5:Q5)</f>
        <v>756.4</v>
      </c>
      <c r="S5" s="1623">
        <f>AVERAGE(H5:M5)</f>
        <v>642.66666666666663</v>
      </c>
    </row>
    <row r="6" spans="1:19" s="358" customFormat="1">
      <c r="A6" s="1647" t="s">
        <v>884</v>
      </c>
      <c r="B6" s="1649">
        <v>484.1</v>
      </c>
      <c r="C6" s="1649">
        <v>553.70000000000005</v>
      </c>
      <c r="D6" s="1649">
        <v>824</v>
      </c>
      <c r="E6" s="1649">
        <v>828</v>
      </c>
      <c r="F6" s="1649">
        <v>626.70000000000005</v>
      </c>
      <c r="G6" s="1649">
        <v>738</v>
      </c>
      <c r="H6" s="1649">
        <v>789</v>
      </c>
      <c r="I6" s="1649">
        <v>733</v>
      </c>
      <c r="J6" s="74">
        <v>776</v>
      </c>
      <c r="K6" s="1649">
        <v>816</v>
      </c>
      <c r="L6" s="1649">
        <v>811</v>
      </c>
      <c r="M6" s="1649">
        <v>861</v>
      </c>
      <c r="N6" s="1649">
        <v>839</v>
      </c>
      <c r="O6" s="1649">
        <v>796</v>
      </c>
      <c r="P6" s="1654">
        <v>962</v>
      </c>
      <c r="Q6" s="1624">
        <f>AVERAGE(B6:P6)</f>
        <v>762.5</v>
      </c>
      <c r="R6" s="1623">
        <f>MAX(E6:Q6)</f>
        <v>962</v>
      </c>
      <c r="S6" s="1623">
        <f>AVERAGE(H6:M6)</f>
        <v>797.66666666666663</v>
      </c>
    </row>
    <row r="7" spans="1:19" ht="15.5">
      <c r="A7" s="2966" t="s">
        <v>295</v>
      </c>
      <c r="B7" s="2967"/>
      <c r="C7" s="2967"/>
      <c r="D7" s="2967"/>
      <c r="E7" s="2967"/>
      <c r="F7" s="2967"/>
      <c r="G7" s="2967"/>
      <c r="H7" s="2967"/>
      <c r="I7" s="2967"/>
      <c r="J7" s="2967"/>
      <c r="K7" s="2967"/>
      <c r="L7" s="2967"/>
      <c r="M7" s="2967"/>
      <c r="N7" s="2967"/>
      <c r="O7" s="2967"/>
      <c r="P7" s="2967"/>
      <c r="Q7" s="2967"/>
      <c r="R7" s="2967"/>
      <c r="S7" s="2968"/>
    </row>
    <row r="8" spans="1:19">
      <c r="A8" s="146" t="s">
        <v>239</v>
      </c>
      <c r="B8" s="1649">
        <v>406.9</v>
      </c>
      <c r="C8" s="1649">
        <v>401.6</v>
      </c>
      <c r="D8" s="1649">
        <v>600.4</v>
      </c>
      <c r="E8" s="1649">
        <v>691.1</v>
      </c>
      <c r="F8" s="1649">
        <v>593.6</v>
      </c>
      <c r="G8" s="1650">
        <v>592</v>
      </c>
      <c r="H8" s="1650">
        <v>617</v>
      </c>
      <c r="I8" s="1650">
        <v>625</v>
      </c>
      <c r="J8" s="886">
        <v>616</v>
      </c>
      <c r="K8" s="1650">
        <v>630</v>
      </c>
      <c r="L8" s="1650">
        <v>604</v>
      </c>
      <c r="M8" s="1650">
        <v>667</v>
      </c>
      <c r="N8" s="1650">
        <v>667</v>
      </c>
      <c r="O8" s="1650">
        <v>677</v>
      </c>
      <c r="P8" s="1651">
        <v>755</v>
      </c>
      <c r="Q8" s="1624">
        <f t="shared" ref="Q8:Q21" si="0">AVERAGE(B8:P8)</f>
        <v>609.57333333333338</v>
      </c>
      <c r="R8" s="1623">
        <f t="shared" ref="R8:R21" si="1">MAX(B8:P8)</f>
        <v>755</v>
      </c>
      <c r="S8" s="1623">
        <f t="shared" ref="S8:S21" si="2">AVERAGE(H8:M8)</f>
        <v>626.5</v>
      </c>
    </row>
    <row r="9" spans="1:19">
      <c r="A9" s="146" t="s">
        <v>140</v>
      </c>
      <c r="B9" s="1649">
        <v>405.2</v>
      </c>
      <c r="C9" s="1649">
        <v>404.4</v>
      </c>
      <c r="D9" s="1649">
        <v>600.1</v>
      </c>
      <c r="E9" s="1649">
        <v>691.5</v>
      </c>
      <c r="F9" s="1649">
        <v>593.5</v>
      </c>
      <c r="G9" s="1650">
        <v>592</v>
      </c>
      <c r="H9" s="1650">
        <v>613</v>
      </c>
      <c r="I9" s="1650">
        <v>622</v>
      </c>
      <c r="J9" s="886">
        <v>617</v>
      </c>
      <c r="K9" s="1650">
        <v>630</v>
      </c>
      <c r="L9" s="1650">
        <v>604</v>
      </c>
      <c r="M9" s="1650">
        <v>668</v>
      </c>
      <c r="N9" s="1650">
        <v>668</v>
      </c>
      <c r="O9" s="1650">
        <v>677</v>
      </c>
      <c r="P9" s="1651">
        <v>745</v>
      </c>
      <c r="Q9" s="1624">
        <f t="shared" si="0"/>
        <v>608.71333333333337</v>
      </c>
      <c r="R9" s="1623">
        <f t="shared" si="1"/>
        <v>745</v>
      </c>
      <c r="S9" s="1623">
        <f t="shared" si="2"/>
        <v>625.66666666666663</v>
      </c>
    </row>
    <row r="10" spans="1:19">
      <c r="A10" s="146" t="s">
        <v>240</v>
      </c>
      <c r="B10" s="1649">
        <v>413</v>
      </c>
      <c r="C10" s="1649">
        <v>403.3</v>
      </c>
      <c r="D10" s="1649">
        <v>602.29999999999995</v>
      </c>
      <c r="E10" s="1649">
        <v>691.5</v>
      </c>
      <c r="F10" s="1649">
        <v>592.6</v>
      </c>
      <c r="G10" s="1650">
        <v>591</v>
      </c>
      <c r="H10" s="1650">
        <v>613</v>
      </c>
      <c r="I10" s="1650">
        <v>622</v>
      </c>
      <c r="J10" s="886">
        <v>618</v>
      </c>
      <c r="K10" s="1650">
        <v>630</v>
      </c>
      <c r="L10" s="1650">
        <v>604</v>
      </c>
      <c r="M10" s="1650">
        <v>667</v>
      </c>
      <c r="N10" s="1650">
        <v>667</v>
      </c>
      <c r="O10" s="1650">
        <v>677</v>
      </c>
      <c r="P10" s="1651">
        <v>744</v>
      </c>
      <c r="Q10" s="1624">
        <f t="shared" si="0"/>
        <v>609.04666666666674</v>
      </c>
      <c r="R10" s="1623">
        <f t="shared" si="1"/>
        <v>744</v>
      </c>
      <c r="S10" s="1623">
        <f t="shared" si="2"/>
        <v>625.66666666666663</v>
      </c>
    </row>
    <row r="11" spans="1:19">
      <c r="A11" s="146" t="s">
        <v>141</v>
      </c>
      <c r="B11" s="1649">
        <v>426.1</v>
      </c>
      <c r="C11" s="1649">
        <v>437.1</v>
      </c>
      <c r="D11" s="1649">
        <v>601.79999999999995</v>
      </c>
      <c r="E11" s="1649">
        <v>691.9</v>
      </c>
      <c r="F11" s="1649">
        <v>588</v>
      </c>
      <c r="G11" s="1650">
        <v>592</v>
      </c>
      <c r="H11" s="1650">
        <v>616</v>
      </c>
      <c r="I11" s="1650">
        <v>622</v>
      </c>
      <c r="J11" s="886">
        <v>618</v>
      </c>
      <c r="K11" s="1650">
        <v>630</v>
      </c>
      <c r="L11" s="1650">
        <v>604</v>
      </c>
      <c r="M11" s="1650">
        <v>667</v>
      </c>
      <c r="N11" s="1650">
        <v>669</v>
      </c>
      <c r="O11" s="1650">
        <v>677</v>
      </c>
      <c r="P11" s="1651">
        <v>742</v>
      </c>
      <c r="Q11" s="1624">
        <f t="shared" si="0"/>
        <v>612.12666666666667</v>
      </c>
      <c r="R11" s="1623">
        <f t="shared" si="1"/>
        <v>742</v>
      </c>
      <c r="S11" s="1623">
        <f t="shared" si="2"/>
        <v>626.16666666666663</v>
      </c>
    </row>
    <row r="12" spans="1:19">
      <c r="A12" s="146" t="s">
        <v>241</v>
      </c>
      <c r="B12" s="1649">
        <v>439.2</v>
      </c>
      <c r="C12" s="1649">
        <v>489.3</v>
      </c>
      <c r="D12" s="1649">
        <v>601.1</v>
      </c>
      <c r="E12" s="1649">
        <v>692.1</v>
      </c>
      <c r="F12" s="1649">
        <v>585</v>
      </c>
      <c r="G12" s="1650">
        <v>591</v>
      </c>
      <c r="H12" s="1650">
        <v>613</v>
      </c>
      <c r="I12" s="1650">
        <v>622</v>
      </c>
      <c r="J12" s="886">
        <v>618</v>
      </c>
      <c r="K12" s="1650">
        <v>630</v>
      </c>
      <c r="L12" s="1650">
        <v>604</v>
      </c>
      <c r="M12" s="1650">
        <v>667</v>
      </c>
      <c r="N12" s="1650">
        <v>672</v>
      </c>
      <c r="O12" s="1650">
        <v>677</v>
      </c>
      <c r="P12" s="1651">
        <v>742</v>
      </c>
      <c r="Q12" s="1624">
        <f t="shared" si="0"/>
        <v>616.18000000000006</v>
      </c>
      <c r="R12" s="1623">
        <f t="shared" si="1"/>
        <v>742</v>
      </c>
      <c r="S12" s="1623">
        <f t="shared" si="2"/>
        <v>625.66666666666663</v>
      </c>
    </row>
    <row r="13" spans="1:19">
      <c r="A13" s="146" t="s">
        <v>142</v>
      </c>
      <c r="B13" s="1649">
        <v>458</v>
      </c>
      <c r="C13" s="1649">
        <v>515.1</v>
      </c>
      <c r="D13" s="1649">
        <v>601.29999999999995</v>
      </c>
      <c r="E13" s="1649">
        <v>691.8</v>
      </c>
      <c r="F13" s="1649">
        <v>606.5</v>
      </c>
      <c r="G13" s="1650">
        <v>591</v>
      </c>
      <c r="H13" s="1650">
        <v>613</v>
      </c>
      <c r="I13" s="1650">
        <v>622</v>
      </c>
      <c r="J13" s="886">
        <v>618</v>
      </c>
      <c r="K13" s="1650">
        <v>631</v>
      </c>
      <c r="L13" s="1650">
        <v>604</v>
      </c>
      <c r="M13" s="1650">
        <v>667</v>
      </c>
      <c r="N13" s="1650">
        <v>672</v>
      </c>
      <c r="O13" s="1650">
        <v>677</v>
      </c>
      <c r="P13" s="1651">
        <v>742</v>
      </c>
      <c r="Q13" s="1624">
        <f t="shared" si="0"/>
        <v>620.64666666666676</v>
      </c>
      <c r="R13" s="1623">
        <f t="shared" si="1"/>
        <v>742</v>
      </c>
      <c r="S13" s="1623">
        <f t="shared" si="2"/>
        <v>625.83333333333337</v>
      </c>
    </row>
    <row r="14" spans="1:19">
      <c r="A14" s="146" t="s">
        <v>242</v>
      </c>
      <c r="B14" s="1649">
        <v>464.9</v>
      </c>
      <c r="C14" s="1649" t="s">
        <v>1751</v>
      </c>
      <c r="D14" s="1649">
        <v>602.29999999999995</v>
      </c>
      <c r="E14" s="1649">
        <v>691.8</v>
      </c>
      <c r="F14" s="1649">
        <v>663</v>
      </c>
      <c r="G14" s="1650">
        <v>591</v>
      </c>
      <c r="H14" s="1650">
        <v>613</v>
      </c>
      <c r="I14" s="1650">
        <v>622</v>
      </c>
      <c r="J14" s="886">
        <v>618</v>
      </c>
      <c r="K14" s="1650">
        <v>631</v>
      </c>
      <c r="L14" s="1650">
        <v>604</v>
      </c>
      <c r="M14" s="1650">
        <v>667</v>
      </c>
      <c r="N14" s="1650">
        <v>672</v>
      </c>
      <c r="O14" s="1650">
        <v>677</v>
      </c>
      <c r="P14" s="1651">
        <v>738</v>
      </c>
      <c r="Q14" s="1624">
        <f t="shared" si="0"/>
        <v>632.5</v>
      </c>
      <c r="R14" s="1623">
        <f t="shared" si="1"/>
        <v>738</v>
      </c>
      <c r="S14" s="1623">
        <f t="shared" si="2"/>
        <v>625.83333333333337</v>
      </c>
    </row>
    <row r="15" spans="1:19">
      <c r="A15" s="146" t="s">
        <v>143</v>
      </c>
      <c r="B15" s="1649">
        <v>472</v>
      </c>
      <c r="C15" s="1649">
        <v>564.20000000000005</v>
      </c>
      <c r="D15" s="1649">
        <v>606.20000000000005</v>
      </c>
      <c r="E15" s="1649">
        <v>691.8</v>
      </c>
      <c r="F15" s="1649">
        <v>695</v>
      </c>
      <c r="G15" s="1650">
        <v>592</v>
      </c>
      <c r="H15" s="1650">
        <v>614</v>
      </c>
      <c r="I15" s="1650">
        <v>622</v>
      </c>
      <c r="J15" s="886">
        <v>618</v>
      </c>
      <c r="K15" s="1650">
        <v>631</v>
      </c>
      <c r="L15" s="1650">
        <v>647</v>
      </c>
      <c r="M15" s="1650">
        <v>667</v>
      </c>
      <c r="N15" s="1650">
        <v>668</v>
      </c>
      <c r="O15" s="1650">
        <v>677</v>
      </c>
      <c r="P15" s="1651">
        <v>735</v>
      </c>
      <c r="Q15" s="1624">
        <f t="shared" si="0"/>
        <v>633.34666666666669</v>
      </c>
      <c r="R15" s="1623">
        <f t="shared" si="1"/>
        <v>735</v>
      </c>
      <c r="S15" s="1623">
        <f t="shared" si="2"/>
        <v>633.16666666666663</v>
      </c>
    </row>
    <row r="16" spans="1:19">
      <c r="A16" s="146" t="s">
        <v>144</v>
      </c>
      <c r="B16" s="1649">
        <v>505.6</v>
      </c>
      <c r="C16" s="1649">
        <v>622.29999999999995</v>
      </c>
      <c r="D16" s="1649">
        <v>616.4</v>
      </c>
      <c r="E16" s="1649">
        <v>691.8</v>
      </c>
      <c r="F16" s="1649">
        <v>705</v>
      </c>
      <c r="G16" s="1650">
        <v>591</v>
      </c>
      <c r="H16" s="1650">
        <v>615</v>
      </c>
      <c r="I16" s="1650">
        <v>622</v>
      </c>
      <c r="J16" s="886">
        <v>619</v>
      </c>
      <c r="K16" s="1650">
        <v>631</v>
      </c>
      <c r="L16" s="1650">
        <v>643</v>
      </c>
      <c r="M16" s="1650">
        <v>667</v>
      </c>
      <c r="N16" s="1650">
        <v>668</v>
      </c>
      <c r="O16" s="1650">
        <v>677</v>
      </c>
      <c r="P16" s="1651"/>
      <c r="Q16" s="1624">
        <f t="shared" si="0"/>
        <v>633.86428571428576</v>
      </c>
      <c r="R16" s="1623">
        <f t="shared" si="1"/>
        <v>705</v>
      </c>
      <c r="S16" s="1623">
        <f t="shared" si="2"/>
        <v>632.83333333333337</v>
      </c>
    </row>
    <row r="17" spans="1:19">
      <c r="A17" s="146" t="s">
        <v>145</v>
      </c>
      <c r="B17" s="1649">
        <v>548.70000000000005</v>
      </c>
      <c r="C17" s="1649">
        <v>709.8</v>
      </c>
      <c r="D17" s="1649">
        <v>661.2</v>
      </c>
      <c r="E17" s="1649">
        <v>691.8</v>
      </c>
      <c r="F17" s="1649">
        <v>707</v>
      </c>
      <c r="G17" s="1650">
        <v>591</v>
      </c>
      <c r="H17" s="1650">
        <v>626</v>
      </c>
      <c r="I17" s="1650">
        <v>626</v>
      </c>
      <c r="J17" s="886">
        <v>619</v>
      </c>
      <c r="K17" s="1650">
        <v>631</v>
      </c>
      <c r="L17" s="1650">
        <v>640</v>
      </c>
      <c r="M17" s="1650">
        <v>668</v>
      </c>
      <c r="N17" s="1650">
        <v>669</v>
      </c>
      <c r="O17" s="1650">
        <v>677</v>
      </c>
      <c r="P17" s="1651"/>
      <c r="Q17" s="1624">
        <f t="shared" si="0"/>
        <v>647.53571428571433</v>
      </c>
      <c r="R17" s="1623">
        <f t="shared" si="1"/>
        <v>709.8</v>
      </c>
      <c r="S17" s="1623">
        <f t="shared" si="2"/>
        <v>635</v>
      </c>
    </row>
    <row r="18" spans="1:19">
      <c r="A18" s="146" t="s">
        <v>146</v>
      </c>
      <c r="B18" s="1649">
        <v>623.29999999999995</v>
      </c>
      <c r="C18" s="1653">
        <v>773.1</v>
      </c>
      <c r="D18" s="1649">
        <v>684.7</v>
      </c>
      <c r="E18" s="1649">
        <v>691.3</v>
      </c>
      <c r="F18" s="1649">
        <v>711</v>
      </c>
      <c r="G18" s="1650">
        <v>591</v>
      </c>
      <c r="H18" s="1650">
        <v>613</v>
      </c>
      <c r="I18" s="1650">
        <v>631</v>
      </c>
      <c r="J18" s="886">
        <v>621</v>
      </c>
      <c r="K18" s="1655">
        <v>633</v>
      </c>
      <c r="L18" s="1650">
        <v>639</v>
      </c>
      <c r="M18" s="1650">
        <v>666</v>
      </c>
      <c r="N18" s="1650">
        <v>671</v>
      </c>
      <c r="O18" s="1650">
        <v>678</v>
      </c>
      <c r="P18" s="1651"/>
      <c r="Q18" s="1624">
        <f t="shared" si="0"/>
        <v>659.02857142857158</v>
      </c>
      <c r="R18" s="1623">
        <f t="shared" si="1"/>
        <v>773.1</v>
      </c>
      <c r="S18" s="1623">
        <f t="shared" si="2"/>
        <v>633.83333333333337</v>
      </c>
    </row>
    <row r="19" spans="1:19">
      <c r="A19" s="146" t="s">
        <v>147</v>
      </c>
      <c r="B19" s="1649">
        <v>737.3</v>
      </c>
      <c r="C19" s="1649">
        <v>872</v>
      </c>
      <c r="D19" s="1649">
        <v>742.7</v>
      </c>
      <c r="E19" s="1649">
        <v>691.2</v>
      </c>
      <c r="F19" s="1649">
        <v>713</v>
      </c>
      <c r="G19" s="1650">
        <v>591</v>
      </c>
      <c r="H19" s="1650">
        <v>613</v>
      </c>
      <c r="I19" s="1650">
        <v>636</v>
      </c>
      <c r="J19" s="886">
        <v>622</v>
      </c>
      <c r="K19" s="1655">
        <v>637</v>
      </c>
      <c r="L19" s="1650">
        <v>629</v>
      </c>
      <c r="M19" s="1650">
        <v>665</v>
      </c>
      <c r="N19" s="1650">
        <v>672</v>
      </c>
      <c r="O19" s="1650">
        <v>678</v>
      </c>
      <c r="P19" s="1651"/>
      <c r="Q19" s="1624">
        <f t="shared" si="0"/>
        <v>678.51428571428573</v>
      </c>
      <c r="R19" s="1623">
        <f t="shared" si="1"/>
        <v>872</v>
      </c>
      <c r="S19" s="1623">
        <f t="shared" si="2"/>
        <v>633.66666666666663</v>
      </c>
    </row>
    <row r="20" spans="1:19">
      <c r="A20" s="146" t="s">
        <v>148</v>
      </c>
      <c r="B20" s="1649">
        <v>848</v>
      </c>
      <c r="C20" s="1649">
        <v>940.8</v>
      </c>
      <c r="D20" s="1649">
        <v>765.7</v>
      </c>
      <c r="E20" s="1649">
        <v>691</v>
      </c>
      <c r="F20" s="1649">
        <v>715</v>
      </c>
      <c r="G20" s="1650">
        <v>594</v>
      </c>
      <c r="H20" s="1650">
        <v>613</v>
      </c>
      <c r="I20" s="1650">
        <v>628</v>
      </c>
      <c r="J20" s="886">
        <v>624</v>
      </c>
      <c r="K20" s="1655">
        <v>641</v>
      </c>
      <c r="L20" s="1650">
        <v>629</v>
      </c>
      <c r="M20" s="1650">
        <v>665</v>
      </c>
      <c r="N20" s="1650">
        <v>671</v>
      </c>
      <c r="O20" s="1650">
        <v>678</v>
      </c>
      <c r="P20" s="1651"/>
      <c r="Q20" s="1624">
        <f t="shared" si="0"/>
        <v>693.10714285714289</v>
      </c>
      <c r="R20" s="1623">
        <f t="shared" si="1"/>
        <v>940.8</v>
      </c>
      <c r="S20" s="1623">
        <f t="shared" si="2"/>
        <v>633.33333333333337</v>
      </c>
    </row>
    <row r="21" spans="1:19">
      <c r="A21" s="146" t="s">
        <v>167</v>
      </c>
      <c r="B21" s="1649">
        <v>977</v>
      </c>
      <c r="C21" s="1649">
        <v>1034</v>
      </c>
      <c r="D21" s="1649">
        <v>817</v>
      </c>
      <c r="E21" s="1649">
        <v>701.5</v>
      </c>
      <c r="F21" s="1649">
        <v>718</v>
      </c>
      <c r="G21" s="1650">
        <v>606</v>
      </c>
      <c r="H21" s="1650">
        <v>614</v>
      </c>
      <c r="I21" s="1650">
        <v>627</v>
      </c>
      <c r="J21" s="886">
        <v>627</v>
      </c>
      <c r="K21" s="1650">
        <v>653</v>
      </c>
      <c r="L21" s="1650">
        <v>605</v>
      </c>
      <c r="M21" s="1650"/>
      <c r="N21" s="1650"/>
      <c r="O21" s="1650"/>
      <c r="P21" s="1651"/>
      <c r="Q21" s="1624">
        <f t="shared" si="0"/>
        <v>725.40909090909088</v>
      </c>
      <c r="R21" s="1623">
        <f t="shared" si="1"/>
        <v>1034</v>
      </c>
      <c r="S21" s="1623">
        <f t="shared" si="2"/>
        <v>625.20000000000005</v>
      </c>
    </row>
    <row r="22" spans="1:19">
      <c r="A22" s="146" t="s">
        <v>305</v>
      </c>
      <c r="B22" s="323">
        <f>AVERAGE(B8:B11)</f>
        <v>412.79999999999995</v>
      </c>
      <c r="C22" s="323">
        <f t="shared" ref="C22:P22" si="3">AVERAGE(C8:C11)</f>
        <v>411.6</v>
      </c>
      <c r="D22" s="323">
        <f t="shared" si="3"/>
        <v>601.15</v>
      </c>
      <c r="E22" s="323">
        <f t="shared" si="3"/>
        <v>691.5</v>
      </c>
      <c r="F22" s="323">
        <f t="shared" si="3"/>
        <v>591.92499999999995</v>
      </c>
      <c r="G22" s="323">
        <f t="shared" si="3"/>
        <v>591.75</v>
      </c>
      <c r="H22" s="323">
        <f t="shared" si="3"/>
        <v>614.75</v>
      </c>
      <c r="I22" s="323">
        <f t="shared" si="3"/>
        <v>622.75</v>
      </c>
      <c r="J22" s="323">
        <f t="shared" si="3"/>
        <v>617.25</v>
      </c>
      <c r="K22" s="323">
        <f t="shared" si="3"/>
        <v>630</v>
      </c>
      <c r="L22" s="323">
        <f t="shared" si="3"/>
        <v>604</v>
      </c>
      <c r="M22" s="323">
        <f t="shared" si="3"/>
        <v>667.25</v>
      </c>
      <c r="N22" s="323">
        <f t="shared" si="3"/>
        <v>667.75</v>
      </c>
      <c r="O22" s="323">
        <f t="shared" si="3"/>
        <v>677</v>
      </c>
      <c r="P22" s="323">
        <f t="shared" si="3"/>
        <v>746.5</v>
      </c>
      <c r="Q22" s="1648">
        <f>AVERAGE(Q8:Q11)</f>
        <v>609.86500000000001</v>
      </c>
      <c r="R22" s="1648">
        <f>AVERAGE(R8:R11)</f>
        <v>746.5</v>
      </c>
      <c r="S22" s="1648">
        <f>AVERAGE(S8:S11)</f>
        <v>625.99999999999989</v>
      </c>
    </row>
    <row r="23" spans="1:19">
      <c r="A23" s="149" t="s">
        <v>309</v>
      </c>
      <c r="B23" s="323">
        <f>AVERAGE(B8:B21)</f>
        <v>551.79999999999995</v>
      </c>
      <c r="C23" s="323">
        <f t="shared" ref="C23:P23" si="4">AVERAGE(C8:C21)</f>
        <v>628.23076923076928</v>
      </c>
      <c r="D23" s="323">
        <f t="shared" si="4"/>
        <v>650.2285714285714</v>
      </c>
      <c r="E23" s="323">
        <f t="shared" si="4"/>
        <v>692.2928571428572</v>
      </c>
      <c r="F23" s="323">
        <f t="shared" si="4"/>
        <v>656.15714285714296</v>
      </c>
      <c r="G23" s="323">
        <f t="shared" si="4"/>
        <v>592.57142857142856</v>
      </c>
      <c r="H23" s="323">
        <f t="shared" si="4"/>
        <v>614.71428571428567</v>
      </c>
      <c r="I23" s="323">
        <f t="shared" si="4"/>
        <v>624.92857142857144</v>
      </c>
      <c r="J23" s="323">
        <f t="shared" si="4"/>
        <v>619.5</v>
      </c>
      <c r="K23" s="323">
        <f t="shared" si="4"/>
        <v>633.5</v>
      </c>
      <c r="L23" s="323">
        <f t="shared" si="4"/>
        <v>618.57142857142856</v>
      </c>
      <c r="M23" s="323">
        <f t="shared" si="4"/>
        <v>666.76923076923072</v>
      </c>
      <c r="N23" s="323">
        <f t="shared" si="4"/>
        <v>669.69230769230774</v>
      </c>
      <c r="O23" s="323">
        <f t="shared" si="4"/>
        <v>677.23076923076928</v>
      </c>
      <c r="P23" s="323">
        <f t="shared" si="4"/>
        <v>742.875</v>
      </c>
      <c r="Q23" s="1648">
        <f>AVERAGE(Q8:Q21)</f>
        <v>641.3994588744589</v>
      </c>
      <c r="R23" s="1648">
        <f>AVERAGE(R8:R21)</f>
        <v>784.12142857142862</v>
      </c>
      <c r="S23" s="1648">
        <f>AVERAGE(S8:S21)</f>
        <v>629.16904761904766</v>
      </c>
    </row>
    <row r="24" spans="1:19" ht="15.5">
      <c r="A24" s="2963" t="s">
        <v>296</v>
      </c>
      <c r="B24" s="2964"/>
      <c r="C24" s="2964"/>
      <c r="D24" s="2964"/>
      <c r="E24" s="2964"/>
      <c r="F24" s="2964"/>
      <c r="G24" s="2964"/>
      <c r="H24" s="2964"/>
      <c r="I24" s="2964"/>
      <c r="J24" s="2964"/>
      <c r="K24" s="2964"/>
      <c r="L24" s="2964"/>
      <c r="M24" s="2964"/>
      <c r="N24" s="2964"/>
      <c r="O24" s="2964"/>
      <c r="P24" s="2964"/>
      <c r="Q24" s="2964"/>
      <c r="R24" s="2964"/>
      <c r="S24" s="2965"/>
    </row>
    <row r="25" spans="1:19">
      <c r="A25" s="146" t="s">
        <v>239</v>
      </c>
      <c r="B25" s="1657">
        <v>403.2</v>
      </c>
      <c r="C25" s="1657">
        <v>367.8</v>
      </c>
      <c r="D25" s="1657">
        <v>603.5</v>
      </c>
      <c r="E25" s="1655">
        <v>691.3</v>
      </c>
      <c r="F25" s="1655">
        <v>595.29999999999995</v>
      </c>
      <c r="G25" s="1655">
        <v>593</v>
      </c>
      <c r="H25" s="1655">
        <v>613</v>
      </c>
      <c r="I25" s="1655">
        <v>622</v>
      </c>
      <c r="J25" s="1655">
        <v>616</v>
      </c>
      <c r="K25" s="1655">
        <v>629</v>
      </c>
      <c r="L25" s="1655">
        <v>658</v>
      </c>
      <c r="M25" s="1655">
        <v>666</v>
      </c>
      <c r="N25" s="1655">
        <v>670</v>
      </c>
      <c r="O25" s="1655">
        <v>677</v>
      </c>
      <c r="P25" s="1658"/>
      <c r="Q25" s="1624">
        <f t="shared" ref="Q25:Q35" si="5">AVERAGE(B25:P25)</f>
        <v>600.36428571428576</v>
      </c>
      <c r="R25" s="1623">
        <f t="shared" ref="R25:R35" si="6">MAX(B25:P25)</f>
        <v>691.3</v>
      </c>
      <c r="S25" s="1623">
        <f t="shared" ref="S25:S36" si="7">AVERAGE(H25:M25)</f>
        <v>634</v>
      </c>
    </row>
    <row r="26" spans="1:19">
      <c r="A26" s="146" t="s">
        <v>140</v>
      </c>
      <c r="B26" s="1657">
        <v>402.9</v>
      </c>
      <c r="C26" s="1657">
        <v>401.3</v>
      </c>
      <c r="D26" s="1657">
        <v>602.6</v>
      </c>
      <c r="E26" s="1655">
        <v>691.8</v>
      </c>
      <c r="F26" s="1655">
        <v>595.70000000000005</v>
      </c>
      <c r="G26" s="1655">
        <v>593</v>
      </c>
      <c r="H26" s="1655">
        <v>614</v>
      </c>
      <c r="I26" s="1655">
        <v>622</v>
      </c>
      <c r="J26" s="1655">
        <v>617</v>
      </c>
      <c r="K26" s="1655">
        <v>629</v>
      </c>
      <c r="L26" s="1655">
        <v>650</v>
      </c>
      <c r="M26" s="1655">
        <v>666</v>
      </c>
      <c r="N26" s="1655">
        <v>670</v>
      </c>
      <c r="O26" s="1655">
        <v>677</v>
      </c>
      <c r="P26" s="1658"/>
      <c r="Q26" s="1624">
        <f t="shared" si="5"/>
        <v>602.30714285714282</v>
      </c>
      <c r="R26" s="1623">
        <f t="shared" si="6"/>
        <v>691.8</v>
      </c>
      <c r="S26" s="1623">
        <f t="shared" si="7"/>
        <v>633</v>
      </c>
    </row>
    <row r="27" spans="1:19">
      <c r="A27" s="146" t="s">
        <v>240</v>
      </c>
      <c r="B27" s="1657">
        <v>431.6</v>
      </c>
      <c r="C27" s="1657">
        <v>423.5</v>
      </c>
      <c r="D27" s="1657">
        <v>603.70000000000005</v>
      </c>
      <c r="E27" s="1655">
        <v>691.7</v>
      </c>
      <c r="F27" s="1655">
        <v>595.1</v>
      </c>
      <c r="G27" s="1655">
        <v>593</v>
      </c>
      <c r="H27" s="1655">
        <v>614</v>
      </c>
      <c r="I27" s="1655">
        <v>621</v>
      </c>
      <c r="J27" s="1655">
        <v>617</v>
      </c>
      <c r="K27" s="1655">
        <v>629</v>
      </c>
      <c r="L27" s="1655">
        <v>649</v>
      </c>
      <c r="M27" s="1655">
        <v>666</v>
      </c>
      <c r="N27" s="1655">
        <v>671</v>
      </c>
      <c r="O27" s="1655">
        <v>677</v>
      </c>
      <c r="P27" s="1658"/>
      <c r="Q27" s="1624">
        <f t="shared" si="5"/>
        <v>605.9</v>
      </c>
      <c r="R27" s="1623">
        <f t="shared" si="6"/>
        <v>691.7</v>
      </c>
      <c r="S27" s="1623">
        <f t="shared" si="7"/>
        <v>632.66666666666663</v>
      </c>
    </row>
    <row r="28" spans="1:19">
      <c r="A28" s="146" t="s">
        <v>141</v>
      </c>
      <c r="B28" s="1657">
        <v>440.8</v>
      </c>
      <c r="C28" s="1657">
        <v>444</v>
      </c>
      <c r="D28" s="1657">
        <v>602.9</v>
      </c>
      <c r="E28" s="1655">
        <v>692.4</v>
      </c>
      <c r="F28" s="1655">
        <v>593.5</v>
      </c>
      <c r="G28" s="1655">
        <v>592</v>
      </c>
      <c r="H28" s="1655">
        <v>614</v>
      </c>
      <c r="I28" s="1655">
        <v>622</v>
      </c>
      <c r="J28" s="1655">
        <v>617</v>
      </c>
      <c r="K28" s="1655">
        <v>629</v>
      </c>
      <c r="L28" s="1655">
        <v>649</v>
      </c>
      <c r="M28" s="1655">
        <v>666</v>
      </c>
      <c r="N28" s="1655">
        <v>671</v>
      </c>
      <c r="O28" s="1655">
        <v>677</v>
      </c>
      <c r="P28" s="1658"/>
      <c r="Q28" s="1624">
        <f t="shared" si="5"/>
        <v>607.9</v>
      </c>
      <c r="R28" s="1623">
        <f t="shared" si="6"/>
        <v>692.4</v>
      </c>
      <c r="S28" s="1623">
        <f t="shared" si="7"/>
        <v>632.83333333333337</v>
      </c>
    </row>
    <row r="29" spans="1:19">
      <c r="A29" s="146" t="s">
        <v>241</v>
      </c>
      <c r="B29" s="1657">
        <v>445.3</v>
      </c>
      <c r="C29" s="1657">
        <v>469.1</v>
      </c>
      <c r="D29" s="1657">
        <v>607.20000000000005</v>
      </c>
      <c r="E29" s="1655">
        <v>692</v>
      </c>
      <c r="F29" s="1652">
        <v>625.70000000000005</v>
      </c>
      <c r="G29" s="1655">
        <v>592</v>
      </c>
      <c r="H29" s="1655">
        <v>614</v>
      </c>
      <c r="I29" s="1655">
        <v>623</v>
      </c>
      <c r="J29" s="1655">
        <v>618</v>
      </c>
      <c r="K29" s="1655">
        <v>630</v>
      </c>
      <c r="L29" s="1655">
        <v>649</v>
      </c>
      <c r="M29" s="1655">
        <v>666</v>
      </c>
      <c r="N29" s="1655">
        <v>671</v>
      </c>
      <c r="O29" s="1655">
        <v>677</v>
      </c>
      <c r="P29" s="1658"/>
      <c r="Q29" s="1624">
        <f t="shared" si="5"/>
        <v>612.80714285714282</v>
      </c>
      <c r="R29" s="1623">
        <f t="shared" si="6"/>
        <v>692</v>
      </c>
      <c r="S29" s="1623">
        <f t="shared" si="7"/>
        <v>633.33333333333337</v>
      </c>
    </row>
    <row r="30" spans="1:19">
      <c r="A30" s="146" t="s">
        <v>142</v>
      </c>
      <c r="B30" s="1657">
        <v>457</v>
      </c>
      <c r="C30" s="1657">
        <v>498.3</v>
      </c>
      <c r="D30" s="1657">
        <v>608.1</v>
      </c>
      <c r="E30" s="1652">
        <v>601.70000000000005</v>
      </c>
      <c r="F30" s="1655">
        <v>655</v>
      </c>
      <c r="G30" s="1655">
        <v>591</v>
      </c>
      <c r="H30" s="1655">
        <v>613</v>
      </c>
      <c r="I30" s="1655">
        <v>623</v>
      </c>
      <c r="J30" s="1655">
        <v>618</v>
      </c>
      <c r="K30" s="1655">
        <v>630</v>
      </c>
      <c r="L30" s="1655">
        <v>650</v>
      </c>
      <c r="M30" s="1655">
        <v>666</v>
      </c>
      <c r="N30" s="1655">
        <v>671</v>
      </c>
      <c r="O30" s="1655">
        <v>677</v>
      </c>
      <c r="P30" s="1658"/>
      <c r="Q30" s="1624">
        <f t="shared" si="5"/>
        <v>611.36428571428576</v>
      </c>
      <c r="R30" s="1623">
        <f t="shared" si="6"/>
        <v>677</v>
      </c>
      <c r="S30" s="1623">
        <f t="shared" si="7"/>
        <v>633.33333333333337</v>
      </c>
    </row>
    <row r="31" spans="1:19">
      <c r="A31" s="146" t="s">
        <v>242</v>
      </c>
      <c r="B31" s="1657">
        <v>466.8</v>
      </c>
      <c r="C31" s="1657">
        <v>537.4</v>
      </c>
      <c r="D31" s="1657">
        <v>609.6</v>
      </c>
      <c r="E31" s="1655">
        <v>691.8</v>
      </c>
      <c r="F31" s="1655">
        <v>673</v>
      </c>
      <c r="G31" s="1655">
        <v>592</v>
      </c>
      <c r="H31" s="1655">
        <v>614</v>
      </c>
      <c r="I31" s="1655">
        <v>623</v>
      </c>
      <c r="J31" s="1655">
        <v>618</v>
      </c>
      <c r="K31" s="1655">
        <v>630</v>
      </c>
      <c r="L31" s="1655">
        <v>649</v>
      </c>
      <c r="M31" s="1655">
        <v>666</v>
      </c>
      <c r="N31" s="1655">
        <v>671</v>
      </c>
      <c r="O31" s="1655">
        <v>677</v>
      </c>
      <c r="P31" s="1658"/>
      <c r="Q31" s="1624">
        <f t="shared" si="5"/>
        <v>622.75714285714287</v>
      </c>
      <c r="R31" s="1623">
        <f t="shared" si="6"/>
        <v>691.8</v>
      </c>
      <c r="S31" s="1623">
        <f t="shared" si="7"/>
        <v>633.33333333333337</v>
      </c>
    </row>
    <row r="32" spans="1:19">
      <c r="A32" s="146" t="s">
        <v>143</v>
      </c>
      <c r="B32" s="1657">
        <v>473.5</v>
      </c>
      <c r="C32" s="1657">
        <v>568.20000000000005</v>
      </c>
      <c r="D32" s="1657">
        <v>609.9</v>
      </c>
      <c r="E32" s="1655">
        <v>691.7</v>
      </c>
      <c r="F32" s="1655">
        <v>696</v>
      </c>
      <c r="G32" s="1655">
        <v>593</v>
      </c>
      <c r="H32" s="1655">
        <v>613</v>
      </c>
      <c r="I32" s="1655">
        <v>623</v>
      </c>
      <c r="J32" s="1655">
        <v>618</v>
      </c>
      <c r="K32" s="1655">
        <v>630</v>
      </c>
      <c r="L32" s="1655">
        <v>649</v>
      </c>
      <c r="M32" s="1655">
        <v>666</v>
      </c>
      <c r="N32" s="1655">
        <v>671</v>
      </c>
      <c r="O32" s="1655">
        <v>677</v>
      </c>
      <c r="P32" s="1658"/>
      <c r="Q32" s="1624">
        <f t="shared" si="5"/>
        <v>627.09285714285704</v>
      </c>
      <c r="R32" s="1623">
        <f t="shared" si="6"/>
        <v>696</v>
      </c>
      <c r="S32" s="1623">
        <f t="shared" si="7"/>
        <v>633.16666666666663</v>
      </c>
    </row>
    <row r="33" spans="1:19">
      <c r="A33" s="146" t="s">
        <v>144</v>
      </c>
      <c r="B33" s="1657">
        <v>500.2</v>
      </c>
      <c r="C33" s="1657">
        <v>627.79999999999995</v>
      </c>
      <c r="D33" s="1657">
        <v>610.4</v>
      </c>
      <c r="E33" s="1655">
        <v>691.7</v>
      </c>
      <c r="F33" s="1655">
        <v>707</v>
      </c>
      <c r="G33" s="1655">
        <v>590</v>
      </c>
      <c r="H33" s="1655">
        <v>613</v>
      </c>
      <c r="I33" s="1655">
        <v>623</v>
      </c>
      <c r="J33" s="1655">
        <v>619</v>
      </c>
      <c r="K33" s="1655">
        <v>630</v>
      </c>
      <c r="L33" s="1655">
        <v>648</v>
      </c>
      <c r="M33" s="1655">
        <v>666</v>
      </c>
      <c r="N33" s="1655">
        <v>671</v>
      </c>
      <c r="O33" s="1655">
        <v>677</v>
      </c>
      <c r="P33" s="1658"/>
      <c r="Q33" s="1624">
        <f t="shared" si="5"/>
        <v>633.86428571428576</v>
      </c>
      <c r="R33" s="1623">
        <f t="shared" si="6"/>
        <v>707</v>
      </c>
      <c r="S33" s="1623">
        <f t="shared" si="7"/>
        <v>633.16666666666663</v>
      </c>
    </row>
    <row r="34" spans="1:19">
      <c r="A34" s="146" t="s">
        <v>145</v>
      </c>
      <c r="B34" s="1657">
        <v>550.1</v>
      </c>
      <c r="C34" s="1657">
        <v>693</v>
      </c>
      <c r="D34" s="1657">
        <v>646.70000000000005</v>
      </c>
      <c r="E34" s="1655">
        <v>691.7</v>
      </c>
      <c r="F34" s="1655">
        <v>708</v>
      </c>
      <c r="G34" s="1655">
        <v>593</v>
      </c>
      <c r="H34" s="1655">
        <v>614</v>
      </c>
      <c r="I34" s="1655">
        <v>623</v>
      </c>
      <c r="J34" s="1655">
        <v>619</v>
      </c>
      <c r="K34" s="1655">
        <v>633</v>
      </c>
      <c r="L34" s="1655">
        <v>649</v>
      </c>
      <c r="M34" s="1655">
        <v>666</v>
      </c>
      <c r="N34" s="1655">
        <v>671</v>
      </c>
      <c r="O34" s="1655">
        <v>674</v>
      </c>
      <c r="P34" s="1658"/>
      <c r="Q34" s="1624">
        <f t="shared" si="5"/>
        <v>645.10714285714289</v>
      </c>
      <c r="R34" s="1623">
        <f t="shared" si="6"/>
        <v>708</v>
      </c>
      <c r="S34" s="1623">
        <f t="shared" si="7"/>
        <v>634</v>
      </c>
    </row>
    <row r="35" spans="1:19">
      <c r="A35" s="146" t="s">
        <v>146</v>
      </c>
      <c r="B35" s="1657">
        <v>626.6</v>
      </c>
      <c r="C35" s="1657">
        <v>767.5</v>
      </c>
      <c r="D35" s="1657">
        <v>697.8</v>
      </c>
      <c r="E35" s="1655">
        <v>692</v>
      </c>
      <c r="F35" s="1655">
        <v>713</v>
      </c>
      <c r="G35" s="1655">
        <v>593</v>
      </c>
      <c r="H35" s="1655">
        <v>613</v>
      </c>
      <c r="I35" s="1655">
        <v>623</v>
      </c>
      <c r="J35" s="1655"/>
      <c r="K35" s="1655">
        <v>635</v>
      </c>
      <c r="L35" s="1655">
        <v>650</v>
      </c>
      <c r="M35" s="1655"/>
      <c r="N35" s="1655">
        <v>671</v>
      </c>
      <c r="O35" s="1655"/>
      <c r="P35" s="1658"/>
      <c r="Q35" s="1624">
        <f t="shared" si="5"/>
        <v>661.9909090909091</v>
      </c>
      <c r="R35" s="1623">
        <f t="shared" si="6"/>
        <v>767.5</v>
      </c>
      <c r="S35" s="1623">
        <f t="shared" si="7"/>
        <v>630.25</v>
      </c>
    </row>
    <row r="36" spans="1:19">
      <c r="A36" s="146" t="s">
        <v>147</v>
      </c>
      <c r="B36" s="1657">
        <v>705</v>
      </c>
      <c r="C36" s="1657">
        <v>856.1</v>
      </c>
      <c r="D36" s="1657">
        <v>725.3</v>
      </c>
      <c r="E36" s="1655">
        <v>692.3</v>
      </c>
      <c r="F36" s="1655">
        <v>716</v>
      </c>
      <c r="G36" s="1655">
        <v>595</v>
      </c>
      <c r="H36" s="1655">
        <v>616</v>
      </c>
      <c r="I36" s="1655">
        <v>623</v>
      </c>
      <c r="J36" s="1655"/>
      <c r="K36" s="1655">
        <v>639</v>
      </c>
      <c r="L36" s="1655"/>
      <c r="M36" s="1655"/>
      <c r="N36" s="1655"/>
      <c r="O36" s="1655"/>
      <c r="P36" s="1658"/>
      <c r="Q36" s="1624">
        <f>AVERAGE(B36:O36)</f>
        <v>685.3</v>
      </c>
      <c r="R36" s="1623">
        <f>MAX(B36:O36)</f>
        <v>856.1</v>
      </c>
      <c r="S36" s="1623">
        <f t="shared" si="7"/>
        <v>626</v>
      </c>
    </row>
    <row r="37" spans="1:19">
      <c r="A37" s="146" t="s">
        <v>305</v>
      </c>
      <c r="B37" s="323">
        <f t="shared" ref="B37:O37" si="8">AVERAGE(B25:B28)</f>
        <v>419.62499999999994</v>
      </c>
      <c r="C37" s="323">
        <f t="shared" si="8"/>
        <v>409.15</v>
      </c>
      <c r="D37" s="323">
        <f t="shared" si="8"/>
        <v>603.17499999999995</v>
      </c>
      <c r="E37" s="323">
        <f t="shared" si="8"/>
        <v>691.80000000000007</v>
      </c>
      <c r="F37" s="323">
        <f t="shared" si="8"/>
        <v>594.9</v>
      </c>
      <c r="G37" s="323">
        <f t="shared" si="8"/>
        <v>592.75</v>
      </c>
      <c r="H37" s="323">
        <f t="shared" si="8"/>
        <v>613.75</v>
      </c>
      <c r="I37" s="323">
        <f t="shared" si="8"/>
        <v>621.75</v>
      </c>
      <c r="J37" s="323">
        <f t="shared" si="8"/>
        <v>616.75</v>
      </c>
      <c r="K37" s="323">
        <f t="shared" si="8"/>
        <v>629</v>
      </c>
      <c r="L37" s="323">
        <f t="shared" si="8"/>
        <v>651.5</v>
      </c>
      <c r="M37" s="323">
        <f t="shared" si="8"/>
        <v>666</v>
      </c>
      <c r="N37" s="323">
        <f t="shared" si="8"/>
        <v>670.5</v>
      </c>
      <c r="O37" s="323">
        <f t="shared" si="8"/>
        <v>677</v>
      </c>
      <c r="P37" s="323"/>
      <c r="Q37" s="1648">
        <f>AVERAGE(Q25:Q28)</f>
        <v>604.11785714285713</v>
      </c>
      <c r="R37" s="1648">
        <f>AVERAGE(R25:R28)</f>
        <v>691.80000000000007</v>
      </c>
      <c r="S37" s="1648">
        <f>AVERAGE(S25:S28)</f>
        <v>633.125</v>
      </c>
    </row>
    <row r="38" spans="1:19">
      <c r="A38" s="146" t="s">
        <v>306</v>
      </c>
      <c r="B38" s="323">
        <f t="shared" ref="B38:O38" si="9">AVERAGE(B25:B36)</f>
        <v>491.91666666666669</v>
      </c>
      <c r="C38" s="323">
        <f t="shared" si="9"/>
        <v>554.50000000000011</v>
      </c>
      <c r="D38" s="323">
        <f t="shared" si="9"/>
        <v>627.30833333333328</v>
      </c>
      <c r="E38" s="323">
        <f t="shared" si="9"/>
        <v>684.3416666666667</v>
      </c>
      <c r="F38" s="323">
        <f t="shared" si="9"/>
        <v>656.10833333333335</v>
      </c>
      <c r="G38" s="323">
        <f t="shared" si="9"/>
        <v>592.5</v>
      </c>
      <c r="H38" s="323">
        <f t="shared" si="9"/>
        <v>613.75</v>
      </c>
      <c r="I38" s="323">
        <f t="shared" si="9"/>
        <v>622.58333333333337</v>
      </c>
      <c r="J38" s="323">
        <f t="shared" si="9"/>
        <v>617.70000000000005</v>
      </c>
      <c r="K38" s="323">
        <f t="shared" si="9"/>
        <v>631.08333333333337</v>
      </c>
      <c r="L38" s="323">
        <f t="shared" si="9"/>
        <v>650</v>
      </c>
      <c r="M38" s="323">
        <f t="shared" si="9"/>
        <v>666</v>
      </c>
      <c r="N38" s="323">
        <f t="shared" si="9"/>
        <v>670.81818181818187</v>
      </c>
      <c r="O38" s="323">
        <f t="shared" si="9"/>
        <v>676.7</v>
      </c>
      <c r="P38" s="323"/>
      <c r="Q38" s="1648">
        <f>AVERAGE(Q25:Q36)</f>
        <v>626.39626623376637</v>
      </c>
      <c r="R38" s="1648">
        <f>AVERAGE(R25:R36)</f>
        <v>713.55000000000007</v>
      </c>
      <c r="S38" s="1648">
        <f>AVERAGE(S25:S36)</f>
        <v>632.4236111111112</v>
      </c>
    </row>
    <row r="39" spans="1:19" ht="15.5">
      <c r="A39" s="2963" t="s">
        <v>297</v>
      </c>
      <c r="B39" s="2964"/>
      <c r="C39" s="2964"/>
      <c r="D39" s="2964"/>
      <c r="E39" s="2964"/>
      <c r="F39" s="2964"/>
      <c r="G39" s="2964"/>
      <c r="H39" s="2964"/>
      <c r="I39" s="2964"/>
      <c r="J39" s="2964"/>
      <c r="K39" s="2964"/>
      <c r="L39" s="2964"/>
      <c r="M39" s="2964"/>
      <c r="N39" s="2964"/>
      <c r="O39" s="2964"/>
      <c r="P39" s="2964"/>
      <c r="Q39" s="2964"/>
      <c r="R39" s="2964"/>
      <c r="S39" s="2965"/>
    </row>
    <row r="40" spans="1:19">
      <c r="A40" s="146" t="s">
        <v>239</v>
      </c>
      <c r="B40" s="1649"/>
      <c r="C40" s="1649">
        <v>411.5</v>
      </c>
      <c r="D40" s="1649">
        <v>607.5</v>
      </c>
      <c r="E40" s="1650">
        <v>692.2</v>
      </c>
      <c r="F40" s="1650">
        <v>592</v>
      </c>
      <c r="G40" s="1650">
        <v>591</v>
      </c>
      <c r="H40" s="1650">
        <v>614</v>
      </c>
      <c r="I40" s="1650">
        <v>623</v>
      </c>
      <c r="J40" s="1650">
        <v>616</v>
      </c>
      <c r="K40" s="1650">
        <v>630</v>
      </c>
      <c r="L40" s="1650">
        <v>651</v>
      </c>
      <c r="M40" s="1650">
        <v>665</v>
      </c>
      <c r="N40" s="1650">
        <v>670</v>
      </c>
      <c r="O40" s="1650">
        <v>677</v>
      </c>
      <c r="P40" s="1651"/>
      <c r="Q40" s="1624">
        <f t="shared" ref="Q40:Q48" si="10">AVERAGE(B40:P40)</f>
        <v>618.47692307692307</v>
      </c>
      <c r="R40" s="1623">
        <f t="shared" ref="R40:R48" si="11">MAX(B40:P40)</f>
        <v>692.2</v>
      </c>
      <c r="S40" s="1623">
        <f t="shared" ref="S40:S48" si="12">AVERAGE(H40:M40)</f>
        <v>633.16666666666663</v>
      </c>
    </row>
    <row r="41" spans="1:19">
      <c r="A41" s="146" t="s">
        <v>140</v>
      </c>
      <c r="B41" s="1649"/>
      <c r="C41" s="1649">
        <v>486.5</v>
      </c>
      <c r="D41" s="1649">
        <v>609.29999999999995</v>
      </c>
      <c r="E41" s="1650">
        <v>692.2</v>
      </c>
      <c r="F41" s="1650">
        <v>593</v>
      </c>
      <c r="G41" s="1650">
        <v>592</v>
      </c>
      <c r="H41" s="1650">
        <v>614</v>
      </c>
      <c r="I41" s="1650">
        <v>623</v>
      </c>
      <c r="J41" s="1650">
        <v>616</v>
      </c>
      <c r="K41" s="1650">
        <v>630</v>
      </c>
      <c r="L41" s="1650">
        <v>652</v>
      </c>
      <c r="M41" s="1650">
        <v>666</v>
      </c>
      <c r="N41" s="1650">
        <v>670</v>
      </c>
      <c r="O41" s="1650">
        <v>677</v>
      </c>
      <c r="P41" s="1651"/>
      <c r="Q41" s="1624">
        <f t="shared" si="10"/>
        <v>624.69230769230774</v>
      </c>
      <c r="R41" s="1623">
        <f t="shared" si="11"/>
        <v>692.2</v>
      </c>
      <c r="S41" s="1623">
        <f t="shared" si="12"/>
        <v>633.5</v>
      </c>
    </row>
    <row r="42" spans="1:19">
      <c r="A42" s="146" t="s">
        <v>240</v>
      </c>
      <c r="B42" s="1649"/>
      <c r="C42" s="1649">
        <v>424.8</v>
      </c>
      <c r="D42" s="1649">
        <v>608.70000000000005</v>
      </c>
      <c r="E42" s="1650">
        <v>692.1</v>
      </c>
      <c r="F42" s="1650">
        <v>597</v>
      </c>
      <c r="G42" s="1650">
        <v>592</v>
      </c>
      <c r="H42" s="1650">
        <v>614</v>
      </c>
      <c r="I42" s="1650">
        <v>622</v>
      </c>
      <c r="J42" s="1650">
        <v>617</v>
      </c>
      <c r="K42" s="1650">
        <v>630</v>
      </c>
      <c r="L42" s="1650">
        <v>651</v>
      </c>
      <c r="M42" s="1650">
        <v>666</v>
      </c>
      <c r="N42" s="1650">
        <v>670</v>
      </c>
      <c r="O42" s="1650">
        <v>677</v>
      </c>
      <c r="P42" s="1651"/>
      <c r="Q42" s="1624">
        <f t="shared" si="10"/>
        <v>620.12307692307695</v>
      </c>
      <c r="R42" s="1623">
        <f t="shared" si="11"/>
        <v>692.1</v>
      </c>
      <c r="S42" s="1623">
        <f t="shared" si="12"/>
        <v>633.33333333333337</v>
      </c>
    </row>
    <row r="43" spans="1:19">
      <c r="A43" s="146" t="s">
        <v>141</v>
      </c>
      <c r="B43" s="1649"/>
      <c r="C43" s="1649">
        <v>445</v>
      </c>
      <c r="D43" s="1649">
        <v>608.5</v>
      </c>
      <c r="E43" s="1650">
        <v>692</v>
      </c>
      <c r="F43" s="1650">
        <v>596</v>
      </c>
      <c r="G43" s="1650">
        <v>590</v>
      </c>
      <c r="H43" s="1650">
        <v>613</v>
      </c>
      <c r="I43" s="1650">
        <v>622</v>
      </c>
      <c r="J43" s="1650">
        <v>618</v>
      </c>
      <c r="K43" s="1650">
        <v>630</v>
      </c>
      <c r="L43" s="1650">
        <v>650</v>
      </c>
      <c r="M43" s="1650">
        <v>666</v>
      </c>
      <c r="N43" s="1650">
        <v>670</v>
      </c>
      <c r="O43" s="1650">
        <v>677</v>
      </c>
      <c r="P43" s="1651"/>
      <c r="Q43" s="1624">
        <f t="shared" si="10"/>
        <v>621.34615384615381</v>
      </c>
      <c r="R43" s="1623">
        <f t="shared" si="11"/>
        <v>692</v>
      </c>
      <c r="S43" s="1623">
        <f t="shared" si="12"/>
        <v>633.16666666666663</v>
      </c>
    </row>
    <row r="44" spans="1:19">
      <c r="A44" s="146" t="s">
        <v>241</v>
      </c>
      <c r="B44" s="1649"/>
      <c r="C44" s="1649">
        <v>460.1</v>
      </c>
      <c r="D44" s="1649">
        <v>606.9</v>
      </c>
      <c r="E44" s="1650">
        <v>691.9</v>
      </c>
      <c r="F44" s="1650">
        <v>600</v>
      </c>
      <c r="G44" s="1650">
        <v>591</v>
      </c>
      <c r="H44" s="1650">
        <v>614</v>
      </c>
      <c r="I44" s="1650">
        <v>622</v>
      </c>
      <c r="J44" s="1650">
        <v>618</v>
      </c>
      <c r="K44" s="1650">
        <v>630</v>
      </c>
      <c r="L44" s="1650">
        <v>651</v>
      </c>
      <c r="M44" s="1650">
        <v>666</v>
      </c>
      <c r="N44" s="1650">
        <v>670</v>
      </c>
      <c r="O44" s="1650">
        <v>677</v>
      </c>
      <c r="P44" s="1651"/>
      <c r="Q44" s="1624">
        <f t="shared" si="10"/>
        <v>622.9153846153846</v>
      </c>
      <c r="R44" s="1623">
        <f t="shared" si="11"/>
        <v>691.9</v>
      </c>
      <c r="S44" s="1623">
        <f t="shared" si="12"/>
        <v>633.5</v>
      </c>
    </row>
    <row r="45" spans="1:19">
      <c r="A45" s="146" t="s">
        <v>142</v>
      </c>
      <c r="B45" s="1649"/>
      <c r="C45" s="1649">
        <v>483.7</v>
      </c>
      <c r="D45" s="1649">
        <v>607.9</v>
      </c>
      <c r="E45" s="1650">
        <v>692</v>
      </c>
      <c r="F45" s="1650">
        <v>577</v>
      </c>
      <c r="G45" s="1650">
        <v>590</v>
      </c>
      <c r="H45" s="1650">
        <v>614</v>
      </c>
      <c r="I45" s="1650">
        <v>622</v>
      </c>
      <c r="J45" s="1650">
        <v>618</v>
      </c>
      <c r="K45" s="1650">
        <v>630</v>
      </c>
      <c r="L45" s="1650">
        <v>651</v>
      </c>
      <c r="M45" s="1650">
        <v>665</v>
      </c>
      <c r="N45" s="1650">
        <v>670</v>
      </c>
      <c r="O45" s="1650">
        <v>677</v>
      </c>
      <c r="P45" s="1651"/>
      <c r="Q45" s="1624">
        <f t="shared" si="10"/>
        <v>622.89230769230767</v>
      </c>
      <c r="R45" s="1623">
        <f t="shared" si="11"/>
        <v>692</v>
      </c>
      <c r="S45" s="1623">
        <f t="shared" si="12"/>
        <v>633.33333333333337</v>
      </c>
    </row>
    <row r="46" spans="1:19">
      <c r="A46" s="146" t="s">
        <v>242</v>
      </c>
      <c r="B46" s="1649"/>
      <c r="C46" s="1649">
        <v>517.70000000000005</v>
      </c>
      <c r="D46" s="1649">
        <v>609</v>
      </c>
      <c r="E46" s="1650">
        <v>692</v>
      </c>
      <c r="F46" s="1650">
        <v>667</v>
      </c>
      <c r="G46" s="1650">
        <v>590</v>
      </c>
      <c r="H46" s="1650">
        <v>614</v>
      </c>
      <c r="I46" s="1650">
        <v>622</v>
      </c>
      <c r="J46" s="1650">
        <v>619</v>
      </c>
      <c r="K46" s="1650">
        <v>630</v>
      </c>
      <c r="L46" s="1650">
        <v>650</v>
      </c>
      <c r="M46" s="1650">
        <v>665</v>
      </c>
      <c r="N46" s="1650">
        <v>671</v>
      </c>
      <c r="O46" s="1650">
        <v>677</v>
      </c>
      <c r="P46" s="1651"/>
      <c r="Q46" s="1624">
        <f t="shared" si="10"/>
        <v>632.59230769230771</v>
      </c>
      <c r="R46" s="1623">
        <f t="shared" si="11"/>
        <v>692</v>
      </c>
      <c r="S46" s="1623">
        <f t="shared" si="12"/>
        <v>633.33333333333337</v>
      </c>
    </row>
    <row r="47" spans="1:19">
      <c r="A47" s="146" t="s">
        <v>143</v>
      </c>
      <c r="B47" s="1649"/>
      <c r="C47" s="1649">
        <v>545.6</v>
      </c>
      <c r="D47" s="1649">
        <v>609.5</v>
      </c>
      <c r="E47" s="1650">
        <v>692.2</v>
      </c>
      <c r="F47" s="1650">
        <v>689</v>
      </c>
      <c r="G47" s="1650">
        <v>590</v>
      </c>
      <c r="H47" s="1650">
        <v>614</v>
      </c>
      <c r="I47" s="1650">
        <v>623</v>
      </c>
      <c r="J47" s="1650">
        <v>620</v>
      </c>
      <c r="K47" s="1650">
        <v>630</v>
      </c>
      <c r="L47" s="1650">
        <v>650</v>
      </c>
      <c r="M47" s="1650">
        <v>666</v>
      </c>
      <c r="N47" s="1650">
        <v>672</v>
      </c>
      <c r="O47" s="1650">
        <v>677</v>
      </c>
      <c r="P47" s="1651"/>
      <c r="Q47" s="1624">
        <f t="shared" si="10"/>
        <v>636.79230769230765</v>
      </c>
      <c r="R47" s="1623">
        <f t="shared" si="11"/>
        <v>692.2</v>
      </c>
      <c r="S47" s="1623">
        <f t="shared" si="12"/>
        <v>633.83333333333337</v>
      </c>
    </row>
    <row r="48" spans="1:19">
      <c r="A48" s="146" t="s">
        <v>144</v>
      </c>
      <c r="B48" s="1649"/>
      <c r="C48" s="1649">
        <v>623.70000000000005</v>
      </c>
      <c r="D48" s="1649">
        <v>610.20000000000005</v>
      </c>
      <c r="E48" s="1650">
        <v>692.7</v>
      </c>
      <c r="F48" s="1650">
        <v>705</v>
      </c>
      <c r="G48" s="1650">
        <v>590</v>
      </c>
      <c r="H48" s="1650">
        <v>613</v>
      </c>
      <c r="I48" s="1650">
        <v>623</v>
      </c>
      <c r="J48" s="1650">
        <v>619</v>
      </c>
      <c r="K48" s="1650">
        <v>630</v>
      </c>
      <c r="L48" s="1650">
        <v>650</v>
      </c>
      <c r="M48" s="1650"/>
      <c r="N48" s="1650"/>
      <c r="O48" s="1650">
        <v>676</v>
      </c>
      <c r="P48" s="1651"/>
      <c r="Q48" s="1624">
        <f t="shared" si="10"/>
        <v>639.32727272727277</v>
      </c>
      <c r="R48" s="1623">
        <f t="shared" si="11"/>
        <v>705</v>
      </c>
      <c r="S48" s="1623">
        <f t="shared" si="12"/>
        <v>627</v>
      </c>
    </row>
    <row r="49" spans="1:19">
      <c r="A49" s="146" t="s">
        <v>305</v>
      </c>
      <c r="B49" s="323"/>
      <c r="C49" s="323">
        <f t="shared" ref="C49:O49" si="13">AVERAGE(C40:C43)</f>
        <v>441.95</v>
      </c>
      <c r="D49" s="323">
        <f t="shared" si="13"/>
        <v>608.5</v>
      </c>
      <c r="E49" s="323">
        <f t="shared" si="13"/>
        <v>692.125</v>
      </c>
      <c r="F49" s="323">
        <f t="shared" si="13"/>
        <v>594.5</v>
      </c>
      <c r="G49" s="323">
        <f t="shared" si="13"/>
        <v>591.25</v>
      </c>
      <c r="H49" s="323">
        <f t="shared" si="13"/>
        <v>613.75</v>
      </c>
      <c r="I49" s="323">
        <f t="shared" si="13"/>
        <v>622.5</v>
      </c>
      <c r="J49" s="323">
        <f t="shared" si="13"/>
        <v>616.75</v>
      </c>
      <c r="K49" s="323">
        <f t="shared" si="13"/>
        <v>630</v>
      </c>
      <c r="L49" s="323">
        <f t="shared" si="13"/>
        <v>651</v>
      </c>
      <c r="M49" s="323">
        <f t="shared" si="13"/>
        <v>665.75</v>
      </c>
      <c r="N49" s="323">
        <f t="shared" si="13"/>
        <v>670</v>
      </c>
      <c r="O49" s="323">
        <f t="shared" si="13"/>
        <v>677</v>
      </c>
      <c r="P49" s="323"/>
      <c r="Q49" s="1648">
        <f>AVERAGE(Q40:Q43)</f>
        <v>621.15961538461534</v>
      </c>
      <c r="R49" s="1648">
        <f>AVERAGE(R40:R43)</f>
        <v>692.125</v>
      </c>
      <c r="S49" s="1648">
        <f>AVERAGE(S40:S43)</f>
        <v>633.29166666666663</v>
      </c>
    </row>
    <row r="50" spans="1:19">
      <c r="A50" s="212" t="s">
        <v>306</v>
      </c>
      <c r="B50" s="323"/>
      <c r="C50" s="323">
        <f t="shared" ref="C50:O50" si="14">AVERAGE(C40:C48)</f>
        <v>488.73333333333335</v>
      </c>
      <c r="D50" s="323">
        <f t="shared" si="14"/>
        <v>608.61111111111109</v>
      </c>
      <c r="E50" s="323">
        <f t="shared" si="14"/>
        <v>692.14444444444439</v>
      </c>
      <c r="F50" s="323">
        <f t="shared" si="14"/>
        <v>624</v>
      </c>
      <c r="G50" s="323">
        <f t="shared" si="14"/>
        <v>590.66666666666663</v>
      </c>
      <c r="H50" s="323">
        <f t="shared" si="14"/>
        <v>613.77777777777783</v>
      </c>
      <c r="I50" s="323">
        <f t="shared" si="14"/>
        <v>622.44444444444446</v>
      </c>
      <c r="J50" s="323">
        <f t="shared" si="14"/>
        <v>617.88888888888891</v>
      </c>
      <c r="K50" s="323">
        <f t="shared" si="14"/>
        <v>630</v>
      </c>
      <c r="L50" s="323">
        <f t="shared" si="14"/>
        <v>650.66666666666663</v>
      </c>
      <c r="M50" s="323">
        <f t="shared" si="14"/>
        <v>665.625</v>
      </c>
      <c r="N50" s="323">
        <f t="shared" si="14"/>
        <v>670.375</v>
      </c>
      <c r="O50" s="323">
        <f t="shared" si="14"/>
        <v>676.88888888888891</v>
      </c>
      <c r="P50" s="323"/>
      <c r="Q50" s="1648">
        <f>AVERAGE(Q40:Q48)</f>
        <v>626.57311577311566</v>
      </c>
      <c r="R50" s="1648">
        <f>AVERAGE(R40:R48)</f>
        <v>693.51111111111106</v>
      </c>
      <c r="S50" s="1648">
        <f>AVERAGE(S40:S48)</f>
        <v>632.68518518518511</v>
      </c>
    </row>
    <row r="51" spans="1:19" ht="15.5">
      <c r="A51" s="2955"/>
      <c r="B51" s="2955"/>
      <c r="C51" s="2955"/>
      <c r="D51" s="2955"/>
      <c r="E51" s="2955"/>
      <c r="F51" s="2955"/>
      <c r="G51" s="2955"/>
      <c r="H51" s="2955"/>
      <c r="I51" s="2955"/>
      <c r="J51" s="2955"/>
      <c r="K51" s="2955"/>
      <c r="L51" s="2955"/>
      <c r="M51" s="2955"/>
      <c r="N51" s="2955"/>
      <c r="O51" s="2955"/>
      <c r="P51" s="2955"/>
      <c r="Q51" s="2955"/>
      <c r="R51" s="2955"/>
      <c r="S51" s="2955"/>
    </row>
    <row r="52" spans="1:19">
      <c r="A52" s="554"/>
      <c r="B52" s="576"/>
      <c r="C52" s="576"/>
      <c r="D52" s="576"/>
      <c r="E52" s="575"/>
      <c r="F52" s="575"/>
      <c r="G52" s="575"/>
      <c r="H52" s="575"/>
      <c r="I52" s="575"/>
      <c r="J52" s="575"/>
      <c r="K52" s="575"/>
      <c r="L52" s="575"/>
      <c r="M52" s="575"/>
      <c r="N52" s="575"/>
      <c r="O52" s="575"/>
      <c r="P52" s="575"/>
      <c r="Q52" s="577"/>
      <c r="R52" s="577"/>
      <c r="S52" s="577"/>
    </row>
    <row r="53" spans="1:19">
      <c r="A53" s="554"/>
      <c r="B53" s="576"/>
      <c r="C53" s="576"/>
      <c r="D53" s="576"/>
      <c r="E53" s="575"/>
      <c r="F53" s="575"/>
      <c r="G53" s="575"/>
      <c r="H53" s="575"/>
      <c r="I53" s="575"/>
      <c r="J53" s="575"/>
      <c r="K53" s="575"/>
      <c r="L53" s="575"/>
      <c r="M53" s="575"/>
      <c r="N53" s="575"/>
      <c r="O53" s="575"/>
      <c r="P53" s="575"/>
      <c r="Q53" s="577"/>
      <c r="R53" s="577"/>
      <c r="S53" s="577"/>
    </row>
    <row r="54" spans="1:19">
      <c r="A54" s="554"/>
      <c r="B54" s="576"/>
      <c r="C54" s="576"/>
      <c r="D54" s="576"/>
      <c r="E54" s="575"/>
      <c r="F54" s="575"/>
      <c r="G54" s="575"/>
      <c r="H54" s="575"/>
      <c r="I54" s="575"/>
      <c r="J54" s="575"/>
      <c r="K54" s="575"/>
      <c r="L54" s="575"/>
      <c r="M54" s="575"/>
      <c r="N54" s="575"/>
      <c r="O54" s="575"/>
      <c r="P54" s="575"/>
      <c r="Q54" s="577"/>
      <c r="R54" s="577"/>
      <c r="S54" s="577"/>
    </row>
    <row r="55" spans="1:19">
      <c r="A55" s="554"/>
      <c r="B55" s="576"/>
      <c r="C55" s="576"/>
      <c r="D55" s="576"/>
      <c r="E55" s="575"/>
      <c r="F55" s="575"/>
      <c r="G55" s="575"/>
      <c r="H55" s="575"/>
      <c r="I55" s="575"/>
      <c r="J55" s="575"/>
      <c r="K55" s="575"/>
      <c r="L55" s="575"/>
      <c r="M55" s="575"/>
      <c r="N55" s="575"/>
      <c r="O55" s="575"/>
      <c r="P55" s="575"/>
      <c r="Q55" s="577"/>
      <c r="R55" s="577"/>
      <c r="S55" s="577"/>
    </row>
    <row r="56" spans="1:19">
      <c r="A56" s="554"/>
      <c r="B56" s="576"/>
      <c r="C56" s="576"/>
      <c r="D56" s="576"/>
      <c r="E56" s="575"/>
      <c r="F56" s="575"/>
      <c r="G56" s="575"/>
      <c r="H56" s="575"/>
      <c r="I56" s="575"/>
      <c r="J56" s="575"/>
      <c r="K56" s="575"/>
      <c r="L56" s="575"/>
      <c r="M56" s="575"/>
      <c r="N56" s="575"/>
      <c r="O56" s="575"/>
      <c r="P56" s="575"/>
      <c r="Q56" s="577"/>
      <c r="R56" s="577"/>
      <c r="S56" s="577"/>
    </row>
    <row r="57" spans="1:19">
      <c r="A57" s="554"/>
      <c r="B57" s="576"/>
      <c r="C57" s="576"/>
      <c r="D57" s="576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7"/>
      <c r="R57" s="577"/>
      <c r="S57" s="577"/>
    </row>
    <row r="58" spans="1:19">
      <c r="A58" s="554"/>
      <c r="B58" s="576"/>
      <c r="C58" s="576"/>
      <c r="D58" s="576"/>
      <c r="E58" s="575"/>
      <c r="F58" s="575"/>
      <c r="G58" s="575"/>
      <c r="H58" s="575"/>
      <c r="I58" s="575"/>
      <c r="J58" s="575"/>
      <c r="K58" s="575"/>
      <c r="L58" s="575"/>
      <c r="M58" s="575"/>
      <c r="N58" s="575"/>
      <c r="O58" s="575"/>
      <c r="P58" s="575"/>
      <c r="Q58" s="577"/>
      <c r="R58" s="577"/>
      <c r="S58" s="577"/>
    </row>
    <row r="59" spans="1:19" s="358" customFormat="1">
      <c r="A59" s="554"/>
      <c r="B59" s="576"/>
      <c r="C59" s="576"/>
      <c r="D59" s="576"/>
      <c r="E59" s="575"/>
      <c r="F59" s="575"/>
      <c r="G59" s="575"/>
      <c r="H59" s="575"/>
      <c r="I59" s="575"/>
      <c r="J59" s="575"/>
      <c r="K59" s="575"/>
      <c r="L59" s="575"/>
      <c r="M59" s="575"/>
      <c r="N59" s="575"/>
      <c r="O59" s="575"/>
      <c r="P59" s="575"/>
      <c r="Q59" s="577"/>
      <c r="R59" s="577"/>
      <c r="S59" s="577"/>
    </row>
    <row r="60" spans="1:19">
      <c r="A60" s="554"/>
      <c r="B60" s="576"/>
      <c r="C60" s="576"/>
      <c r="D60" s="576"/>
      <c r="E60" s="578"/>
      <c r="F60" s="575"/>
      <c r="G60" s="575"/>
      <c r="H60" s="575"/>
      <c r="I60" s="575"/>
      <c r="J60" s="575"/>
      <c r="K60" s="575"/>
      <c r="L60" s="575"/>
      <c r="M60" s="575"/>
      <c r="N60" s="575"/>
      <c r="O60" s="575"/>
      <c r="P60" s="575"/>
      <c r="Q60" s="577"/>
      <c r="R60" s="577"/>
      <c r="S60" s="577"/>
    </row>
    <row r="61" spans="1:19">
      <c r="A61" s="554"/>
      <c r="B61" s="576"/>
      <c r="C61" s="576"/>
      <c r="D61" s="576"/>
      <c r="E61" s="576"/>
      <c r="F61" s="576"/>
      <c r="G61" s="576"/>
      <c r="H61" s="576"/>
      <c r="I61" s="576"/>
      <c r="J61" s="576"/>
      <c r="K61" s="576"/>
      <c r="L61" s="576"/>
      <c r="M61" s="576"/>
      <c r="N61" s="576"/>
      <c r="O61" s="576"/>
      <c r="P61" s="576"/>
      <c r="Q61" s="576"/>
      <c r="R61" s="576"/>
      <c r="S61" s="576"/>
    </row>
    <row r="62" spans="1:19">
      <c r="A62" s="554"/>
      <c r="B62" s="576"/>
      <c r="C62" s="576"/>
      <c r="D62" s="576"/>
      <c r="E62" s="576"/>
      <c r="F62" s="576"/>
      <c r="G62" s="576"/>
      <c r="H62" s="576"/>
      <c r="I62" s="576"/>
      <c r="J62" s="576"/>
      <c r="K62" s="576"/>
      <c r="L62" s="576"/>
      <c r="M62" s="576"/>
      <c r="N62" s="576"/>
      <c r="O62" s="576"/>
      <c r="P62" s="576"/>
      <c r="Q62" s="576"/>
      <c r="R62" s="576"/>
      <c r="S62" s="576"/>
    </row>
    <row r="63" spans="1:19">
      <c r="A63" s="554"/>
      <c r="B63" s="576"/>
      <c r="C63" s="576"/>
      <c r="D63" s="576"/>
      <c r="E63" s="575"/>
      <c r="F63" s="575"/>
      <c r="G63" s="575"/>
      <c r="H63" s="575"/>
      <c r="I63" s="575"/>
      <c r="J63" s="575"/>
      <c r="K63" s="575"/>
      <c r="L63" s="575"/>
      <c r="M63" s="575"/>
      <c r="N63" s="575"/>
      <c r="O63" s="575"/>
      <c r="P63" s="575"/>
      <c r="Q63" s="577"/>
      <c r="R63" s="577"/>
      <c r="S63" s="577"/>
    </row>
    <row r="64" spans="1:19">
      <c r="A64" s="554"/>
      <c r="B64" s="576"/>
      <c r="C64" s="576"/>
      <c r="D64" s="576"/>
      <c r="E64" s="575"/>
      <c r="F64" s="575"/>
      <c r="G64" s="575"/>
      <c r="H64" s="575"/>
      <c r="I64" s="575"/>
      <c r="J64" s="575"/>
      <c r="K64" s="575"/>
      <c r="L64" s="575"/>
      <c r="M64" s="575"/>
      <c r="N64" s="575"/>
      <c r="O64" s="575"/>
      <c r="P64" s="575"/>
      <c r="Q64" s="577"/>
      <c r="R64" s="577"/>
      <c r="S64" s="577"/>
    </row>
    <row r="65" spans="1:19">
      <c r="A65" s="554"/>
      <c r="B65" s="576"/>
      <c r="C65" s="576"/>
      <c r="D65" s="576"/>
      <c r="E65" s="575"/>
      <c r="F65" s="575"/>
      <c r="G65" s="575"/>
      <c r="H65" s="575"/>
      <c r="I65" s="575"/>
      <c r="J65" s="575"/>
      <c r="K65" s="575"/>
      <c r="L65" s="575"/>
      <c r="M65" s="575"/>
      <c r="N65" s="575"/>
      <c r="O65" s="575"/>
      <c r="P65" s="575"/>
      <c r="Q65" s="577"/>
      <c r="R65" s="577"/>
      <c r="S65" s="577"/>
    </row>
    <row r="66" spans="1:19">
      <c r="A66" s="554"/>
      <c r="B66" s="576"/>
      <c r="C66" s="576"/>
      <c r="D66" s="576"/>
      <c r="E66" s="575"/>
      <c r="F66" s="575"/>
      <c r="G66" s="575"/>
      <c r="H66" s="575"/>
      <c r="I66" s="575"/>
      <c r="J66" s="575"/>
      <c r="K66" s="575"/>
      <c r="L66" s="575"/>
      <c r="M66" s="575"/>
      <c r="N66" s="575"/>
      <c r="O66" s="575"/>
      <c r="P66" s="575"/>
      <c r="Q66" s="577"/>
      <c r="R66" s="577"/>
      <c r="S66" s="577"/>
    </row>
    <row r="67" spans="1:19">
      <c r="A67" s="554"/>
      <c r="B67" s="576"/>
      <c r="C67" s="576"/>
      <c r="D67" s="576"/>
      <c r="E67" s="575"/>
      <c r="F67" s="575"/>
      <c r="G67" s="575"/>
      <c r="H67" s="575"/>
      <c r="I67" s="575"/>
      <c r="J67" s="575"/>
      <c r="K67" s="575"/>
      <c r="L67" s="575"/>
      <c r="M67" s="575"/>
      <c r="N67" s="575"/>
      <c r="O67" s="575"/>
      <c r="P67" s="575"/>
      <c r="Q67" s="577"/>
      <c r="R67" s="577"/>
      <c r="S67" s="577"/>
    </row>
    <row r="68" spans="1:19">
      <c r="A68" s="554"/>
      <c r="B68" s="576"/>
      <c r="C68" s="576"/>
      <c r="D68" s="576"/>
      <c r="E68" s="575"/>
      <c r="F68" s="575"/>
      <c r="G68" s="575"/>
      <c r="H68" s="575"/>
      <c r="I68" s="575"/>
      <c r="J68" s="575"/>
      <c r="K68" s="575"/>
      <c r="L68" s="575"/>
      <c r="M68" s="575"/>
      <c r="N68" s="575"/>
      <c r="O68" s="575"/>
      <c r="P68" s="575"/>
      <c r="Q68" s="577"/>
      <c r="R68" s="577"/>
      <c r="S68" s="577"/>
    </row>
    <row r="69" spans="1:19">
      <c r="A69" s="554"/>
      <c r="B69" s="576"/>
      <c r="C69" s="576"/>
      <c r="D69" s="576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7"/>
      <c r="R69" s="577"/>
      <c r="S69" s="577"/>
    </row>
    <row r="70" spans="1:19">
      <c r="A70" s="554"/>
      <c r="B70" s="576"/>
      <c r="C70" s="576"/>
      <c r="D70" s="576"/>
      <c r="E70" s="575"/>
      <c r="F70" s="575"/>
      <c r="G70" s="575"/>
      <c r="H70" s="575"/>
      <c r="I70" s="575"/>
      <c r="J70" s="575"/>
      <c r="K70" s="575"/>
      <c r="L70" s="575"/>
      <c r="M70" s="575"/>
      <c r="N70" s="575"/>
      <c r="O70" s="575"/>
      <c r="P70" s="575"/>
      <c r="Q70" s="577"/>
      <c r="R70" s="577"/>
      <c r="S70" s="577"/>
    </row>
    <row r="71" spans="1:19">
      <c r="A71" s="554"/>
      <c r="B71" s="576"/>
      <c r="C71" s="576"/>
      <c r="D71" s="576"/>
      <c r="E71" s="575"/>
      <c r="F71" s="575"/>
      <c r="G71" s="575"/>
      <c r="H71" s="575"/>
      <c r="I71" s="575"/>
      <c r="J71" s="575"/>
      <c r="K71" s="575"/>
      <c r="L71" s="575"/>
      <c r="M71" s="575"/>
      <c r="N71" s="575"/>
      <c r="O71" s="575"/>
      <c r="P71" s="575"/>
      <c r="Q71" s="577"/>
      <c r="R71" s="577"/>
      <c r="S71" s="577"/>
    </row>
    <row r="72" spans="1:19" s="358" customFormat="1">
      <c r="A72" s="554"/>
      <c r="B72" s="576"/>
      <c r="C72" s="576"/>
      <c r="D72" s="576"/>
      <c r="E72" s="575"/>
      <c r="F72" s="575"/>
      <c r="G72" s="575"/>
      <c r="H72" s="575"/>
      <c r="I72" s="575"/>
      <c r="J72" s="575"/>
      <c r="K72" s="575"/>
      <c r="L72" s="575"/>
      <c r="M72" s="575"/>
      <c r="N72" s="575"/>
      <c r="O72" s="575"/>
      <c r="P72" s="575"/>
      <c r="Q72" s="577"/>
      <c r="R72" s="577"/>
      <c r="S72" s="577"/>
    </row>
    <row r="73" spans="1:19">
      <c r="A73" s="554"/>
      <c r="B73" s="576"/>
      <c r="C73" s="576"/>
      <c r="D73" s="576"/>
      <c r="E73" s="575"/>
      <c r="F73" s="575"/>
      <c r="G73" s="575"/>
      <c r="H73" s="575"/>
      <c r="I73" s="575"/>
      <c r="J73" s="575"/>
      <c r="K73" s="575"/>
      <c r="L73" s="575"/>
      <c r="M73" s="575"/>
      <c r="N73" s="575"/>
      <c r="O73" s="575"/>
      <c r="P73" s="575"/>
      <c r="Q73" s="577"/>
      <c r="R73" s="577"/>
      <c r="S73" s="577"/>
    </row>
    <row r="74" spans="1:19">
      <c r="A74" s="554"/>
      <c r="B74" s="576"/>
      <c r="C74" s="576"/>
      <c r="D74" s="576"/>
      <c r="E74" s="576"/>
      <c r="F74" s="576"/>
      <c r="G74" s="576"/>
      <c r="H74" s="576"/>
      <c r="I74" s="576"/>
      <c r="J74" s="576"/>
      <c r="K74" s="576"/>
      <c r="L74" s="576"/>
      <c r="M74" s="576"/>
      <c r="N74" s="576"/>
      <c r="O74" s="576"/>
      <c r="P74" s="576"/>
      <c r="Q74" s="576"/>
      <c r="R74" s="576"/>
      <c r="S74" s="576"/>
    </row>
    <row r="75" spans="1:19">
      <c r="A75" s="554"/>
      <c r="B75" s="576"/>
      <c r="C75" s="576"/>
      <c r="D75" s="576"/>
      <c r="E75" s="576"/>
      <c r="F75" s="576"/>
      <c r="G75" s="576"/>
      <c r="H75" s="576"/>
      <c r="I75" s="576"/>
      <c r="J75" s="576"/>
      <c r="K75" s="576"/>
      <c r="L75" s="576"/>
      <c r="M75" s="576"/>
      <c r="N75" s="576"/>
      <c r="O75" s="576"/>
      <c r="P75" s="576"/>
      <c r="Q75" s="576"/>
      <c r="R75" s="576"/>
      <c r="S75" s="576"/>
    </row>
  </sheetData>
  <mergeCells count="5">
    <mergeCell ref="A24:S24"/>
    <mergeCell ref="A39:S39"/>
    <mergeCell ref="A51:S51"/>
    <mergeCell ref="A1:O1"/>
    <mergeCell ref="A7:S7"/>
  </mergeCells>
  <phoneticPr fontId="0" type="noConversion"/>
  <pageMargins left="0.75" right="0.75" top="1" bottom="1" header="0.5" footer="0.5"/>
  <pageSetup scale="7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tabColor rgb="FF92D050"/>
    <pageSetUpPr fitToPage="1"/>
  </sheetPr>
  <dimension ref="A1:Y79"/>
  <sheetViews>
    <sheetView zoomScale="75" zoomScaleNormal="75" workbookViewId="0">
      <selection activeCell="B5" sqref="B5:P5"/>
    </sheetView>
  </sheetViews>
  <sheetFormatPr defaultRowHeight="14"/>
  <cols>
    <col min="1" max="1" width="31.6328125" style="1" customWidth="1"/>
    <col min="2" max="2" width="4.90625" bestFit="1" customWidth="1"/>
    <col min="3" max="3" width="5.81640625" bestFit="1" customWidth="1"/>
    <col min="4" max="4" width="6.1796875" bestFit="1" customWidth="1"/>
    <col min="5" max="5" width="5.08984375" bestFit="1" customWidth="1"/>
    <col min="6" max="6" width="6.26953125" bestFit="1" customWidth="1"/>
    <col min="7" max="7" width="5.90625" bestFit="1" customWidth="1"/>
    <col min="8" max="8" width="4.81640625" bestFit="1" customWidth="1"/>
    <col min="9" max="9" width="5.453125" bestFit="1" customWidth="1"/>
    <col min="10" max="10" width="5.26953125" bestFit="1" customWidth="1"/>
    <col min="11" max="11" width="6.1796875" bestFit="1" customWidth="1"/>
    <col min="12" max="14" width="5.81640625" bestFit="1" customWidth="1"/>
    <col min="15" max="15" width="5.08984375" bestFit="1" customWidth="1"/>
    <col min="16" max="16" width="5.90625" style="358" bestFit="1" customWidth="1"/>
    <col min="17" max="17" width="8.90625" customWidth="1"/>
    <col min="18" max="18" width="5.08984375" bestFit="1" customWidth="1"/>
    <col min="19" max="19" width="9.453125" customWidth="1"/>
    <col min="20" max="20" width="10.90625" customWidth="1"/>
    <col min="21" max="21" width="11.36328125" customWidth="1"/>
    <col min="22" max="22" width="10.90625" customWidth="1"/>
    <col min="23" max="23" width="11.36328125" customWidth="1"/>
    <col min="24" max="24" width="10.36328125" customWidth="1"/>
    <col min="25" max="25" width="10.90625" customWidth="1"/>
  </cols>
  <sheetData>
    <row r="1" spans="1:25" ht="15.5">
      <c r="A1" s="2928" t="s">
        <v>139</v>
      </c>
      <c r="B1" s="2928"/>
      <c r="C1" s="2928"/>
      <c r="D1" s="2928"/>
      <c r="E1" s="2928"/>
      <c r="F1" s="2928"/>
      <c r="G1" s="2928"/>
      <c r="H1" s="2928"/>
      <c r="I1" s="2928"/>
      <c r="J1" s="2928"/>
      <c r="K1" s="2928"/>
      <c r="L1" s="2928"/>
      <c r="M1" s="2928"/>
      <c r="N1" s="2928"/>
      <c r="O1" s="2928"/>
      <c r="P1" s="1358"/>
    </row>
    <row r="2" spans="1:25" ht="26">
      <c r="A2" s="83"/>
      <c r="B2" s="2843">
        <v>43108</v>
      </c>
      <c r="C2" s="2843">
        <v>43143</v>
      </c>
      <c r="D2" s="2843">
        <v>43178</v>
      </c>
      <c r="E2" s="2843">
        <v>43199</v>
      </c>
      <c r="F2" s="2843">
        <v>43234</v>
      </c>
      <c r="G2" s="2843">
        <v>43262</v>
      </c>
      <c r="H2" s="2843">
        <v>43290</v>
      </c>
      <c r="I2" s="2843">
        <v>43297</v>
      </c>
      <c r="J2" s="2843">
        <v>43319</v>
      </c>
      <c r="K2" s="2843">
        <v>43325</v>
      </c>
      <c r="L2" s="2843">
        <v>43353</v>
      </c>
      <c r="M2" s="2843">
        <v>43369</v>
      </c>
      <c r="N2" s="2843">
        <v>43388</v>
      </c>
      <c r="O2" s="2843">
        <v>43409</v>
      </c>
      <c r="P2" s="2843">
        <v>43444</v>
      </c>
      <c r="Q2" s="1630" t="s">
        <v>85</v>
      </c>
      <c r="R2" s="1631" t="s">
        <v>77</v>
      </c>
      <c r="S2" s="1631" t="s">
        <v>103</v>
      </c>
    </row>
    <row r="3" spans="1:25">
      <c r="A3" s="1643" t="s">
        <v>301</v>
      </c>
      <c r="B3" s="1633">
        <v>8.19</v>
      </c>
      <c r="C3" s="1633">
        <v>8.1999999999999993</v>
      </c>
      <c r="D3" s="1633">
        <v>8.07</v>
      </c>
      <c r="E3" s="1633">
        <v>8.1999999999999993</v>
      </c>
      <c r="F3" s="1633">
        <v>8.3000000000000007</v>
      </c>
      <c r="G3" s="1633">
        <v>7.95</v>
      </c>
      <c r="H3" s="1634">
        <v>8.2799999999999994</v>
      </c>
      <c r="I3" s="1632">
        <v>8.58</v>
      </c>
      <c r="J3" s="1635">
        <v>8.0299999999999994</v>
      </c>
      <c r="K3" s="1633">
        <v>8.5299999999999994</v>
      </c>
      <c r="L3" s="1633">
        <v>8.23</v>
      </c>
      <c r="M3" s="1633">
        <v>8.35</v>
      </c>
      <c r="N3" s="1633">
        <v>8.26</v>
      </c>
      <c r="O3" s="1633">
        <v>7.99</v>
      </c>
      <c r="P3" s="1636">
        <v>7.97</v>
      </c>
      <c r="Q3" s="1626">
        <f>AVERAGE(B3:P3)</f>
        <v>8.2086666666666659</v>
      </c>
      <c r="R3" s="1627">
        <f>MAX(B3:P3)</f>
        <v>8.58</v>
      </c>
      <c r="S3" s="1627">
        <f>AVERAGE(H3:M3)</f>
        <v>8.3333333333333339</v>
      </c>
    </row>
    <row r="4" spans="1:25" s="6" customFormat="1">
      <c r="A4" s="1644" t="s">
        <v>302</v>
      </c>
      <c r="B4" s="1633">
        <v>8.1300000000000008</v>
      </c>
      <c r="C4" s="1633">
        <v>8.18</v>
      </c>
      <c r="D4" s="1633">
        <v>8.42</v>
      </c>
      <c r="E4" s="1633">
        <v>8.5</v>
      </c>
      <c r="F4" s="1633">
        <v>8.3800000000000008</v>
      </c>
      <c r="G4" s="1633">
        <v>8.25</v>
      </c>
      <c r="H4" s="1634">
        <v>8.26</v>
      </c>
      <c r="I4" s="1633">
        <v>8.23</v>
      </c>
      <c r="J4" s="1635">
        <v>8.19</v>
      </c>
      <c r="K4" s="1633">
        <v>8.2899999999999991</v>
      </c>
      <c r="L4" s="1633">
        <v>8.5</v>
      </c>
      <c r="M4" s="1633">
        <v>8.18</v>
      </c>
      <c r="N4" s="1633">
        <v>8.2899999999999991</v>
      </c>
      <c r="O4" s="1633">
        <v>8.15</v>
      </c>
      <c r="P4" s="1636">
        <v>8.2899999999999991</v>
      </c>
      <c r="Q4" s="1626">
        <f>AVERAGE(B4:P4)</f>
        <v>8.2826666666666675</v>
      </c>
      <c r="R4" s="1627">
        <f>MAX(B4:P4)</f>
        <v>8.5</v>
      </c>
      <c r="S4" s="1627">
        <f>AVERAGE(H4:M4)</f>
        <v>8.2750000000000004</v>
      </c>
    </row>
    <row r="5" spans="1:25">
      <c r="A5" s="1644" t="s">
        <v>303</v>
      </c>
      <c r="B5" s="1633">
        <v>8.23</v>
      </c>
      <c r="C5" s="1633">
        <v>8.42</v>
      </c>
      <c r="D5" s="1633">
        <v>8.09</v>
      </c>
      <c r="E5" s="1633">
        <v>8.49</v>
      </c>
      <c r="F5" s="1633">
        <v>8.31</v>
      </c>
      <c r="G5" s="1633">
        <v>8.4</v>
      </c>
      <c r="H5" s="1634">
        <v>8</v>
      </c>
      <c r="I5" s="1632">
        <v>8</v>
      </c>
      <c r="J5" s="1637">
        <v>8.4600000000000009</v>
      </c>
      <c r="K5" s="1633">
        <v>8.39</v>
      </c>
      <c r="L5" s="1633">
        <v>8.32</v>
      </c>
      <c r="M5" s="1633">
        <v>8.9</v>
      </c>
      <c r="N5" s="1633">
        <v>8.68</v>
      </c>
      <c r="O5" s="1633">
        <v>8.5500000000000007</v>
      </c>
      <c r="P5" s="1633">
        <v>8.42</v>
      </c>
      <c r="Q5" s="1626">
        <f>AVERAGE(B5:P5)</f>
        <v>8.3773333333333344</v>
      </c>
      <c r="R5" s="1627">
        <f>MAX(B5:P5)</f>
        <v>8.9</v>
      </c>
      <c r="S5" s="1627">
        <f>AVERAGE(H5:M5)</f>
        <v>8.3450000000000006</v>
      </c>
      <c r="T5" s="5"/>
      <c r="U5" s="5"/>
      <c r="V5" s="5"/>
      <c r="W5" s="5"/>
      <c r="X5" s="5"/>
      <c r="Y5" s="5"/>
    </row>
    <row r="6" spans="1:25" s="358" customFormat="1">
      <c r="A6" s="1645" t="s">
        <v>884</v>
      </c>
      <c r="B6" s="1638">
        <v>7.89</v>
      </c>
      <c r="C6" s="1638">
        <v>8.0399999999999991</v>
      </c>
      <c r="D6" s="1638">
        <v>7.96</v>
      </c>
      <c r="E6" s="1638">
        <v>8.2100000000000009</v>
      </c>
      <c r="F6" s="1638">
        <v>7.92</v>
      </c>
      <c r="G6" s="1638">
        <v>8.1</v>
      </c>
      <c r="H6" s="1638">
        <v>8.01</v>
      </c>
      <c r="I6" s="1632">
        <v>8.15</v>
      </c>
      <c r="J6" s="1637">
        <v>8.42</v>
      </c>
      <c r="K6" s="1633">
        <v>8.3699999999999992</v>
      </c>
      <c r="L6" s="1633">
        <v>8.26</v>
      </c>
      <c r="M6" s="1633">
        <v>8.36</v>
      </c>
      <c r="N6" s="1633">
        <v>8.2899999999999991</v>
      </c>
      <c r="O6" s="1633">
        <v>8.24</v>
      </c>
      <c r="P6" s="1633">
        <v>8.1199999999999992</v>
      </c>
      <c r="Q6" s="1626">
        <f>AVERAGE(B6:P6)</f>
        <v>8.1560000000000006</v>
      </c>
      <c r="R6" s="1627">
        <f>MAX(B6:P6)</f>
        <v>8.42</v>
      </c>
      <c r="S6" s="1627">
        <f>AVERAGE(H6:M6)</f>
        <v>8.2616666666666649</v>
      </c>
      <c r="T6" s="5"/>
      <c r="U6" s="5"/>
      <c r="V6" s="5"/>
      <c r="W6" s="5"/>
      <c r="X6" s="5"/>
      <c r="Y6" s="5"/>
    </row>
    <row r="7" spans="1:25" ht="15.5">
      <c r="A7" s="2956" t="s">
        <v>295</v>
      </c>
      <c r="B7" s="2957"/>
      <c r="C7" s="2957"/>
      <c r="D7" s="2957"/>
      <c r="E7" s="2957"/>
      <c r="F7" s="2957"/>
      <c r="G7" s="2957"/>
      <c r="H7" s="2957"/>
      <c r="I7" s="2957"/>
      <c r="J7" s="2957"/>
      <c r="K7" s="2957"/>
      <c r="L7" s="2957"/>
      <c r="M7" s="2957"/>
      <c r="N7" s="2957"/>
      <c r="O7" s="2957"/>
      <c r="P7" s="2957"/>
      <c r="Q7" s="2957"/>
      <c r="R7" s="2957"/>
      <c r="S7" s="2958"/>
      <c r="T7" s="5"/>
      <c r="U7" s="5"/>
      <c r="V7" s="5"/>
      <c r="W7" s="5"/>
      <c r="X7" s="5"/>
      <c r="Y7" s="5"/>
    </row>
    <row r="8" spans="1:25">
      <c r="A8" s="212" t="s">
        <v>239</v>
      </c>
      <c r="B8" s="1633">
        <v>8.35</v>
      </c>
      <c r="C8" s="1633">
        <v>8.2100000000000009</v>
      </c>
      <c r="D8" s="1633">
        <v>8.18</v>
      </c>
      <c r="E8" s="1633">
        <v>8.14</v>
      </c>
      <c r="F8" s="1633">
        <v>8.4</v>
      </c>
      <c r="G8" s="1633">
        <v>7.97</v>
      </c>
      <c r="H8" s="1633">
        <v>8.08</v>
      </c>
      <c r="I8" s="1633">
        <v>8.17</v>
      </c>
      <c r="J8" s="1639">
        <v>8.39</v>
      </c>
      <c r="K8" s="1633">
        <v>8.5500000000000007</v>
      </c>
      <c r="L8" s="1633">
        <v>8.2899999999999991</v>
      </c>
      <c r="M8" s="1633">
        <v>8.24</v>
      </c>
      <c r="N8" s="1633">
        <v>8.26</v>
      </c>
      <c r="O8" s="1633">
        <v>8.15</v>
      </c>
      <c r="P8" s="1636">
        <v>8.33</v>
      </c>
      <c r="Q8" s="1626">
        <f t="shared" ref="Q8:Q14" si="0">AVERAGE(B8:P8)</f>
        <v>8.2473333333333336</v>
      </c>
      <c r="R8" s="1627">
        <f t="shared" ref="R8:R14" si="1">MAX(B8:P8)</f>
        <v>8.5500000000000007</v>
      </c>
      <c r="S8" s="1627">
        <f t="shared" ref="S8:S21" si="2">AVERAGE(H8:M8)</f>
        <v>8.2866666666666671</v>
      </c>
      <c r="T8" s="5"/>
      <c r="U8" s="5"/>
      <c r="V8" s="5"/>
      <c r="W8" s="5"/>
      <c r="X8" s="5"/>
      <c r="Y8" s="5"/>
    </row>
    <row r="9" spans="1:25">
      <c r="A9" s="212" t="s">
        <v>140</v>
      </c>
      <c r="B9" s="1633">
        <v>8.39</v>
      </c>
      <c r="C9" s="1633">
        <v>8.1999999999999993</v>
      </c>
      <c r="D9" s="1633">
        <v>8.14</v>
      </c>
      <c r="E9" s="1633">
        <v>8.11</v>
      </c>
      <c r="F9" s="1633">
        <v>8.43</v>
      </c>
      <c r="G9" s="1633">
        <v>7.94</v>
      </c>
      <c r="H9" s="1633">
        <v>8.02</v>
      </c>
      <c r="I9" s="1633">
        <v>8.26</v>
      </c>
      <c r="J9" s="1639">
        <v>8.42</v>
      </c>
      <c r="K9" s="1633">
        <v>8.56</v>
      </c>
      <c r="L9" s="1633">
        <v>8.26</v>
      </c>
      <c r="M9" s="1633">
        <v>8.24</v>
      </c>
      <c r="N9" s="1633">
        <v>8.27</v>
      </c>
      <c r="O9" s="1633">
        <v>8.14</v>
      </c>
      <c r="P9" s="1636">
        <v>8.41</v>
      </c>
      <c r="Q9" s="1626">
        <f t="shared" si="0"/>
        <v>8.2526666666666664</v>
      </c>
      <c r="R9" s="1627">
        <f t="shared" si="1"/>
        <v>8.56</v>
      </c>
      <c r="S9" s="1627">
        <f t="shared" si="2"/>
        <v>8.2933333333333348</v>
      </c>
      <c r="T9" s="5"/>
      <c r="U9" s="5"/>
      <c r="V9" s="5"/>
      <c r="W9" s="5"/>
      <c r="X9" s="5"/>
      <c r="Y9" s="5"/>
    </row>
    <row r="10" spans="1:25">
      <c r="A10" s="212" t="s">
        <v>240</v>
      </c>
      <c r="B10" s="1633">
        <v>8.36</v>
      </c>
      <c r="C10" s="1633">
        <v>8.23</v>
      </c>
      <c r="D10" s="1633">
        <v>8.08</v>
      </c>
      <c r="E10" s="1633">
        <v>8.07</v>
      </c>
      <c r="F10" s="1633">
        <v>8.42</v>
      </c>
      <c r="G10" s="1633">
        <v>7.93</v>
      </c>
      <c r="H10" s="1633">
        <v>7.92</v>
      </c>
      <c r="I10" s="1633">
        <v>8.2200000000000006</v>
      </c>
      <c r="J10" s="1639">
        <v>8.42</v>
      </c>
      <c r="K10" s="1633">
        <v>8.56</v>
      </c>
      <c r="L10" s="1633">
        <v>8.27</v>
      </c>
      <c r="M10" s="1633">
        <v>8.24</v>
      </c>
      <c r="N10" s="1633">
        <v>8.26</v>
      </c>
      <c r="O10" s="1633">
        <v>8.17</v>
      </c>
      <c r="P10" s="1636">
        <v>8.48</v>
      </c>
      <c r="Q10" s="1626">
        <f t="shared" si="0"/>
        <v>8.2420000000000009</v>
      </c>
      <c r="R10" s="1627">
        <f t="shared" si="1"/>
        <v>8.56</v>
      </c>
      <c r="S10" s="1627">
        <f t="shared" si="2"/>
        <v>8.2716666666666665</v>
      </c>
      <c r="T10" s="5"/>
      <c r="U10" s="5"/>
      <c r="V10" s="5"/>
      <c r="W10" s="5"/>
      <c r="X10" s="5"/>
      <c r="Y10" s="5"/>
    </row>
    <row r="11" spans="1:25">
      <c r="A11" s="212" t="s">
        <v>141</v>
      </c>
      <c r="B11" s="1638">
        <v>8.44</v>
      </c>
      <c r="C11" s="1633">
        <v>8.34</v>
      </c>
      <c r="D11" s="1633">
        <v>8.08</v>
      </c>
      <c r="E11" s="1633">
        <v>8.0500000000000007</v>
      </c>
      <c r="F11" s="1633">
        <v>8.4</v>
      </c>
      <c r="G11" s="1633">
        <v>7.9</v>
      </c>
      <c r="H11" s="1633">
        <v>7.99</v>
      </c>
      <c r="I11" s="1633">
        <v>8.18</v>
      </c>
      <c r="J11" s="1639">
        <v>8.3800000000000008</v>
      </c>
      <c r="K11" s="1633">
        <v>8.5500000000000007</v>
      </c>
      <c r="L11" s="1633">
        <v>8.25</v>
      </c>
      <c r="M11" s="1633">
        <v>8.24</v>
      </c>
      <c r="N11" s="1633">
        <v>8.19</v>
      </c>
      <c r="O11" s="1633">
        <v>8.18</v>
      </c>
      <c r="P11" s="1636">
        <v>8.4</v>
      </c>
      <c r="Q11" s="1626">
        <f t="shared" si="0"/>
        <v>8.2379999999999995</v>
      </c>
      <c r="R11" s="1627">
        <f t="shared" si="1"/>
        <v>8.5500000000000007</v>
      </c>
      <c r="S11" s="1627">
        <f t="shared" si="2"/>
        <v>8.2650000000000023</v>
      </c>
    </row>
    <row r="12" spans="1:25">
      <c r="A12" s="212" t="s">
        <v>241</v>
      </c>
      <c r="B12" s="1633">
        <v>8.48</v>
      </c>
      <c r="C12" s="1633">
        <v>8.34</v>
      </c>
      <c r="D12" s="1633">
        <v>8.06</v>
      </c>
      <c r="E12" s="1633">
        <v>8.0399999999999991</v>
      </c>
      <c r="F12" s="1633">
        <v>8.36</v>
      </c>
      <c r="G12" s="1633">
        <v>7.91</v>
      </c>
      <c r="H12" s="1633">
        <v>7.95</v>
      </c>
      <c r="I12" s="1633">
        <v>8.14</v>
      </c>
      <c r="J12" s="1639">
        <v>8.3800000000000008</v>
      </c>
      <c r="K12" s="1633">
        <v>8.5500000000000007</v>
      </c>
      <c r="L12" s="1633">
        <v>8.23</v>
      </c>
      <c r="M12" s="1633">
        <v>8.23</v>
      </c>
      <c r="N12" s="1633">
        <v>8.17</v>
      </c>
      <c r="O12" s="1633">
        <v>8.17</v>
      </c>
      <c r="P12" s="1636">
        <v>8.51</v>
      </c>
      <c r="Q12" s="1626">
        <f t="shared" si="0"/>
        <v>8.2346666666666675</v>
      </c>
      <c r="R12" s="1627">
        <f t="shared" si="1"/>
        <v>8.5500000000000007</v>
      </c>
      <c r="S12" s="1627">
        <f t="shared" si="2"/>
        <v>8.2466666666666679</v>
      </c>
    </row>
    <row r="13" spans="1:25">
      <c r="A13" s="212" t="s">
        <v>142</v>
      </c>
      <c r="B13" s="1633">
        <v>8.49</v>
      </c>
      <c r="C13" s="1633">
        <v>8.2200000000000006</v>
      </c>
      <c r="D13" s="1633">
        <v>8.0500000000000007</v>
      </c>
      <c r="E13" s="1633">
        <v>8.02</v>
      </c>
      <c r="F13" s="1633">
        <v>8.2899999999999991</v>
      </c>
      <c r="G13" s="1633">
        <v>7.87</v>
      </c>
      <c r="H13" s="1633">
        <v>7.93</v>
      </c>
      <c r="I13" s="1633">
        <v>8.14</v>
      </c>
      <c r="J13" s="1639">
        <v>8.35</v>
      </c>
      <c r="K13" s="1633">
        <v>8.52</v>
      </c>
      <c r="L13" s="1633">
        <v>8.17</v>
      </c>
      <c r="M13" s="1633">
        <v>8.23</v>
      </c>
      <c r="N13" s="1633">
        <v>8.16</v>
      </c>
      <c r="O13" s="1633">
        <v>8.17</v>
      </c>
      <c r="P13" s="1636">
        <v>8.5</v>
      </c>
      <c r="Q13" s="1626">
        <f t="shared" si="0"/>
        <v>8.2073333333333327</v>
      </c>
      <c r="R13" s="1627">
        <f t="shared" si="1"/>
        <v>8.52</v>
      </c>
      <c r="S13" s="1627">
        <f t="shared" si="2"/>
        <v>8.2233333333333345</v>
      </c>
    </row>
    <row r="14" spans="1:25">
      <c r="A14" s="212" t="s">
        <v>242</v>
      </c>
      <c r="B14" s="1633">
        <v>8.4600000000000009</v>
      </c>
      <c r="C14" s="1633">
        <v>8.25</v>
      </c>
      <c r="D14" s="1633">
        <v>8.0299999999999994</v>
      </c>
      <c r="E14" s="1633">
        <v>8</v>
      </c>
      <c r="F14" s="1633">
        <v>8.24</v>
      </c>
      <c r="G14" s="1633">
        <v>7.88</v>
      </c>
      <c r="H14" s="1633">
        <v>7.91</v>
      </c>
      <c r="I14" s="1633">
        <v>8.11</v>
      </c>
      <c r="J14" s="1639">
        <v>8.33</v>
      </c>
      <c r="K14" s="1633">
        <v>8.51</v>
      </c>
      <c r="L14" s="1633">
        <v>8.14</v>
      </c>
      <c r="M14" s="1633">
        <v>8.23</v>
      </c>
      <c r="N14" s="1633">
        <v>8.16</v>
      </c>
      <c r="O14" s="1633">
        <v>8.15</v>
      </c>
      <c r="P14" s="1636">
        <v>8.5</v>
      </c>
      <c r="Q14" s="1626">
        <f t="shared" si="0"/>
        <v>8.1933333333333351</v>
      </c>
      <c r="R14" s="1627">
        <f t="shared" si="1"/>
        <v>8.51</v>
      </c>
      <c r="S14" s="1627">
        <f t="shared" si="2"/>
        <v>8.2050000000000001</v>
      </c>
    </row>
    <row r="15" spans="1:25">
      <c r="A15" s="212" t="s">
        <v>143</v>
      </c>
      <c r="B15" s="1633">
        <v>8.44</v>
      </c>
      <c r="C15" s="1633">
        <v>8.23</v>
      </c>
      <c r="D15" s="1633">
        <v>8.01</v>
      </c>
      <c r="E15" s="1633">
        <v>7.98</v>
      </c>
      <c r="F15" s="1633">
        <v>8.2100000000000009</v>
      </c>
      <c r="G15" s="1633">
        <v>7.88</v>
      </c>
      <c r="H15" s="1633">
        <v>7.86</v>
      </c>
      <c r="I15" s="1633">
        <v>8.11</v>
      </c>
      <c r="J15" s="1639">
        <v>8.31</v>
      </c>
      <c r="K15" s="1633">
        <v>8.51</v>
      </c>
      <c r="L15" s="1633">
        <v>8.1300000000000008</v>
      </c>
      <c r="M15" s="1633">
        <v>8.24</v>
      </c>
      <c r="N15" s="1633">
        <v>8.15</v>
      </c>
      <c r="O15" s="1633">
        <v>8.1300000000000008</v>
      </c>
      <c r="P15" s="1636">
        <v>8.51</v>
      </c>
      <c r="Q15" s="1626">
        <f t="shared" ref="Q15:Q21" si="3">AVERAGE(B15:P15)</f>
        <v>8.18</v>
      </c>
      <c r="R15" s="1627">
        <f t="shared" ref="R15:R21" si="4">MAX(B15:P15)</f>
        <v>8.51</v>
      </c>
      <c r="S15" s="1627">
        <f t="shared" si="2"/>
        <v>8.1933333333333334</v>
      </c>
    </row>
    <row r="16" spans="1:25">
      <c r="A16" s="212" t="s">
        <v>144</v>
      </c>
      <c r="B16" s="1633">
        <v>8.31</v>
      </c>
      <c r="C16" s="1633">
        <v>8.18</v>
      </c>
      <c r="D16" s="1633">
        <v>7.95</v>
      </c>
      <c r="E16" s="1633">
        <v>7.97</v>
      </c>
      <c r="F16" s="1633">
        <v>8.1</v>
      </c>
      <c r="G16" s="1633">
        <v>7.87</v>
      </c>
      <c r="H16" s="1633">
        <v>7.86</v>
      </c>
      <c r="I16" s="1633">
        <v>8.09</v>
      </c>
      <c r="J16" s="1639">
        <v>8.2899999999999991</v>
      </c>
      <c r="K16" s="1633">
        <v>8.49</v>
      </c>
      <c r="L16" s="1633">
        <v>8.09</v>
      </c>
      <c r="M16" s="1633">
        <v>8.24</v>
      </c>
      <c r="N16" s="1633">
        <v>8.15</v>
      </c>
      <c r="O16" s="1633">
        <v>8.1199999999999992</v>
      </c>
      <c r="P16" s="1636"/>
      <c r="Q16" s="1626">
        <f t="shared" si="3"/>
        <v>8.1221428571428582</v>
      </c>
      <c r="R16" s="1627">
        <f t="shared" si="4"/>
        <v>8.49</v>
      </c>
      <c r="S16" s="1627">
        <f t="shared" si="2"/>
        <v>8.1766666666666659</v>
      </c>
    </row>
    <row r="17" spans="1:19">
      <c r="A17" s="212" t="s">
        <v>145</v>
      </c>
      <c r="B17" s="1633">
        <v>8.17</v>
      </c>
      <c r="C17" s="1633">
        <v>8.1</v>
      </c>
      <c r="D17" s="1633">
        <v>7.92</v>
      </c>
      <c r="E17" s="1633">
        <v>7.96</v>
      </c>
      <c r="F17" s="1633">
        <v>8.02</v>
      </c>
      <c r="G17" s="1633">
        <v>7.85</v>
      </c>
      <c r="H17" s="1633">
        <v>7.85</v>
      </c>
      <c r="I17" s="1633">
        <v>8.08</v>
      </c>
      <c r="J17" s="1639">
        <v>8.26</v>
      </c>
      <c r="K17" s="1633">
        <v>8.49</v>
      </c>
      <c r="L17" s="1633">
        <v>8.08</v>
      </c>
      <c r="M17" s="1633">
        <v>8.2100000000000009</v>
      </c>
      <c r="N17" s="1633">
        <v>8.16</v>
      </c>
      <c r="O17" s="1633">
        <v>8.1199999999999992</v>
      </c>
      <c r="P17" s="1636"/>
      <c r="Q17" s="1626">
        <f t="shared" si="3"/>
        <v>8.0907142857142862</v>
      </c>
      <c r="R17" s="1627">
        <f t="shared" si="4"/>
        <v>8.49</v>
      </c>
      <c r="S17" s="1627">
        <f t="shared" si="2"/>
        <v>8.1616666666666671</v>
      </c>
    </row>
    <row r="18" spans="1:19">
      <c r="A18" s="212" t="s">
        <v>146</v>
      </c>
      <c r="B18" s="1633">
        <v>8</v>
      </c>
      <c r="C18" s="1640">
        <v>8.01</v>
      </c>
      <c r="D18" s="1633">
        <v>7.87</v>
      </c>
      <c r="E18" s="1633">
        <v>7.94</v>
      </c>
      <c r="F18" s="1633">
        <v>7.94</v>
      </c>
      <c r="G18" s="1633">
        <v>7.78</v>
      </c>
      <c r="H18" s="1633">
        <v>7.82</v>
      </c>
      <c r="I18" s="1633">
        <v>8.0399999999999991</v>
      </c>
      <c r="J18" s="1639">
        <v>8.1999999999999993</v>
      </c>
      <c r="K18" s="1633">
        <v>8.4600000000000009</v>
      </c>
      <c r="L18" s="1633">
        <v>8.08</v>
      </c>
      <c r="M18" s="1633">
        <v>8.2200000000000006</v>
      </c>
      <c r="N18" s="1633">
        <v>8.19</v>
      </c>
      <c r="O18" s="1633">
        <v>8.11</v>
      </c>
      <c r="P18" s="1636"/>
      <c r="Q18" s="1626">
        <f t="shared" si="3"/>
        <v>8.0471428571428572</v>
      </c>
      <c r="R18" s="1627">
        <f t="shared" si="4"/>
        <v>8.4600000000000009</v>
      </c>
      <c r="S18" s="1627">
        <f t="shared" si="2"/>
        <v>8.1366666666666649</v>
      </c>
    </row>
    <row r="19" spans="1:19">
      <c r="A19" s="212" t="s">
        <v>147</v>
      </c>
      <c r="B19" s="1633">
        <v>7.86</v>
      </c>
      <c r="C19" s="1633">
        <v>7.85</v>
      </c>
      <c r="D19" s="1633">
        <v>7.8</v>
      </c>
      <c r="E19" s="1633">
        <v>7.93</v>
      </c>
      <c r="F19" s="1633">
        <v>7.87</v>
      </c>
      <c r="G19" s="1633">
        <v>7.8</v>
      </c>
      <c r="H19" s="1633">
        <v>7.79</v>
      </c>
      <c r="I19" s="1633">
        <v>8.0399999999999991</v>
      </c>
      <c r="J19" s="1639">
        <v>8.14</v>
      </c>
      <c r="K19" s="1633">
        <v>8.42</v>
      </c>
      <c r="L19" s="1633">
        <v>8.0399999999999991</v>
      </c>
      <c r="M19" s="1633">
        <v>8.23</v>
      </c>
      <c r="N19" s="1633">
        <v>8.2200000000000006</v>
      </c>
      <c r="O19" s="1633">
        <v>8.11</v>
      </c>
      <c r="P19" s="1636"/>
      <c r="Q19" s="1626">
        <f t="shared" si="3"/>
        <v>8.0071428571428562</v>
      </c>
      <c r="R19" s="1627">
        <f t="shared" si="4"/>
        <v>8.42</v>
      </c>
      <c r="S19" s="1627">
        <f t="shared" si="2"/>
        <v>8.11</v>
      </c>
    </row>
    <row r="20" spans="1:19">
      <c r="A20" s="212" t="s">
        <v>148</v>
      </c>
      <c r="B20" s="1633">
        <v>7.81</v>
      </c>
      <c r="C20" s="1633">
        <v>7.85</v>
      </c>
      <c r="D20" s="1633">
        <v>7.76</v>
      </c>
      <c r="E20" s="1633">
        <v>7.91</v>
      </c>
      <c r="F20" s="1633">
        <v>7.75</v>
      </c>
      <c r="G20" s="1633">
        <v>7.75</v>
      </c>
      <c r="H20" s="1633">
        <v>7.78</v>
      </c>
      <c r="I20" s="1633">
        <v>7.99</v>
      </c>
      <c r="J20" s="1639">
        <v>8.1</v>
      </c>
      <c r="K20" s="1633">
        <v>8.35</v>
      </c>
      <c r="L20" s="1633">
        <v>8</v>
      </c>
      <c r="M20" s="1633">
        <v>8.19</v>
      </c>
      <c r="N20" s="1633">
        <v>8.19</v>
      </c>
      <c r="O20" s="1633">
        <v>8.06</v>
      </c>
      <c r="P20" s="1636"/>
      <c r="Q20" s="1626">
        <f t="shared" si="3"/>
        <v>7.9635714285714281</v>
      </c>
      <c r="R20" s="1627">
        <f t="shared" si="4"/>
        <v>8.35</v>
      </c>
      <c r="S20" s="1627">
        <f t="shared" si="2"/>
        <v>8.0683333333333334</v>
      </c>
    </row>
    <row r="21" spans="1:19">
      <c r="A21" s="212" t="s">
        <v>167</v>
      </c>
      <c r="B21" s="1633">
        <v>7.77</v>
      </c>
      <c r="C21" s="1633">
        <v>7.8</v>
      </c>
      <c r="D21" s="1633">
        <v>7.69</v>
      </c>
      <c r="E21" s="1633">
        <v>7.9</v>
      </c>
      <c r="F21" s="1633">
        <v>7.71</v>
      </c>
      <c r="G21" s="1633">
        <v>7.73</v>
      </c>
      <c r="H21" s="1633">
        <v>7.74</v>
      </c>
      <c r="I21" s="1633">
        <v>7.93</v>
      </c>
      <c r="J21" s="1639">
        <v>8.06</v>
      </c>
      <c r="K21" s="1633">
        <v>8.24</v>
      </c>
      <c r="L21" s="1633">
        <v>8</v>
      </c>
      <c r="M21" s="1633"/>
      <c r="N21" s="1633"/>
      <c r="O21" s="1633"/>
      <c r="P21" s="1636"/>
      <c r="Q21" s="1626">
        <f t="shared" si="3"/>
        <v>7.870000000000001</v>
      </c>
      <c r="R21" s="1627">
        <f t="shared" si="4"/>
        <v>8.24</v>
      </c>
      <c r="S21" s="1627">
        <f t="shared" si="2"/>
        <v>7.9939999999999998</v>
      </c>
    </row>
    <row r="22" spans="1:19">
      <c r="A22" s="212" t="s">
        <v>168</v>
      </c>
      <c r="B22" s="322"/>
      <c r="C22" s="322"/>
      <c r="D22" s="322"/>
      <c r="E22" s="322"/>
      <c r="F22" s="322"/>
      <c r="G22" s="322"/>
      <c r="H22" s="322"/>
      <c r="I22" s="322"/>
      <c r="J22" s="266"/>
      <c r="K22" s="322"/>
      <c r="L22" s="322"/>
      <c r="M22" s="322"/>
      <c r="N22" s="322"/>
      <c r="O22" s="322"/>
      <c r="P22" s="1510"/>
      <c r="Q22" s="1626"/>
      <c r="R22" s="1627"/>
      <c r="S22" s="1627"/>
    </row>
    <row r="23" spans="1:19">
      <c r="A23" s="212" t="s">
        <v>308</v>
      </c>
      <c r="B23" s="322">
        <f t="shared" ref="B23:P23" si="5">AVERAGE(B8:B11)</f>
        <v>8.3849999999999998</v>
      </c>
      <c r="C23" s="322">
        <f t="shared" si="5"/>
        <v>8.245000000000001</v>
      </c>
      <c r="D23" s="322">
        <f t="shared" si="5"/>
        <v>8.1199999999999992</v>
      </c>
      <c r="E23" s="322">
        <f t="shared" si="5"/>
        <v>8.0925000000000011</v>
      </c>
      <c r="F23" s="322">
        <f t="shared" si="5"/>
        <v>8.4124999999999996</v>
      </c>
      <c r="G23" s="322">
        <f t="shared" si="5"/>
        <v>7.9350000000000005</v>
      </c>
      <c r="H23" s="322">
        <f t="shared" si="5"/>
        <v>8.0025000000000013</v>
      </c>
      <c r="I23" s="322">
        <f t="shared" si="5"/>
        <v>8.2074999999999996</v>
      </c>
      <c r="J23" s="322">
        <f t="shared" si="5"/>
        <v>8.4025000000000016</v>
      </c>
      <c r="K23" s="322">
        <f t="shared" si="5"/>
        <v>8.5549999999999997</v>
      </c>
      <c r="L23" s="322">
        <f t="shared" si="5"/>
        <v>8.2674999999999983</v>
      </c>
      <c r="M23" s="322">
        <f t="shared" si="5"/>
        <v>8.24</v>
      </c>
      <c r="N23" s="322">
        <f t="shared" si="5"/>
        <v>8.2449999999999992</v>
      </c>
      <c r="O23" s="322">
        <f t="shared" si="5"/>
        <v>8.16</v>
      </c>
      <c r="P23" s="322">
        <f t="shared" si="5"/>
        <v>8.4050000000000011</v>
      </c>
      <c r="Q23" s="1622">
        <f>AVERAGE(Q8:Q11)</f>
        <v>8.245000000000001</v>
      </c>
      <c r="R23" s="1622">
        <f>AVERAGE(R8:R11)</f>
        <v>8.5549999999999997</v>
      </c>
      <c r="S23" s="1622">
        <f>AVERAGE(S8:S11)</f>
        <v>8.2791666666666668</v>
      </c>
    </row>
    <row r="24" spans="1:19">
      <c r="A24" s="212" t="s">
        <v>309</v>
      </c>
      <c r="B24" s="322">
        <f t="shared" ref="B24:S24" si="6">AVERAGE(B8:B22)</f>
        <v>8.237857142857143</v>
      </c>
      <c r="C24" s="322">
        <f t="shared" si="6"/>
        <v>8.1292857142857144</v>
      </c>
      <c r="D24" s="322">
        <f t="shared" si="6"/>
        <v>7.9728571428571442</v>
      </c>
      <c r="E24" s="322">
        <f t="shared" si="6"/>
        <v>8.0014285714285727</v>
      </c>
      <c r="F24" s="322">
        <f t="shared" si="6"/>
        <v>8.1528571428571421</v>
      </c>
      <c r="G24" s="322">
        <f t="shared" si="6"/>
        <v>7.8614285714285712</v>
      </c>
      <c r="H24" s="322">
        <f t="shared" si="6"/>
        <v>7.8928571428571432</v>
      </c>
      <c r="I24" s="322">
        <f t="shared" si="6"/>
        <v>8.1071428571428559</v>
      </c>
      <c r="J24" s="322">
        <f t="shared" si="6"/>
        <v>8.2878571428571437</v>
      </c>
      <c r="K24" s="322">
        <f t="shared" si="6"/>
        <v>8.4828571428571404</v>
      </c>
      <c r="L24" s="322">
        <f t="shared" si="6"/>
        <v>8.1449999999999996</v>
      </c>
      <c r="M24" s="322">
        <f t="shared" si="6"/>
        <v>8.2292307692307691</v>
      </c>
      <c r="N24" s="322">
        <f t="shared" si="6"/>
        <v>8.1946153846153855</v>
      </c>
      <c r="O24" s="322">
        <f t="shared" si="6"/>
        <v>8.1369230769230789</v>
      </c>
      <c r="P24" s="322">
        <f t="shared" si="6"/>
        <v>8.4550000000000001</v>
      </c>
      <c r="Q24" s="1622">
        <f t="shared" si="6"/>
        <v>8.1354319727891156</v>
      </c>
      <c r="R24" s="1622">
        <f t="shared" si="6"/>
        <v>8.4828571428571404</v>
      </c>
      <c r="S24" s="1622">
        <f t="shared" si="6"/>
        <v>8.1880238095238091</v>
      </c>
    </row>
    <row r="25" spans="1:19" ht="15.5">
      <c r="A25" s="2959" t="s">
        <v>296</v>
      </c>
      <c r="B25" s="2960"/>
      <c r="C25" s="2960"/>
      <c r="D25" s="2960"/>
      <c r="E25" s="2960"/>
      <c r="F25" s="2960"/>
      <c r="G25" s="2960"/>
      <c r="H25" s="2960"/>
      <c r="I25" s="2960"/>
      <c r="J25" s="2960"/>
      <c r="K25" s="2960"/>
      <c r="L25" s="2960"/>
      <c r="M25" s="2960"/>
      <c r="N25" s="2960"/>
      <c r="O25" s="2960"/>
      <c r="P25" s="2960"/>
      <c r="Q25" s="2960"/>
      <c r="R25" s="2960"/>
      <c r="S25" s="2961"/>
    </row>
    <row r="26" spans="1:19">
      <c r="A26" s="146" t="s">
        <v>239</v>
      </c>
      <c r="B26" s="1633">
        <v>8.1199999999999992</v>
      </c>
      <c r="C26" s="1633">
        <v>8.15</v>
      </c>
      <c r="D26" s="1633">
        <v>7.89</v>
      </c>
      <c r="E26" s="1641">
        <v>7.96</v>
      </c>
      <c r="F26" s="1641">
        <v>8.1999999999999993</v>
      </c>
      <c r="G26" s="1641">
        <v>7.84</v>
      </c>
      <c r="H26" s="1641">
        <v>7.86</v>
      </c>
      <c r="I26" s="1641">
        <v>8.1300000000000008</v>
      </c>
      <c r="J26" s="1641">
        <v>8.32</v>
      </c>
      <c r="K26" s="1641">
        <v>8.51</v>
      </c>
      <c r="L26" s="1641">
        <v>8.08</v>
      </c>
      <c r="M26" s="1641">
        <v>8.32</v>
      </c>
      <c r="N26" s="1641">
        <v>8.27</v>
      </c>
      <c r="O26" s="1641">
        <v>8.4</v>
      </c>
      <c r="P26" s="1642"/>
      <c r="Q26" s="1626">
        <f t="shared" ref="Q26:Q36" si="7">AVERAGE(B26:P26)</f>
        <v>8.1464285714285705</v>
      </c>
      <c r="R26" s="1627">
        <f t="shared" ref="R26:R36" si="8">MAX(B26:P26)</f>
        <v>8.51</v>
      </c>
      <c r="S26" s="1627">
        <f t="shared" ref="S26:S37" si="9">AVERAGE(H26:M26)</f>
        <v>8.2033333333333331</v>
      </c>
    </row>
    <row r="27" spans="1:19">
      <c r="A27" s="146" t="s">
        <v>140</v>
      </c>
      <c r="B27" s="1633">
        <v>8.0399999999999991</v>
      </c>
      <c r="C27" s="1633">
        <v>8.1</v>
      </c>
      <c r="D27" s="1633">
        <v>7.91</v>
      </c>
      <c r="E27" s="1641">
        <v>7.96</v>
      </c>
      <c r="F27" s="1641">
        <v>8.23</v>
      </c>
      <c r="G27" s="1641">
        <v>7.85</v>
      </c>
      <c r="H27" s="1641">
        <v>7.64</v>
      </c>
      <c r="I27" s="1641">
        <v>8.07</v>
      </c>
      <c r="J27" s="1641">
        <v>8.39</v>
      </c>
      <c r="K27" s="1641">
        <v>8.52</v>
      </c>
      <c r="L27" s="1641">
        <v>8.0500000000000007</v>
      </c>
      <c r="M27" s="1641">
        <v>8.32</v>
      </c>
      <c r="N27" s="1641">
        <v>8.27</v>
      </c>
      <c r="O27" s="1641">
        <v>8.1</v>
      </c>
      <c r="P27" s="1642"/>
      <c r="Q27" s="1626">
        <f t="shared" si="7"/>
        <v>8.103571428571426</v>
      </c>
      <c r="R27" s="1627">
        <f t="shared" si="8"/>
        <v>8.52</v>
      </c>
      <c r="S27" s="1627">
        <f t="shared" si="9"/>
        <v>8.1650000000000009</v>
      </c>
    </row>
    <row r="28" spans="1:19">
      <c r="A28" s="146" t="s">
        <v>240</v>
      </c>
      <c r="B28" s="1633">
        <v>8</v>
      </c>
      <c r="C28" s="1633">
        <v>8.33</v>
      </c>
      <c r="D28" s="1633">
        <v>7.92</v>
      </c>
      <c r="E28" s="1641">
        <v>7.96</v>
      </c>
      <c r="F28" s="1641">
        <v>8.27</v>
      </c>
      <c r="G28" s="1641">
        <v>7.86</v>
      </c>
      <c r="H28" s="1641">
        <v>7.86</v>
      </c>
      <c r="I28" s="1641">
        <v>8.07</v>
      </c>
      <c r="J28" s="1641">
        <v>8.41</v>
      </c>
      <c r="K28" s="1641">
        <v>8.5500000000000007</v>
      </c>
      <c r="L28" s="1641">
        <v>8.07</v>
      </c>
      <c r="M28" s="1641">
        <v>8.32</v>
      </c>
      <c r="N28" s="1641">
        <v>8.27</v>
      </c>
      <c r="O28" s="1641">
        <v>8.1</v>
      </c>
      <c r="P28" s="1642"/>
      <c r="Q28" s="1626">
        <f t="shared" si="7"/>
        <v>8.142142857142856</v>
      </c>
      <c r="R28" s="1627">
        <f t="shared" si="8"/>
        <v>8.5500000000000007</v>
      </c>
      <c r="S28" s="1627">
        <f t="shared" si="9"/>
        <v>8.2133333333333329</v>
      </c>
    </row>
    <row r="29" spans="1:19">
      <c r="A29" s="146" t="s">
        <v>141</v>
      </c>
      <c r="B29" s="1633">
        <v>8.11</v>
      </c>
      <c r="C29" s="1633">
        <v>8.32</v>
      </c>
      <c r="D29" s="1633">
        <v>7.92</v>
      </c>
      <c r="E29" s="1641">
        <v>7.96</v>
      </c>
      <c r="F29" s="1641">
        <v>8.3000000000000007</v>
      </c>
      <c r="G29" s="1641">
        <v>7.86</v>
      </c>
      <c r="H29" s="1641">
        <v>7.87</v>
      </c>
      <c r="I29" s="1641">
        <v>8.0299999999999994</v>
      </c>
      <c r="J29" s="1641">
        <v>8.4</v>
      </c>
      <c r="K29" s="1641">
        <v>8.5500000000000007</v>
      </c>
      <c r="L29" s="1641">
        <v>8.07</v>
      </c>
      <c r="M29" s="1641">
        <v>8.32</v>
      </c>
      <c r="N29" s="1641">
        <v>8.27</v>
      </c>
      <c r="O29" s="1641">
        <v>8.1</v>
      </c>
      <c r="P29" s="1642"/>
      <c r="Q29" s="1626">
        <f t="shared" si="7"/>
        <v>8.1485714285714259</v>
      </c>
      <c r="R29" s="1627">
        <f t="shared" si="8"/>
        <v>8.5500000000000007</v>
      </c>
      <c r="S29" s="1627">
        <f t="shared" si="9"/>
        <v>8.2066666666666652</v>
      </c>
    </row>
    <row r="30" spans="1:19">
      <c r="A30" s="146" t="s">
        <v>241</v>
      </c>
      <c r="B30" s="1633">
        <v>8.34</v>
      </c>
      <c r="C30" s="1633">
        <v>8.4</v>
      </c>
      <c r="D30" s="1633">
        <v>7.92</v>
      </c>
      <c r="E30" s="1641">
        <v>7.96</v>
      </c>
      <c r="F30" s="1641">
        <v>8.25</v>
      </c>
      <c r="G30" s="1641">
        <v>7.85</v>
      </c>
      <c r="H30" s="1641">
        <v>7.86</v>
      </c>
      <c r="I30" s="1641">
        <v>8.0299999999999994</v>
      </c>
      <c r="J30" s="1641">
        <v>8.39</v>
      </c>
      <c r="K30" s="1641">
        <v>8.5399999999999991</v>
      </c>
      <c r="L30" s="1641">
        <v>8.07</v>
      </c>
      <c r="M30" s="1641">
        <v>8.32</v>
      </c>
      <c r="N30" s="1641">
        <v>8.27</v>
      </c>
      <c r="O30" s="1641">
        <v>8.1</v>
      </c>
      <c r="P30" s="1642"/>
      <c r="Q30" s="1626">
        <f t="shared" si="7"/>
        <v>8.1642857142857128</v>
      </c>
      <c r="R30" s="1627">
        <f t="shared" si="8"/>
        <v>8.5399999999999991</v>
      </c>
      <c r="S30" s="1627">
        <f t="shared" si="9"/>
        <v>8.2016666666666662</v>
      </c>
    </row>
    <row r="31" spans="1:19">
      <c r="A31" s="146" t="s">
        <v>142</v>
      </c>
      <c r="B31" s="1640">
        <v>8.4700000000000006</v>
      </c>
      <c r="C31" s="1633">
        <v>8.3800000000000008</v>
      </c>
      <c r="D31" s="1633">
        <v>7.92</v>
      </c>
      <c r="E31" s="1641">
        <v>7.92</v>
      </c>
      <c r="F31" s="1641">
        <v>8.1999999999999993</v>
      </c>
      <c r="G31" s="1641">
        <v>7.83</v>
      </c>
      <c r="H31" s="1641">
        <v>7.86</v>
      </c>
      <c r="I31" s="1641">
        <v>8.02</v>
      </c>
      <c r="J31" s="1641">
        <v>8.3800000000000008</v>
      </c>
      <c r="K31" s="1641">
        <v>8.5399999999999991</v>
      </c>
      <c r="L31" s="1641">
        <v>8.07</v>
      </c>
      <c r="M31" s="1641">
        <v>8.3000000000000007</v>
      </c>
      <c r="N31" s="1641">
        <v>8.2799999999999994</v>
      </c>
      <c r="O31" s="1641">
        <v>8.1</v>
      </c>
      <c r="P31" s="1642"/>
      <c r="Q31" s="1626">
        <f t="shared" si="7"/>
        <v>8.1621428571428556</v>
      </c>
      <c r="R31" s="1627">
        <f t="shared" si="8"/>
        <v>8.5399999999999991</v>
      </c>
      <c r="S31" s="1627">
        <f t="shared" si="9"/>
        <v>8.1950000000000003</v>
      </c>
    </row>
    <row r="32" spans="1:19">
      <c r="A32" s="146" t="s">
        <v>242</v>
      </c>
      <c r="B32" s="1633">
        <v>8.41</v>
      </c>
      <c r="C32" s="1633">
        <v>8.35</v>
      </c>
      <c r="D32" s="1633">
        <v>7.92</v>
      </c>
      <c r="E32" s="1641">
        <v>7.91</v>
      </c>
      <c r="F32" s="1641">
        <v>8.16</v>
      </c>
      <c r="G32" s="1641">
        <v>7.82</v>
      </c>
      <c r="H32" s="1641">
        <v>7.83</v>
      </c>
      <c r="I32" s="1641">
        <v>8.01</v>
      </c>
      <c r="J32" s="1641">
        <v>8.3800000000000008</v>
      </c>
      <c r="K32" s="1641">
        <v>8.51</v>
      </c>
      <c r="L32" s="1641">
        <v>8.0500000000000007</v>
      </c>
      <c r="M32" s="1641">
        <v>8.3000000000000007</v>
      </c>
      <c r="N32" s="1641">
        <v>8.2799999999999994</v>
      </c>
      <c r="O32" s="1641">
        <v>8.1</v>
      </c>
      <c r="P32" s="1642"/>
      <c r="Q32" s="1626">
        <f t="shared" si="7"/>
        <v>8.1449999999999996</v>
      </c>
      <c r="R32" s="1627">
        <f t="shared" si="8"/>
        <v>8.51</v>
      </c>
      <c r="S32" s="1627">
        <f t="shared" si="9"/>
        <v>8.18</v>
      </c>
    </row>
    <row r="33" spans="1:19">
      <c r="A33" s="146" t="s">
        <v>143</v>
      </c>
      <c r="B33" s="1633">
        <v>8.36</v>
      </c>
      <c r="C33" s="1633">
        <v>8.31</v>
      </c>
      <c r="D33" s="1633">
        <v>7.9</v>
      </c>
      <c r="E33" s="1641">
        <v>7.91</v>
      </c>
      <c r="F33" s="1641">
        <v>8.1199999999999992</v>
      </c>
      <c r="G33" s="1641">
        <v>7.8</v>
      </c>
      <c r="H33" s="1641">
        <v>7.84</v>
      </c>
      <c r="I33" s="1641">
        <v>7.99</v>
      </c>
      <c r="J33" s="1641">
        <v>8.3699999999999992</v>
      </c>
      <c r="K33" s="1641">
        <v>8.51</v>
      </c>
      <c r="L33" s="1641">
        <v>8.0399999999999991</v>
      </c>
      <c r="M33" s="1641">
        <v>8.3000000000000007</v>
      </c>
      <c r="N33" s="1641">
        <v>8.2899999999999991</v>
      </c>
      <c r="O33" s="1641">
        <v>8.1</v>
      </c>
      <c r="P33" s="1642"/>
      <c r="Q33" s="1626">
        <f t="shared" si="7"/>
        <v>8.1314285714285717</v>
      </c>
      <c r="R33" s="1627">
        <f t="shared" si="8"/>
        <v>8.51</v>
      </c>
      <c r="S33" s="1627">
        <f t="shared" si="9"/>
        <v>8.1749999999999989</v>
      </c>
    </row>
    <row r="34" spans="1:19">
      <c r="A34" s="146" t="s">
        <v>144</v>
      </c>
      <c r="B34" s="1633">
        <v>8.2899999999999991</v>
      </c>
      <c r="C34" s="1633">
        <v>8.2100000000000009</v>
      </c>
      <c r="D34" s="1633">
        <v>7.88</v>
      </c>
      <c r="E34" s="1641">
        <v>7.91</v>
      </c>
      <c r="F34" s="1641">
        <v>8.0500000000000007</v>
      </c>
      <c r="G34" s="1641">
        <v>7.7</v>
      </c>
      <c r="H34" s="1641">
        <v>7.82</v>
      </c>
      <c r="I34" s="1641">
        <v>7.98</v>
      </c>
      <c r="J34" s="1641">
        <v>8.35</v>
      </c>
      <c r="K34" s="1641">
        <v>8.52</v>
      </c>
      <c r="L34" s="1641">
        <v>8.02</v>
      </c>
      <c r="M34" s="1641">
        <v>8.3000000000000007</v>
      </c>
      <c r="N34" s="1641">
        <v>8.2899999999999991</v>
      </c>
      <c r="O34" s="1641">
        <v>8.1</v>
      </c>
      <c r="P34" s="1642"/>
      <c r="Q34" s="1626">
        <f t="shared" si="7"/>
        <v>8.1014285714285705</v>
      </c>
      <c r="R34" s="1627">
        <f t="shared" si="8"/>
        <v>8.52</v>
      </c>
      <c r="S34" s="1627">
        <f t="shared" si="9"/>
        <v>8.1649999999999991</v>
      </c>
    </row>
    <row r="35" spans="1:19">
      <c r="A35" s="146" t="s">
        <v>145</v>
      </c>
      <c r="B35" s="1633">
        <v>8.14</v>
      </c>
      <c r="C35" s="1633">
        <v>8.1300000000000008</v>
      </c>
      <c r="D35" s="1633">
        <v>7.84</v>
      </c>
      <c r="E35" s="1641">
        <v>7.91</v>
      </c>
      <c r="F35" s="1641">
        <v>7.99</v>
      </c>
      <c r="G35" s="1641">
        <v>7.76</v>
      </c>
      <c r="H35" s="1641">
        <v>7.81</v>
      </c>
      <c r="I35" s="1641">
        <v>7.99</v>
      </c>
      <c r="J35" s="1641">
        <v>8.33</v>
      </c>
      <c r="K35" s="1641">
        <v>8.48</v>
      </c>
      <c r="L35" s="1641">
        <v>8.01</v>
      </c>
      <c r="M35" s="1641">
        <v>8.31</v>
      </c>
      <c r="N35" s="1641">
        <v>8.26</v>
      </c>
      <c r="O35" s="1641">
        <v>8.0500000000000007</v>
      </c>
      <c r="P35" s="1642"/>
      <c r="Q35" s="1626">
        <f t="shared" si="7"/>
        <v>8.0721428571428593</v>
      </c>
      <c r="R35" s="1627">
        <f t="shared" si="8"/>
        <v>8.48</v>
      </c>
      <c r="S35" s="1627">
        <f t="shared" si="9"/>
        <v>8.1549999999999994</v>
      </c>
    </row>
    <row r="36" spans="1:19">
      <c r="A36" s="146" t="s">
        <v>146</v>
      </c>
      <c r="B36" s="1633">
        <v>7.95</v>
      </c>
      <c r="C36" s="1633">
        <v>8.0399999999999991</v>
      </c>
      <c r="D36" s="1633">
        <v>7.79</v>
      </c>
      <c r="E36" s="1641">
        <v>7.89</v>
      </c>
      <c r="F36" s="1641">
        <v>7.94</v>
      </c>
      <c r="G36" s="1641">
        <v>7.76</v>
      </c>
      <c r="H36" s="1641">
        <v>7.78</v>
      </c>
      <c r="I36" s="1641">
        <v>7.98</v>
      </c>
      <c r="J36" s="1641"/>
      <c r="K36" s="1641">
        <v>8.3800000000000008</v>
      </c>
      <c r="L36" s="1641">
        <v>7.99</v>
      </c>
      <c r="M36" s="1641"/>
      <c r="N36" s="1641">
        <v>8.24</v>
      </c>
      <c r="O36" s="1641"/>
      <c r="P36" s="1642"/>
      <c r="Q36" s="1626">
        <f t="shared" si="7"/>
        <v>7.9763636363636348</v>
      </c>
      <c r="R36" s="1627">
        <f t="shared" si="8"/>
        <v>8.3800000000000008</v>
      </c>
      <c r="S36" s="1627">
        <f t="shared" si="9"/>
        <v>8.0325000000000006</v>
      </c>
    </row>
    <row r="37" spans="1:19">
      <c r="A37" s="146" t="s">
        <v>147</v>
      </c>
      <c r="B37" s="1633">
        <v>7.84</v>
      </c>
      <c r="C37" s="1633">
        <v>7.92</v>
      </c>
      <c r="D37" s="1633">
        <v>7.74</v>
      </c>
      <c r="E37" s="1641">
        <v>7.91</v>
      </c>
      <c r="F37" s="1641">
        <v>7.86</v>
      </c>
      <c r="G37" s="1641">
        <v>7.72</v>
      </c>
      <c r="H37" s="1641">
        <v>7.75</v>
      </c>
      <c r="I37" s="1641">
        <v>7.96</v>
      </c>
      <c r="J37" s="1641"/>
      <c r="K37" s="1641">
        <v>8.2799999999999994</v>
      </c>
      <c r="L37" s="1641"/>
      <c r="M37" s="1641"/>
      <c r="N37" s="1641"/>
      <c r="O37" s="1641"/>
      <c r="P37" s="1642"/>
      <c r="Q37" s="1626">
        <f>AVERAGE(B37:O37)</f>
        <v>7.8866666666666667</v>
      </c>
      <c r="R37" s="1627">
        <f>MAX(B37:O37)</f>
        <v>8.2799999999999994</v>
      </c>
      <c r="S37" s="1627">
        <f t="shared" si="9"/>
        <v>7.996666666666667</v>
      </c>
    </row>
    <row r="38" spans="1:19">
      <c r="A38" s="149" t="s">
        <v>308</v>
      </c>
      <c r="B38" s="322">
        <f>AVERAGE(B26:B29)</f>
        <v>8.067499999999999</v>
      </c>
      <c r="C38" s="322">
        <f t="shared" ref="C38:O38" si="10">AVERAGE(C26:C29)</f>
        <v>8.2249999999999996</v>
      </c>
      <c r="D38" s="322">
        <f t="shared" si="10"/>
        <v>7.91</v>
      </c>
      <c r="E38" s="322">
        <f t="shared" si="10"/>
        <v>7.96</v>
      </c>
      <c r="F38" s="322">
        <f t="shared" si="10"/>
        <v>8.25</v>
      </c>
      <c r="G38" s="322">
        <f t="shared" si="10"/>
        <v>7.8525</v>
      </c>
      <c r="H38" s="322">
        <f t="shared" si="10"/>
        <v>7.8075000000000001</v>
      </c>
      <c r="I38" s="322">
        <f t="shared" si="10"/>
        <v>8.0750000000000011</v>
      </c>
      <c r="J38" s="322">
        <f t="shared" si="10"/>
        <v>8.3800000000000008</v>
      </c>
      <c r="K38" s="322">
        <f t="shared" si="10"/>
        <v>8.5325000000000006</v>
      </c>
      <c r="L38" s="322">
        <f t="shared" si="10"/>
        <v>8.0675000000000008</v>
      </c>
      <c r="M38" s="322">
        <f t="shared" si="10"/>
        <v>8.32</v>
      </c>
      <c r="N38" s="322">
        <f t="shared" si="10"/>
        <v>8.27</v>
      </c>
      <c r="O38" s="322">
        <f t="shared" si="10"/>
        <v>8.1750000000000007</v>
      </c>
      <c r="P38" s="322"/>
      <c r="Q38" s="1622">
        <f>AVERAGE(Q26:Q29)</f>
        <v>8.1351785714285683</v>
      </c>
      <c r="R38" s="1622">
        <f>AVERAGE(R26:R29)</f>
        <v>8.5325000000000006</v>
      </c>
      <c r="S38" s="1622">
        <f>AVERAGE(S26:S29)</f>
        <v>8.1970833333333317</v>
      </c>
    </row>
    <row r="39" spans="1:19">
      <c r="A39" s="149" t="s">
        <v>309</v>
      </c>
      <c r="B39" s="322">
        <f t="shared" ref="B39:O39" si="11">AVERAGE(B26:B37)</f>
        <v>8.1724999999999994</v>
      </c>
      <c r="C39" s="322">
        <f t="shared" si="11"/>
        <v>8.2200000000000006</v>
      </c>
      <c r="D39" s="322">
        <f t="shared" si="11"/>
        <v>7.8791666666666673</v>
      </c>
      <c r="E39" s="322">
        <f t="shared" si="11"/>
        <v>7.9299999999999988</v>
      </c>
      <c r="F39" s="322">
        <f t="shared" si="11"/>
        <v>8.1308333333333334</v>
      </c>
      <c r="G39" s="322">
        <f t="shared" si="11"/>
        <v>7.8041666666666671</v>
      </c>
      <c r="H39" s="322">
        <f t="shared" si="11"/>
        <v>7.8150000000000004</v>
      </c>
      <c r="I39" s="322">
        <f t="shared" si="11"/>
        <v>8.0216666666666665</v>
      </c>
      <c r="J39" s="322">
        <f t="shared" si="11"/>
        <v>8.3719999999999999</v>
      </c>
      <c r="K39" s="322">
        <f t="shared" si="11"/>
        <v>8.4908333333333328</v>
      </c>
      <c r="L39" s="322">
        <f t="shared" si="11"/>
        <v>8.0472727272727269</v>
      </c>
      <c r="M39" s="322">
        <f t="shared" si="11"/>
        <v>8.3109999999999999</v>
      </c>
      <c r="N39" s="322">
        <f t="shared" si="11"/>
        <v>8.2718181818181797</v>
      </c>
      <c r="O39" s="322">
        <f t="shared" si="11"/>
        <v>8.125</v>
      </c>
      <c r="P39" s="322"/>
      <c r="Q39" s="1622">
        <f>AVERAGE(Q26:Q37)</f>
        <v>8.0983477633477623</v>
      </c>
      <c r="R39" s="1622">
        <f>AVERAGE(R26:R37)</f>
        <v>8.4908333333333328</v>
      </c>
      <c r="S39" s="1622">
        <f>AVERAGE(S26:S37)</f>
        <v>8.1574305555555551</v>
      </c>
    </row>
    <row r="40" spans="1:19" ht="15.5">
      <c r="A40" s="2959" t="s">
        <v>297</v>
      </c>
      <c r="B40" s="2960"/>
      <c r="C40" s="2960"/>
      <c r="D40" s="2960"/>
      <c r="E40" s="2960"/>
      <c r="F40" s="2960"/>
      <c r="G40" s="2960"/>
      <c r="H40" s="2960"/>
      <c r="I40" s="2960"/>
      <c r="J40" s="2960"/>
      <c r="K40" s="2960"/>
      <c r="L40" s="2960"/>
      <c r="M40" s="2960"/>
      <c r="N40" s="2960"/>
      <c r="O40" s="2960"/>
      <c r="P40" s="2960"/>
      <c r="Q40" s="2960"/>
      <c r="R40" s="2960"/>
      <c r="S40" s="2961"/>
    </row>
    <row r="41" spans="1:19">
      <c r="A41" s="146" t="s">
        <v>239</v>
      </c>
      <c r="B41" s="322"/>
      <c r="C41" s="322">
        <v>8.32</v>
      </c>
      <c r="D41" s="322">
        <v>7.84</v>
      </c>
      <c r="E41" s="442">
        <v>7.91</v>
      </c>
      <c r="F41" s="442">
        <v>8.34</v>
      </c>
      <c r="G41" s="442">
        <v>7.81</v>
      </c>
      <c r="H41" s="442">
        <v>7.86</v>
      </c>
      <c r="I41" s="442">
        <v>8.02</v>
      </c>
      <c r="J41" s="442">
        <v>8.43</v>
      </c>
      <c r="K41" s="442">
        <v>8.4700000000000006</v>
      </c>
      <c r="L41" s="442">
        <v>7.98</v>
      </c>
      <c r="M41" s="442">
        <v>8.34</v>
      </c>
      <c r="N41" s="442">
        <v>8.34</v>
      </c>
      <c r="O41" s="442">
        <v>8.5</v>
      </c>
      <c r="P41" s="1511"/>
      <c r="Q41" s="1626">
        <f t="shared" ref="Q41:Q49" si="12">AVERAGE(B41:P41)</f>
        <v>8.166153846153847</v>
      </c>
      <c r="R41" s="1627">
        <f t="shared" ref="R41:R49" si="13">MAX(B41:P41)</f>
        <v>8.5</v>
      </c>
      <c r="S41" s="1627">
        <f t="shared" ref="S41:S49" si="14">AVERAGE(H41:M41)</f>
        <v>8.1833333333333353</v>
      </c>
    </row>
    <row r="42" spans="1:19">
      <c r="A42" s="146" t="s">
        <v>140</v>
      </c>
      <c r="B42" s="322"/>
      <c r="C42" s="322">
        <v>8.36</v>
      </c>
      <c r="D42" s="322">
        <v>7.88</v>
      </c>
      <c r="E42" s="442">
        <v>7.91</v>
      </c>
      <c r="F42" s="442">
        <v>8.36</v>
      </c>
      <c r="G42" s="442">
        <v>7.8</v>
      </c>
      <c r="H42" s="442">
        <v>7.83</v>
      </c>
      <c r="I42" s="442">
        <v>8.01</v>
      </c>
      <c r="J42" s="442">
        <v>8.4499999999999993</v>
      </c>
      <c r="K42" s="442">
        <v>8.49</v>
      </c>
      <c r="L42" s="442">
        <v>7.98</v>
      </c>
      <c r="M42" s="442">
        <v>8.34</v>
      </c>
      <c r="N42" s="442">
        <v>8.33</v>
      </c>
      <c r="O42" s="442">
        <v>8.1</v>
      </c>
      <c r="P42" s="1511"/>
      <c r="Q42" s="1626">
        <f t="shared" si="12"/>
        <v>8.1415384615384614</v>
      </c>
      <c r="R42" s="1627">
        <f t="shared" si="13"/>
        <v>8.49</v>
      </c>
      <c r="S42" s="1627">
        <f t="shared" si="14"/>
        <v>8.1833333333333353</v>
      </c>
    </row>
    <row r="43" spans="1:19">
      <c r="A43" s="146" t="s">
        <v>240</v>
      </c>
      <c r="B43" s="322"/>
      <c r="C43" s="322">
        <v>8.36</v>
      </c>
      <c r="D43" s="322">
        <v>7.88</v>
      </c>
      <c r="E43" s="442">
        <v>7.91</v>
      </c>
      <c r="F43" s="442">
        <v>8.36</v>
      </c>
      <c r="G43" s="442">
        <v>7.8</v>
      </c>
      <c r="H43" s="442">
        <v>7.84</v>
      </c>
      <c r="I43" s="442">
        <v>8</v>
      </c>
      <c r="J43" s="442">
        <v>8.4499999999999993</v>
      </c>
      <c r="K43" s="442">
        <v>8.48</v>
      </c>
      <c r="L43" s="442">
        <v>7.99</v>
      </c>
      <c r="M43" s="442">
        <v>8.33</v>
      </c>
      <c r="N43" s="442">
        <v>8.34</v>
      </c>
      <c r="O43" s="442">
        <v>8.1</v>
      </c>
      <c r="P43" s="1511"/>
      <c r="Q43" s="1626">
        <f t="shared" si="12"/>
        <v>8.1415384615384614</v>
      </c>
      <c r="R43" s="1627">
        <f t="shared" si="13"/>
        <v>8.48</v>
      </c>
      <c r="S43" s="1627">
        <f t="shared" si="14"/>
        <v>8.1816666666666666</v>
      </c>
    </row>
    <row r="44" spans="1:19">
      <c r="A44" s="146" t="s">
        <v>141</v>
      </c>
      <c r="B44" s="322"/>
      <c r="C44" s="322">
        <v>8.35</v>
      </c>
      <c r="D44" s="322">
        <v>7.87</v>
      </c>
      <c r="E44" s="442">
        <v>7.91</v>
      </c>
      <c r="F44" s="442">
        <v>8.36</v>
      </c>
      <c r="G44" s="442">
        <v>7.8</v>
      </c>
      <c r="H44" s="442">
        <v>7.85</v>
      </c>
      <c r="I44" s="442">
        <v>8</v>
      </c>
      <c r="J44" s="442">
        <v>8.42</v>
      </c>
      <c r="K44" s="442">
        <v>8.4600000000000009</v>
      </c>
      <c r="L44" s="442">
        <v>8</v>
      </c>
      <c r="M44" s="442">
        <v>8.33</v>
      </c>
      <c r="N44" s="442">
        <v>8.3000000000000007</v>
      </c>
      <c r="O44" s="442">
        <v>8.1</v>
      </c>
      <c r="P44" s="1511"/>
      <c r="Q44" s="1626">
        <f t="shared" si="12"/>
        <v>8.1346153846153832</v>
      </c>
      <c r="R44" s="1627">
        <f t="shared" si="13"/>
        <v>8.4600000000000009</v>
      </c>
      <c r="S44" s="1627">
        <f t="shared" si="14"/>
        <v>8.1766666666666676</v>
      </c>
    </row>
    <row r="45" spans="1:19">
      <c r="A45" s="146" t="s">
        <v>241</v>
      </c>
      <c r="B45" s="322"/>
      <c r="C45" s="322">
        <v>8.35</v>
      </c>
      <c r="D45" s="322">
        <v>7.86</v>
      </c>
      <c r="E45" s="442">
        <v>7.91</v>
      </c>
      <c r="F45" s="442">
        <v>8.31</v>
      </c>
      <c r="G45" s="442">
        <v>7.8</v>
      </c>
      <c r="H45" s="442">
        <v>7.84</v>
      </c>
      <c r="I45" s="442">
        <v>8</v>
      </c>
      <c r="J45" s="442">
        <v>8.44</v>
      </c>
      <c r="K45" s="442">
        <v>8.44</v>
      </c>
      <c r="L45" s="442">
        <v>7.99</v>
      </c>
      <c r="M45" s="442">
        <v>8.34</v>
      </c>
      <c r="N45" s="442">
        <v>8.25</v>
      </c>
      <c r="O45" s="442">
        <v>8.1</v>
      </c>
      <c r="P45" s="1511"/>
      <c r="Q45" s="1626">
        <f t="shared" si="12"/>
        <v>8.1253846153846148</v>
      </c>
      <c r="R45" s="1627">
        <f t="shared" si="13"/>
        <v>8.44</v>
      </c>
      <c r="S45" s="1627">
        <f t="shared" si="14"/>
        <v>8.1749999999999989</v>
      </c>
    </row>
    <row r="46" spans="1:19">
      <c r="A46" s="146" t="s">
        <v>142</v>
      </c>
      <c r="B46" s="322"/>
      <c r="C46" s="322">
        <v>8.33</v>
      </c>
      <c r="D46" s="322">
        <v>7.86</v>
      </c>
      <c r="E46" s="442">
        <v>7.89</v>
      </c>
      <c r="F46" s="442">
        <v>8.27</v>
      </c>
      <c r="G46" s="442">
        <v>7.79</v>
      </c>
      <c r="H46" s="442">
        <v>7.84</v>
      </c>
      <c r="I46" s="442">
        <v>7.98</v>
      </c>
      <c r="J46" s="442">
        <v>8.3699999999999992</v>
      </c>
      <c r="K46" s="442">
        <v>8.4499999999999993</v>
      </c>
      <c r="L46" s="442">
        <v>8</v>
      </c>
      <c r="M46" s="442">
        <v>8.34</v>
      </c>
      <c r="N46" s="442">
        <v>8.25</v>
      </c>
      <c r="O46" s="442">
        <v>8.15</v>
      </c>
      <c r="P46" s="1511"/>
      <c r="Q46" s="1626">
        <f t="shared" si="12"/>
        <v>8.1169230769230793</v>
      </c>
      <c r="R46" s="1627">
        <f t="shared" si="13"/>
        <v>8.4499999999999993</v>
      </c>
      <c r="S46" s="1627">
        <f t="shared" si="14"/>
        <v>8.163333333333334</v>
      </c>
    </row>
    <row r="47" spans="1:19">
      <c r="A47" s="146" t="s">
        <v>242</v>
      </c>
      <c r="B47" s="322"/>
      <c r="C47" s="322">
        <v>8.31</v>
      </c>
      <c r="D47" s="322">
        <v>7.85</v>
      </c>
      <c r="E47" s="442">
        <v>7.89</v>
      </c>
      <c r="F47" s="442">
        <v>8.1999999999999993</v>
      </c>
      <c r="G47" s="442">
        <v>7.78</v>
      </c>
      <c r="H47" s="442">
        <v>7.84</v>
      </c>
      <c r="I47" s="442">
        <v>7.98</v>
      </c>
      <c r="J47" s="442">
        <v>8.3800000000000008</v>
      </c>
      <c r="K47" s="442">
        <v>8.4700000000000006</v>
      </c>
      <c r="L47" s="442">
        <v>7.99</v>
      </c>
      <c r="M47" s="442">
        <v>8.34</v>
      </c>
      <c r="N47" s="442">
        <v>8.23</v>
      </c>
      <c r="O47" s="442">
        <v>8.15</v>
      </c>
      <c r="P47" s="1511"/>
      <c r="Q47" s="1626">
        <f t="shared" si="12"/>
        <v>8.1084615384615386</v>
      </c>
      <c r="R47" s="1627">
        <f t="shared" si="13"/>
        <v>8.4700000000000006</v>
      </c>
      <c r="S47" s="1627">
        <f t="shared" si="14"/>
        <v>8.1666666666666661</v>
      </c>
    </row>
    <row r="48" spans="1:19">
      <c r="A48" s="146" t="s">
        <v>143</v>
      </c>
      <c r="B48" s="322"/>
      <c r="C48" s="322">
        <v>8.2899999999999991</v>
      </c>
      <c r="D48" s="322">
        <v>7.85</v>
      </c>
      <c r="E48" s="442">
        <v>7.87</v>
      </c>
      <c r="F48" s="442">
        <v>8.15</v>
      </c>
      <c r="G48" s="442">
        <v>7.76</v>
      </c>
      <c r="H48" s="442">
        <v>7.82</v>
      </c>
      <c r="I48" s="442">
        <v>7.96</v>
      </c>
      <c r="J48" s="442">
        <v>8.31</v>
      </c>
      <c r="K48" s="442">
        <v>8.4700000000000006</v>
      </c>
      <c r="L48" s="442">
        <v>7.99</v>
      </c>
      <c r="M48" s="442">
        <v>8.32</v>
      </c>
      <c r="N48" s="442">
        <v>8.19</v>
      </c>
      <c r="O48" s="442">
        <v>8.1</v>
      </c>
      <c r="P48" s="1511"/>
      <c r="Q48" s="1626">
        <f t="shared" si="12"/>
        <v>8.0830769230769217</v>
      </c>
      <c r="R48" s="1627">
        <f t="shared" si="13"/>
        <v>8.4700000000000006</v>
      </c>
      <c r="S48" s="1627">
        <f t="shared" si="14"/>
        <v>8.1450000000000014</v>
      </c>
    </row>
    <row r="49" spans="1:19" s="358" customFormat="1">
      <c r="A49" s="212" t="s">
        <v>144</v>
      </c>
      <c r="B49" s="322"/>
      <c r="C49" s="322">
        <v>8.11</v>
      </c>
      <c r="D49" s="322">
        <v>7.83</v>
      </c>
      <c r="E49" s="442">
        <v>7.88</v>
      </c>
      <c r="F49" s="442">
        <v>8.1</v>
      </c>
      <c r="G49" s="442">
        <v>7.71</v>
      </c>
      <c r="H49" s="442">
        <v>7.81</v>
      </c>
      <c r="I49" s="442">
        <v>7.98</v>
      </c>
      <c r="J49" s="442">
        <v>8.23</v>
      </c>
      <c r="K49" s="442">
        <v>8.4600000000000009</v>
      </c>
      <c r="L49" s="442">
        <v>7.97</v>
      </c>
      <c r="M49" s="442"/>
      <c r="N49" s="442"/>
      <c r="O49" s="442">
        <v>8.1</v>
      </c>
      <c r="P49" s="1511"/>
      <c r="Q49" s="1626">
        <f t="shared" si="12"/>
        <v>8.0163636363636375</v>
      </c>
      <c r="R49" s="1627">
        <f t="shared" si="13"/>
        <v>8.4600000000000009</v>
      </c>
      <c r="S49" s="1627">
        <f t="shared" si="14"/>
        <v>8.09</v>
      </c>
    </row>
    <row r="50" spans="1:19">
      <c r="A50" s="149" t="s">
        <v>308</v>
      </c>
      <c r="B50" s="322"/>
      <c r="C50" s="322">
        <f t="shared" ref="C50:O50" si="15">AVERAGE(C41:C44)</f>
        <v>8.3475000000000001</v>
      </c>
      <c r="D50" s="322">
        <f t="shared" si="15"/>
        <v>7.8674999999999997</v>
      </c>
      <c r="E50" s="322">
        <f t="shared" si="15"/>
        <v>7.91</v>
      </c>
      <c r="F50" s="322">
        <f t="shared" si="15"/>
        <v>8.3550000000000004</v>
      </c>
      <c r="G50" s="322">
        <f t="shared" si="15"/>
        <v>7.8025000000000002</v>
      </c>
      <c r="H50" s="322">
        <f t="shared" si="15"/>
        <v>7.8450000000000006</v>
      </c>
      <c r="I50" s="322">
        <f t="shared" si="15"/>
        <v>8.0075000000000003</v>
      </c>
      <c r="J50" s="322">
        <f t="shared" si="15"/>
        <v>8.4375</v>
      </c>
      <c r="K50" s="322">
        <f t="shared" si="15"/>
        <v>8.4750000000000014</v>
      </c>
      <c r="L50" s="322">
        <f t="shared" si="15"/>
        <v>7.9875000000000007</v>
      </c>
      <c r="M50" s="322">
        <f t="shared" si="15"/>
        <v>8.3349999999999991</v>
      </c>
      <c r="N50" s="322">
        <f t="shared" si="15"/>
        <v>8.3275000000000006</v>
      </c>
      <c r="O50" s="322">
        <f t="shared" si="15"/>
        <v>8.2000000000000011</v>
      </c>
      <c r="P50" s="322"/>
      <c r="Q50" s="1622">
        <f>AVERAGE(Q41:Q44)</f>
        <v>8.1459615384615383</v>
      </c>
      <c r="R50" s="1622">
        <f>AVERAGE(R41:R44)</f>
        <v>8.4825000000000017</v>
      </c>
      <c r="S50" s="1622">
        <f>AVERAGE(S41:S44)</f>
        <v>8.1812500000000021</v>
      </c>
    </row>
    <row r="51" spans="1:19">
      <c r="A51" s="212" t="s">
        <v>306</v>
      </c>
      <c r="B51" s="322"/>
      <c r="C51" s="322">
        <f t="shared" ref="C51:O51" si="16">AVERAGE(C41:C49)</f>
        <v>8.3088888888888892</v>
      </c>
      <c r="D51" s="322">
        <f t="shared" si="16"/>
        <v>7.8577777777777778</v>
      </c>
      <c r="E51" s="322">
        <f t="shared" si="16"/>
        <v>7.8977777777777778</v>
      </c>
      <c r="F51" s="322">
        <f t="shared" si="16"/>
        <v>8.2722222222222221</v>
      </c>
      <c r="G51" s="322">
        <f t="shared" si="16"/>
        <v>7.7833333333333332</v>
      </c>
      <c r="H51" s="322">
        <f t="shared" si="16"/>
        <v>7.8366666666666669</v>
      </c>
      <c r="I51" s="322">
        <f t="shared" si="16"/>
        <v>7.9922222222222228</v>
      </c>
      <c r="J51" s="322">
        <f t="shared" si="16"/>
        <v>8.3866666666666667</v>
      </c>
      <c r="K51" s="322">
        <f t="shared" si="16"/>
        <v>8.4655555555555555</v>
      </c>
      <c r="L51" s="322">
        <f t="shared" si="16"/>
        <v>7.9877777777777794</v>
      </c>
      <c r="M51" s="322">
        <f t="shared" si="16"/>
        <v>8.3350000000000009</v>
      </c>
      <c r="N51" s="322">
        <f t="shared" si="16"/>
        <v>8.2787500000000005</v>
      </c>
      <c r="O51" s="322">
        <f t="shared" si="16"/>
        <v>8.155555555555555</v>
      </c>
      <c r="P51" s="322"/>
      <c r="Q51" s="1622">
        <f>AVERAGE(Q41:Q49)</f>
        <v>8.1148951048951048</v>
      </c>
      <c r="R51" s="1622">
        <f>AVERAGE(R41:R49)</f>
        <v>8.4688888888888894</v>
      </c>
      <c r="S51" s="1622">
        <f>AVERAGE(S41:S49)</f>
        <v>8.1627777777777784</v>
      </c>
    </row>
    <row r="52" spans="1:19" ht="15.5">
      <c r="A52" s="2955"/>
      <c r="B52" s="2955"/>
      <c r="C52" s="2955"/>
      <c r="D52" s="2955"/>
      <c r="E52" s="2955"/>
      <c r="F52" s="2955"/>
      <c r="G52" s="2955"/>
      <c r="H52" s="2955"/>
      <c r="I52" s="2955"/>
      <c r="J52" s="2955"/>
      <c r="K52" s="2955"/>
      <c r="L52" s="2955"/>
      <c r="M52" s="2955"/>
      <c r="N52" s="2955"/>
      <c r="O52" s="2955"/>
      <c r="P52" s="2955"/>
      <c r="Q52" s="2955"/>
      <c r="R52" s="2955"/>
      <c r="S52" s="2955"/>
    </row>
    <row r="53" spans="1:19">
      <c r="A53" s="554"/>
      <c r="B53" s="579"/>
      <c r="C53" s="579"/>
      <c r="D53" s="579"/>
      <c r="E53" s="580"/>
      <c r="F53" s="580"/>
      <c r="G53" s="580"/>
      <c r="H53" s="580"/>
      <c r="I53" s="580"/>
      <c r="J53" s="580"/>
      <c r="K53" s="580"/>
      <c r="L53" s="580"/>
      <c r="M53" s="580"/>
      <c r="N53" s="580"/>
      <c r="O53" s="580"/>
      <c r="P53" s="580"/>
      <c r="Q53" s="581"/>
      <c r="R53" s="581"/>
      <c r="S53" s="581"/>
    </row>
    <row r="54" spans="1:19">
      <c r="A54" s="554"/>
      <c r="B54" s="579"/>
      <c r="C54" s="579"/>
      <c r="D54" s="579"/>
      <c r="E54" s="580"/>
      <c r="F54" s="580"/>
      <c r="G54" s="580"/>
      <c r="H54" s="580"/>
      <c r="I54" s="580"/>
      <c r="J54" s="580"/>
      <c r="K54" s="580"/>
      <c r="L54" s="580"/>
      <c r="M54" s="580"/>
      <c r="N54" s="580"/>
      <c r="O54" s="580"/>
      <c r="P54" s="580"/>
      <c r="Q54" s="581"/>
      <c r="R54" s="581"/>
      <c r="S54" s="581"/>
    </row>
    <row r="55" spans="1:19">
      <c r="A55" s="554"/>
      <c r="B55" s="579"/>
      <c r="C55" s="579"/>
      <c r="D55" s="579"/>
      <c r="E55" s="580"/>
      <c r="F55" s="580"/>
      <c r="G55" s="580"/>
      <c r="H55" s="580"/>
      <c r="I55" s="580"/>
      <c r="J55" s="580"/>
      <c r="K55" s="580"/>
      <c r="L55" s="580"/>
      <c r="M55" s="580"/>
      <c r="N55" s="580"/>
      <c r="O55" s="580"/>
      <c r="P55" s="580"/>
      <c r="Q55" s="581"/>
      <c r="R55" s="581"/>
      <c r="S55" s="581"/>
    </row>
    <row r="56" spans="1:19">
      <c r="A56" s="554"/>
      <c r="B56" s="579"/>
      <c r="C56" s="579"/>
      <c r="D56" s="579"/>
      <c r="E56" s="580"/>
      <c r="F56" s="580"/>
      <c r="G56" s="580"/>
      <c r="H56" s="580"/>
      <c r="I56" s="580"/>
      <c r="J56" s="580"/>
      <c r="K56" s="580"/>
      <c r="L56" s="580"/>
      <c r="M56" s="580"/>
      <c r="N56" s="580"/>
      <c r="O56" s="580"/>
      <c r="P56" s="580"/>
      <c r="Q56" s="581"/>
      <c r="R56" s="581"/>
      <c r="S56" s="581"/>
    </row>
    <row r="57" spans="1:19">
      <c r="A57" s="554"/>
      <c r="B57" s="579"/>
      <c r="C57" s="579"/>
      <c r="D57" s="579"/>
      <c r="E57" s="580"/>
      <c r="F57" s="580"/>
      <c r="G57" s="580"/>
      <c r="H57" s="580"/>
      <c r="I57" s="580"/>
      <c r="J57" s="580"/>
      <c r="K57" s="580"/>
      <c r="L57" s="580"/>
      <c r="M57" s="580"/>
      <c r="N57" s="580"/>
      <c r="O57" s="580"/>
      <c r="P57" s="580"/>
      <c r="Q57" s="581"/>
      <c r="R57" s="581"/>
      <c r="S57" s="581"/>
    </row>
    <row r="58" spans="1:19">
      <c r="A58" s="554"/>
      <c r="B58" s="579"/>
      <c r="C58" s="579"/>
      <c r="D58" s="579"/>
      <c r="E58" s="580"/>
      <c r="F58" s="580"/>
      <c r="G58" s="580"/>
      <c r="H58" s="580"/>
      <c r="I58" s="580"/>
      <c r="J58" s="580"/>
      <c r="K58" s="580"/>
      <c r="L58" s="580"/>
      <c r="M58" s="580"/>
      <c r="N58" s="580"/>
      <c r="O58" s="580"/>
      <c r="P58" s="580"/>
      <c r="Q58" s="581"/>
      <c r="R58" s="581"/>
      <c r="S58" s="581"/>
    </row>
    <row r="59" spans="1:19">
      <c r="A59" s="554"/>
      <c r="B59" s="579"/>
      <c r="C59" s="579"/>
      <c r="D59" s="579"/>
      <c r="E59" s="580"/>
      <c r="F59" s="580"/>
      <c r="G59" s="580"/>
      <c r="H59" s="580"/>
      <c r="I59" s="580"/>
      <c r="J59" s="580"/>
      <c r="K59" s="580"/>
      <c r="L59" s="580"/>
      <c r="M59" s="580"/>
      <c r="N59" s="580"/>
      <c r="O59" s="580"/>
      <c r="P59" s="580"/>
      <c r="Q59" s="581"/>
      <c r="R59" s="581"/>
      <c r="S59" s="581"/>
    </row>
    <row r="60" spans="1:19" s="358" customFormat="1">
      <c r="A60" s="554"/>
      <c r="B60" s="579"/>
      <c r="C60" s="579"/>
      <c r="D60" s="579"/>
      <c r="E60" s="580"/>
      <c r="F60" s="580"/>
      <c r="G60" s="580"/>
      <c r="H60" s="580"/>
      <c r="I60" s="580"/>
      <c r="J60" s="580"/>
      <c r="K60" s="580"/>
      <c r="L60" s="580"/>
      <c r="M60" s="580"/>
      <c r="N60" s="580"/>
      <c r="O60" s="580"/>
      <c r="P60" s="580"/>
      <c r="Q60" s="581"/>
      <c r="R60" s="581"/>
      <c r="S60" s="581"/>
    </row>
    <row r="61" spans="1:19">
      <c r="A61" s="554"/>
      <c r="B61" s="579"/>
      <c r="C61" s="579"/>
      <c r="D61" s="579"/>
      <c r="E61" s="580"/>
      <c r="F61" s="580"/>
      <c r="G61" s="580"/>
      <c r="H61" s="580"/>
      <c r="I61" s="580"/>
      <c r="J61" s="580"/>
      <c r="K61" s="580"/>
      <c r="L61" s="580"/>
      <c r="M61" s="580"/>
      <c r="N61" s="580"/>
      <c r="O61" s="580"/>
      <c r="P61" s="580"/>
      <c r="Q61" s="581"/>
      <c r="R61" s="581"/>
      <c r="S61" s="581"/>
    </row>
    <row r="62" spans="1:19" s="358" customFormat="1">
      <c r="A62" s="554"/>
      <c r="B62" s="579"/>
      <c r="C62" s="579"/>
      <c r="D62" s="579"/>
      <c r="E62" s="580"/>
      <c r="F62" s="580"/>
      <c r="G62" s="580"/>
      <c r="H62" s="580"/>
      <c r="I62" s="580"/>
      <c r="J62" s="580"/>
      <c r="K62" s="580"/>
      <c r="L62" s="580"/>
      <c r="M62" s="580"/>
      <c r="N62" s="580"/>
      <c r="O62" s="580"/>
      <c r="P62" s="580"/>
      <c r="Q62" s="581"/>
      <c r="R62" s="581"/>
      <c r="S62" s="581"/>
    </row>
    <row r="63" spans="1:19">
      <c r="A63" s="554"/>
      <c r="B63" s="579"/>
      <c r="C63" s="579"/>
      <c r="D63" s="579"/>
      <c r="E63" s="579"/>
      <c r="F63" s="579"/>
      <c r="G63" s="579"/>
      <c r="H63" s="579"/>
      <c r="I63" s="579"/>
      <c r="J63" s="579"/>
      <c r="K63" s="579"/>
      <c r="L63" s="579"/>
      <c r="M63" s="579"/>
      <c r="N63" s="579"/>
      <c r="O63" s="579"/>
      <c r="P63" s="579"/>
      <c r="Q63" s="579"/>
      <c r="R63" s="579"/>
      <c r="S63" s="579"/>
    </row>
    <row r="64" spans="1:19">
      <c r="A64" s="554"/>
      <c r="B64" s="580"/>
      <c r="C64" s="580"/>
      <c r="D64" s="580"/>
      <c r="E64" s="580"/>
      <c r="F64" s="580"/>
      <c r="G64" s="580"/>
      <c r="H64" s="580"/>
      <c r="I64" s="580"/>
      <c r="J64" s="580"/>
      <c r="K64" s="580"/>
      <c r="L64" s="580"/>
      <c r="M64" s="580"/>
      <c r="N64" s="580"/>
      <c r="O64" s="580"/>
      <c r="P64" s="580"/>
      <c r="Q64" s="580"/>
      <c r="R64" s="580"/>
      <c r="S64" s="580"/>
    </row>
    <row r="65" spans="1:19" ht="15.5">
      <c r="A65" s="2955"/>
      <c r="B65" s="2955"/>
      <c r="C65" s="2955"/>
      <c r="D65" s="2955"/>
      <c r="E65" s="2955"/>
      <c r="F65" s="2955"/>
      <c r="G65" s="2955"/>
      <c r="H65" s="2955"/>
      <c r="I65" s="2955"/>
      <c r="J65" s="2955"/>
      <c r="K65" s="2955"/>
      <c r="L65" s="2955"/>
      <c r="M65" s="2955"/>
      <c r="N65" s="2955"/>
      <c r="O65" s="2955"/>
      <c r="P65" s="2955"/>
      <c r="Q65" s="2955"/>
      <c r="R65" s="2955"/>
      <c r="S65" s="2955"/>
    </row>
    <row r="66" spans="1:19">
      <c r="A66" s="554"/>
      <c r="B66" s="579"/>
      <c r="C66" s="579"/>
      <c r="D66" s="579"/>
      <c r="E66" s="580"/>
      <c r="F66" s="580"/>
      <c r="G66" s="580"/>
      <c r="H66" s="580"/>
      <c r="I66" s="580"/>
      <c r="J66" s="580"/>
      <c r="K66" s="580"/>
      <c r="L66" s="580"/>
      <c r="M66" s="580"/>
      <c r="N66" s="580"/>
      <c r="O66" s="580"/>
      <c r="P66" s="580"/>
      <c r="Q66" s="581"/>
      <c r="R66" s="581"/>
      <c r="S66" s="581"/>
    </row>
    <row r="67" spans="1:19">
      <c r="A67" s="554"/>
      <c r="B67" s="579"/>
      <c r="C67" s="579"/>
      <c r="D67" s="579"/>
      <c r="E67" s="580"/>
      <c r="F67" s="580"/>
      <c r="G67" s="580"/>
      <c r="H67" s="580"/>
      <c r="I67" s="580"/>
      <c r="J67" s="580"/>
      <c r="K67" s="580"/>
      <c r="L67" s="580"/>
      <c r="M67" s="580"/>
      <c r="N67" s="580"/>
      <c r="O67" s="580"/>
      <c r="P67" s="580"/>
      <c r="Q67" s="581"/>
      <c r="R67" s="581"/>
      <c r="S67" s="581"/>
    </row>
    <row r="68" spans="1:19">
      <c r="A68" s="554"/>
      <c r="B68" s="579"/>
      <c r="C68" s="579"/>
      <c r="D68" s="579"/>
      <c r="E68" s="580"/>
      <c r="F68" s="580"/>
      <c r="G68" s="580"/>
      <c r="H68" s="580"/>
      <c r="I68" s="580"/>
      <c r="J68" s="580"/>
      <c r="K68" s="580"/>
      <c r="L68" s="580"/>
      <c r="M68" s="580"/>
      <c r="N68" s="580"/>
      <c r="O68" s="580"/>
      <c r="P68" s="580"/>
      <c r="Q68" s="581"/>
      <c r="R68" s="581"/>
      <c r="S68" s="581"/>
    </row>
    <row r="69" spans="1:19">
      <c r="A69" s="554"/>
      <c r="B69" s="579"/>
      <c r="C69" s="579"/>
      <c r="D69" s="579"/>
      <c r="E69" s="580"/>
      <c r="F69" s="580"/>
      <c r="G69" s="580"/>
      <c r="H69" s="580"/>
      <c r="I69" s="580"/>
      <c r="J69" s="580"/>
      <c r="K69" s="580"/>
      <c r="L69" s="580"/>
      <c r="M69" s="580"/>
      <c r="N69" s="580"/>
      <c r="O69" s="580"/>
      <c r="P69" s="580"/>
      <c r="Q69" s="581"/>
      <c r="R69" s="581"/>
      <c r="S69" s="581"/>
    </row>
    <row r="70" spans="1:19">
      <c r="A70" s="554"/>
      <c r="B70" s="579"/>
      <c r="C70" s="579"/>
      <c r="D70" s="579"/>
      <c r="E70" s="580"/>
      <c r="F70" s="580"/>
      <c r="G70" s="580"/>
      <c r="H70" s="580"/>
      <c r="I70" s="580"/>
      <c r="J70" s="580"/>
      <c r="K70" s="580"/>
      <c r="L70" s="580"/>
      <c r="M70" s="580"/>
      <c r="N70" s="580"/>
      <c r="O70" s="580"/>
      <c r="P70" s="580"/>
      <c r="Q70" s="581"/>
      <c r="R70" s="581"/>
      <c r="S70" s="581"/>
    </row>
    <row r="71" spans="1:19">
      <c r="A71" s="554"/>
      <c r="B71" s="579"/>
      <c r="C71" s="579"/>
      <c r="D71" s="579"/>
      <c r="E71" s="580"/>
      <c r="F71" s="580"/>
      <c r="G71" s="580"/>
      <c r="H71" s="580"/>
      <c r="I71" s="580"/>
      <c r="J71" s="580"/>
      <c r="K71" s="580"/>
      <c r="L71" s="580"/>
      <c r="M71" s="580"/>
      <c r="N71" s="580"/>
      <c r="O71" s="580"/>
      <c r="P71" s="580"/>
      <c r="Q71" s="581"/>
      <c r="R71" s="581"/>
      <c r="S71" s="581"/>
    </row>
    <row r="72" spans="1:19">
      <c r="A72" s="554"/>
      <c r="B72" s="579"/>
      <c r="C72" s="579"/>
      <c r="D72" s="579"/>
      <c r="E72" s="580"/>
      <c r="F72" s="580"/>
      <c r="G72" s="580"/>
      <c r="H72" s="580"/>
      <c r="I72" s="580"/>
      <c r="J72" s="580"/>
      <c r="K72" s="580"/>
      <c r="L72" s="580"/>
      <c r="M72" s="580"/>
      <c r="N72" s="580"/>
      <c r="O72" s="580"/>
      <c r="P72" s="580"/>
      <c r="Q72" s="581"/>
      <c r="R72" s="581"/>
      <c r="S72" s="581"/>
    </row>
    <row r="73" spans="1:19">
      <c r="A73" s="554"/>
      <c r="B73" s="579"/>
      <c r="C73" s="579"/>
      <c r="D73" s="579"/>
      <c r="E73" s="580"/>
      <c r="F73" s="580"/>
      <c r="G73" s="580"/>
      <c r="H73" s="580"/>
      <c r="I73" s="580"/>
      <c r="J73" s="580"/>
      <c r="K73" s="580"/>
      <c r="L73" s="580"/>
      <c r="M73" s="580"/>
      <c r="N73" s="580"/>
      <c r="O73" s="580"/>
      <c r="P73" s="580"/>
      <c r="Q73" s="581"/>
      <c r="R73" s="581"/>
      <c r="S73" s="581"/>
    </row>
    <row r="74" spans="1:19">
      <c r="A74" s="554"/>
      <c r="B74" s="579"/>
      <c r="C74" s="579"/>
      <c r="D74" s="579"/>
      <c r="E74" s="580"/>
      <c r="F74" s="580"/>
      <c r="G74" s="580"/>
      <c r="H74" s="580"/>
      <c r="I74" s="580"/>
      <c r="J74" s="580"/>
      <c r="K74" s="580"/>
      <c r="L74" s="580"/>
      <c r="M74" s="580"/>
      <c r="N74" s="580"/>
      <c r="O74" s="580"/>
      <c r="P74" s="580"/>
      <c r="Q74" s="581"/>
      <c r="R74" s="581"/>
      <c r="S74" s="581"/>
    </row>
    <row r="75" spans="1:19" s="358" customFormat="1">
      <c r="A75" s="554"/>
      <c r="B75" s="579"/>
      <c r="C75" s="579"/>
      <c r="D75" s="579"/>
      <c r="E75" s="580"/>
      <c r="F75" s="580"/>
      <c r="G75" s="580"/>
      <c r="H75" s="580"/>
      <c r="I75" s="580"/>
      <c r="J75" s="580"/>
      <c r="K75" s="580"/>
      <c r="L75" s="580"/>
      <c r="M75" s="580"/>
      <c r="N75" s="580"/>
      <c r="O75" s="580"/>
      <c r="P75" s="580"/>
      <c r="Q75" s="581"/>
      <c r="R75" s="581"/>
      <c r="S75" s="581"/>
    </row>
    <row r="76" spans="1:19">
      <c r="A76" s="554"/>
      <c r="B76" s="579"/>
      <c r="C76" s="579"/>
      <c r="D76" s="579"/>
      <c r="E76" s="580"/>
      <c r="F76" s="580"/>
      <c r="G76" s="580"/>
      <c r="H76" s="580"/>
      <c r="I76" s="580"/>
      <c r="J76" s="580"/>
      <c r="K76" s="580"/>
      <c r="L76" s="580"/>
      <c r="M76" s="580"/>
      <c r="N76" s="580"/>
      <c r="O76" s="580"/>
      <c r="P76" s="580"/>
      <c r="Q76" s="581"/>
      <c r="R76" s="581"/>
      <c r="S76" s="581"/>
    </row>
    <row r="77" spans="1:19" s="358" customFormat="1">
      <c r="A77" s="554"/>
      <c r="B77" s="579"/>
      <c r="C77" s="579"/>
      <c r="D77" s="579"/>
      <c r="E77" s="580"/>
      <c r="F77" s="580"/>
      <c r="G77" s="580"/>
      <c r="H77" s="580"/>
      <c r="I77" s="580"/>
      <c r="J77" s="580"/>
      <c r="K77" s="580"/>
      <c r="L77" s="580"/>
      <c r="M77" s="580"/>
      <c r="N77" s="580"/>
      <c r="O77" s="580"/>
      <c r="P77" s="580"/>
      <c r="Q77" s="581"/>
      <c r="R77" s="581"/>
      <c r="S77" s="581"/>
    </row>
    <row r="78" spans="1:19">
      <c r="A78" s="554"/>
      <c r="B78" s="579"/>
      <c r="C78" s="579"/>
      <c r="D78" s="579"/>
      <c r="E78" s="579"/>
      <c r="F78" s="579"/>
      <c r="G78" s="579"/>
      <c r="H78" s="579"/>
      <c r="I78" s="579"/>
      <c r="J78" s="579"/>
      <c r="K78" s="579"/>
      <c r="L78" s="579"/>
      <c r="M78" s="579"/>
      <c r="N78" s="579"/>
      <c r="O78" s="579"/>
      <c r="P78" s="579"/>
      <c r="Q78" s="579"/>
      <c r="R78" s="579"/>
      <c r="S78" s="579"/>
    </row>
    <row r="79" spans="1:19">
      <c r="A79" s="554"/>
      <c r="B79" s="580"/>
      <c r="C79" s="580"/>
      <c r="D79" s="580"/>
      <c r="E79" s="580"/>
      <c r="F79" s="580"/>
      <c r="G79" s="580"/>
      <c r="H79" s="580"/>
      <c r="I79" s="580"/>
      <c r="J79" s="580"/>
      <c r="K79" s="580"/>
      <c r="L79" s="580"/>
      <c r="M79" s="580"/>
      <c r="N79" s="580"/>
      <c r="O79" s="580"/>
      <c r="P79" s="580"/>
      <c r="Q79" s="580"/>
      <c r="R79" s="580"/>
      <c r="S79" s="580"/>
    </row>
  </sheetData>
  <mergeCells count="6">
    <mergeCell ref="A65:S65"/>
    <mergeCell ref="A25:S25"/>
    <mergeCell ref="A40:S40"/>
    <mergeCell ref="A52:S52"/>
    <mergeCell ref="A1:O1"/>
    <mergeCell ref="A7:S7"/>
  </mergeCells>
  <phoneticPr fontId="0" type="noConversion"/>
  <pageMargins left="0.75" right="0.75" top="1" bottom="1" header="0.5" footer="0.5"/>
  <pageSetup scale="6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tabColor rgb="FF92D050"/>
    <pageSetUpPr fitToPage="1"/>
  </sheetPr>
  <dimension ref="A1:Y78"/>
  <sheetViews>
    <sheetView zoomScale="75" zoomScaleNormal="75" workbookViewId="0">
      <selection activeCell="T20" sqref="T20"/>
    </sheetView>
  </sheetViews>
  <sheetFormatPr defaultRowHeight="14"/>
  <cols>
    <col min="1" max="1" width="27.36328125" style="1" bestFit="1" customWidth="1"/>
    <col min="2" max="2" width="5.36328125" bestFit="1" customWidth="1"/>
    <col min="3" max="3" width="6.36328125" bestFit="1" customWidth="1"/>
    <col min="4" max="4" width="6.7265625" bestFit="1" customWidth="1"/>
    <col min="5" max="5" width="5.453125" bestFit="1" customWidth="1"/>
    <col min="6" max="6" width="6.90625" bestFit="1" customWidth="1"/>
    <col min="7" max="7" width="6.26953125" bestFit="1" customWidth="1"/>
    <col min="8" max="8" width="4.81640625" bestFit="1" customWidth="1"/>
    <col min="9" max="9" width="5.81640625" bestFit="1" customWidth="1"/>
    <col min="10" max="10" width="5.6328125" bestFit="1" customWidth="1"/>
    <col min="11" max="11" width="6.6328125" bestFit="1" customWidth="1"/>
    <col min="12" max="14" width="6.26953125" bestFit="1" customWidth="1"/>
    <col min="15" max="15" width="5.6328125" bestFit="1" customWidth="1"/>
    <col min="16" max="16" width="6.54296875" style="358" bestFit="1" customWidth="1"/>
    <col min="17" max="17" width="9" customWidth="1"/>
    <col min="18" max="18" width="6.36328125" bestFit="1" customWidth="1"/>
    <col min="19" max="19" width="9.453125" customWidth="1"/>
    <col min="20" max="20" width="11.08984375" customWidth="1"/>
    <col min="21" max="21" width="11.36328125" customWidth="1"/>
    <col min="22" max="22" width="12.54296875" customWidth="1"/>
    <col min="23" max="23" width="11.90625" customWidth="1"/>
    <col min="24" max="24" width="11.453125" customWidth="1"/>
    <col min="25" max="25" width="10.90625" customWidth="1"/>
  </cols>
  <sheetData>
    <row r="1" spans="1:25" ht="15.5">
      <c r="A1" s="2928" t="s">
        <v>298</v>
      </c>
      <c r="B1" s="2928"/>
      <c r="C1" s="2928"/>
      <c r="D1" s="2928"/>
      <c r="E1" s="2928"/>
      <c r="F1" s="2928"/>
      <c r="G1" s="2928"/>
      <c r="H1" s="2928"/>
      <c r="I1" s="2928"/>
      <c r="J1" s="2928"/>
      <c r="K1" s="2928"/>
      <c r="L1" s="2928"/>
      <c r="M1" s="2928"/>
      <c r="N1" s="2928"/>
      <c r="O1" s="2928"/>
      <c r="P1" s="1358"/>
    </row>
    <row r="2" spans="1:25" ht="26">
      <c r="A2" s="83"/>
      <c r="B2" s="188">
        <v>43108</v>
      </c>
      <c r="C2" s="188">
        <v>43143</v>
      </c>
      <c r="D2" s="188">
        <v>43178</v>
      </c>
      <c r="E2" s="188">
        <v>43199</v>
      </c>
      <c r="F2" s="188">
        <v>43234</v>
      </c>
      <c r="G2" s="188">
        <v>43262</v>
      </c>
      <c r="H2" s="188">
        <v>43290</v>
      </c>
      <c r="I2" s="188">
        <v>43297</v>
      </c>
      <c r="J2" s="188">
        <v>43319</v>
      </c>
      <c r="K2" s="188">
        <v>43325</v>
      </c>
      <c r="L2" s="188">
        <v>43353</v>
      </c>
      <c r="M2" s="188">
        <v>43369</v>
      </c>
      <c r="N2" s="188">
        <v>43388</v>
      </c>
      <c r="O2" s="188">
        <v>43409</v>
      </c>
      <c r="P2" s="188">
        <v>43444</v>
      </c>
      <c r="Q2" s="1630" t="s">
        <v>85</v>
      </c>
      <c r="R2" s="1631" t="s">
        <v>77</v>
      </c>
      <c r="S2" s="1631" t="s">
        <v>103</v>
      </c>
    </row>
    <row r="3" spans="1:25">
      <c r="A3" s="1646" t="s">
        <v>301</v>
      </c>
      <c r="B3" s="322">
        <v>12.62</v>
      </c>
      <c r="C3" s="322">
        <v>12.1</v>
      </c>
      <c r="D3" s="322">
        <v>11.16</v>
      </c>
      <c r="E3" s="322">
        <v>12.23</v>
      </c>
      <c r="F3" s="322">
        <v>11.2</v>
      </c>
      <c r="G3" s="322">
        <v>8.7799999999999994</v>
      </c>
      <c r="H3" s="322">
        <v>7.02</v>
      </c>
      <c r="I3" s="322">
        <v>7.47</v>
      </c>
      <c r="J3" s="267">
        <v>8.58</v>
      </c>
      <c r="K3" s="322">
        <v>7.3</v>
      </c>
      <c r="L3" s="322">
        <v>8.48</v>
      </c>
      <c r="M3" s="322">
        <v>8.15</v>
      </c>
      <c r="N3" s="322">
        <v>13.1</v>
      </c>
      <c r="O3" s="322">
        <v>10.11</v>
      </c>
      <c r="P3" s="1510">
        <v>13.2</v>
      </c>
      <c r="Q3" s="1626">
        <f>AVERAGE(B3:P3)</f>
        <v>10.1</v>
      </c>
      <c r="R3" s="1627">
        <f>MAX(B3:P3)</f>
        <v>13.2</v>
      </c>
      <c r="S3" s="1627">
        <f>AVERAGE(H3:M3)</f>
        <v>7.833333333333333</v>
      </c>
    </row>
    <row r="4" spans="1:25">
      <c r="A4" s="1647" t="s">
        <v>302</v>
      </c>
      <c r="B4" s="322">
        <v>11.05</v>
      </c>
      <c r="C4" s="322">
        <v>8.44</v>
      </c>
      <c r="D4" s="322">
        <v>10.51</v>
      </c>
      <c r="E4" s="322">
        <v>10.58</v>
      </c>
      <c r="F4" s="322">
        <v>8.39</v>
      </c>
      <c r="G4" s="322">
        <v>7.48</v>
      </c>
      <c r="H4" s="322">
        <v>7.49</v>
      </c>
      <c r="I4" s="322">
        <v>8.02</v>
      </c>
      <c r="J4" s="267">
        <v>8.0500000000000007</v>
      </c>
      <c r="K4" s="322">
        <v>7.98</v>
      </c>
      <c r="L4" s="322">
        <v>8.56</v>
      </c>
      <c r="M4" s="322">
        <v>10.050000000000001</v>
      </c>
      <c r="N4" s="322">
        <v>12.31</v>
      </c>
      <c r="O4" s="322">
        <v>10.24</v>
      </c>
      <c r="P4" s="1510">
        <v>13.41</v>
      </c>
      <c r="Q4" s="1626">
        <f>AVERAGE(B4:P4)</f>
        <v>9.5039999999999996</v>
      </c>
      <c r="R4" s="1627">
        <f>MAX(B4:P4)</f>
        <v>13.41</v>
      </c>
      <c r="S4" s="1627">
        <f>AVERAGE(H4:M4)</f>
        <v>8.3583333333333343</v>
      </c>
    </row>
    <row r="5" spans="1:25" s="6" customFormat="1">
      <c r="A5" s="1647" t="s">
        <v>303</v>
      </c>
      <c r="B5" s="322">
        <v>12.06</v>
      </c>
      <c r="C5" s="322">
        <v>9.75</v>
      </c>
      <c r="D5" s="322">
        <v>10.75</v>
      </c>
      <c r="E5" s="322">
        <v>9.7200000000000006</v>
      </c>
      <c r="F5" s="322">
        <v>8.9</v>
      </c>
      <c r="G5" s="322">
        <v>6.3</v>
      </c>
      <c r="H5" s="322">
        <v>6.05</v>
      </c>
      <c r="I5" s="322">
        <v>7.54</v>
      </c>
      <c r="J5" s="267">
        <v>5.81</v>
      </c>
      <c r="K5" s="322">
        <v>6.85</v>
      </c>
      <c r="L5" s="322">
        <v>8.0399999999999991</v>
      </c>
      <c r="M5" s="322">
        <v>9.32</v>
      </c>
      <c r="N5" s="322">
        <v>10.19</v>
      </c>
      <c r="O5" s="322">
        <v>8.81</v>
      </c>
      <c r="P5" s="1510">
        <v>12.3</v>
      </c>
      <c r="Q5" s="1626">
        <f>AVERAGE(B5:P5)</f>
        <v>8.8259999999999987</v>
      </c>
      <c r="R5" s="1627">
        <f>MAX(B5:P5)</f>
        <v>12.3</v>
      </c>
      <c r="S5" s="1627">
        <f>AVERAGE(H5:M5)</f>
        <v>7.2683333333333335</v>
      </c>
    </row>
    <row r="6" spans="1:25" s="6" customFormat="1">
      <c r="A6" s="1647" t="s">
        <v>884</v>
      </c>
      <c r="B6" s="322">
        <v>11.28</v>
      </c>
      <c r="C6" s="322">
        <v>11.38</v>
      </c>
      <c r="D6" s="322">
        <v>10.75</v>
      </c>
      <c r="E6" s="322">
        <v>12.1</v>
      </c>
      <c r="F6" s="322">
        <v>8.4</v>
      </c>
      <c r="G6" s="322">
        <v>8.7100000000000009</v>
      </c>
      <c r="H6" s="322">
        <v>9.7899999999999991</v>
      </c>
      <c r="I6" s="322">
        <v>9.7100000000000009</v>
      </c>
      <c r="J6" s="267">
        <v>11.11</v>
      </c>
      <c r="K6" s="322">
        <v>10.86</v>
      </c>
      <c r="L6" s="322">
        <v>10.29</v>
      </c>
      <c r="M6" s="322">
        <v>11.24</v>
      </c>
      <c r="N6" s="322">
        <v>11.35</v>
      </c>
      <c r="O6" s="322">
        <v>11.63</v>
      </c>
      <c r="P6" s="1510">
        <v>12.64</v>
      </c>
      <c r="Q6" s="1626">
        <f>AVERAGE(B6:P6)</f>
        <v>10.749333333333334</v>
      </c>
      <c r="R6" s="1627">
        <f>MAX(B6:P6)</f>
        <v>12.64</v>
      </c>
      <c r="S6" s="1627">
        <f>AVERAGE(H6:M6)</f>
        <v>10.5</v>
      </c>
    </row>
    <row r="7" spans="1:25" ht="15.5">
      <c r="A7" s="2966" t="s">
        <v>295</v>
      </c>
      <c r="B7" s="2967"/>
      <c r="C7" s="2967"/>
      <c r="D7" s="2967"/>
      <c r="E7" s="2967"/>
      <c r="F7" s="2967"/>
      <c r="G7" s="2967"/>
      <c r="H7" s="2967"/>
      <c r="I7" s="2967"/>
      <c r="J7" s="2967"/>
      <c r="K7" s="2967"/>
      <c r="L7" s="2967"/>
      <c r="M7" s="2967"/>
      <c r="N7" s="2967"/>
      <c r="O7" s="2967"/>
      <c r="P7" s="2967"/>
      <c r="Q7" s="2967"/>
      <c r="R7" s="2967"/>
      <c r="S7" s="2968"/>
      <c r="T7" s="5"/>
      <c r="U7" s="5"/>
      <c r="V7" s="5"/>
      <c r="W7" s="5"/>
      <c r="X7" s="5"/>
      <c r="Y7" s="5"/>
    </row>
    <row r="8" spans="1:25">
      <c r="A8" s="146" t="s">
        <v>239</v>
      </c>
      <c r="B8" s="322">
        <v>14.44</v>
      </c>
      <c r="C8" s="322">
        <v>12.3</v>
      </c>
      <c r="D8" s="322">
        <v>11.05</v>
      </c>
      <c r="E8" s="322">
        <v>10.37</v>
      </c>
      <c r="F8" s="322">
        <v>10.333</v>
      </c>
      <c r="G8" s="322">
        <v>7.31</v>
      </c>
      <c r="H8" s="322">
        <v>6.6</v>
      </c>
      <c r="I8" s="322">
        <v>7.13</v>
      </c>
      <c r="J8" s="266">
        <v>8.41</v>
      </c>
      <c r="K8" s="322">
        <v>8.6999999999999993</v>
      </c>
      <c r="L8" s="322">
        <v>8.82</v>
      </c>
      <c r="M8" s="322">
        <v>7.35</v>
      </c>
      <c r="N8" s="322">
        <v>8.9700000000000006</v>
      </c>
      <c r="O8" s="322">
        <v>8.6999999999999993</v>
      </c>
      <c r="P8" s="1510">
        <v>12.76</v>
      </c>
      <c r="Q8" s="1626">
        <f t="shared" ref="Q8:Q21" si="0">AVERAGE(B8:P8)</f>
        <v>9.549533333333331</v>
      </c>
      <c r="R8" s="1627">
        <f t="shared" ref="R8:R21" si="1">MAX(B8:P8)</f>
        <v>14.44</v>
      </c>
      <c r="S8" s="1627">
        <f t="shared" ref="S8:S21" si="2">AVERAGE(H8:M8)</f>
        <v>7.835</v>
      </c>
      <c r="T8" s="5"/>
      <c r="U8" s="5"/>
      <c r="V8" s="5"/>
      <c r="W8" s="5"/>
      <c r="X8" s="5"/>
      <c r="Y8" s="5"/>
    </row>
    <row r="9" spans="1:25">
      <c r="A9" s="146" t="s">
        <v>140</v>
      </c>
      <c r="B9" s="322">
        <v>13.2</v>
      </c>
      <c r="C9" s="322">
        <v>12.51</v>
      </c>
      <c r="D9" s="322">
        <v>10.02</v>
      </c>
      <c r="E9" s="322">
        <v>9.4499999999999993</v>
      </c>
      <c r="F9" s="322">
        <v>10.61</v>
      </c>
      <c r="G9" s="322">
        <v>6.94</v>
      </c>
      <c r="H9" s="322">
        <v>6.28</v>
      </c>
      <c r="I9" s="322">
        <v>7.09</v>
      </c>
      <c r="J9" s="266">
        <v>7.97</v>
      </c>
      <c r="K9" s="322">
        <v>8.11</v>
      </c>
      <c r="L9" s="322">
        <v>7.54</v>
      </c>
      <c r="M9" s="322">
        <v>7.61</v>
      </c>
      <c r="N9" s="322">
        <v>8.66</v>
      </c>
      <c r="O9" s="322">
        <v>8.67</v>
      </c>
      <c r="P9" s="1510">
        <v>13.26</v>
      </c>
      <c r="Q9" s="1626">
        <f t="shared" si="0"/>
        <v>9.1946666666666683</v>
      </c>
      <c r="R9" s="1627">
        <f t="shared" si="1"/>
        <v>13.26</v>
      </c>
      <c r="S9" s="1627">
        <f t="shared" si="2"/>
        <v>7.4333333333333336</v>
      </c>
      <c r="T9" s="5"/>
      <c r="U9" s="5"/>
      <c r="V9" s="5"/>
      <c r="W9" s="5"/>
      <c r="X9" s="5"/>
      <c r="Y9" s="5"/>
    </row>
    <row r="10" spans="1:25">
      <c r="A10" s="146" t="s">
        <v>240</v>
      </c>
      <c r="B10" s="322">
        <v>13.46</v>
      </c>
      <c r="C10" s="322">
        <v>12.14</v>
      </c>
      <c r="D10" s="322">
        <v>10.02</v>
      </c>
      <c r="E10" s="322">
        <v>9.31</v>
      </c>
      <c r="F10" s="322">
        <v>10.01</v>
      </c>
      <c r="G10" s="322">
        <v>6.81</v>
      </c>
      <c r="H10" s="322">
        <v>6.34</v>
      </c>
      <c r="I10" s="322">
        <v>6.93</v>
      </c>
      <c r="J10" s="266">
        <v>7.92</v>
      </c>
      <c r="K10" s="322">
        <v>7.75</v>
      </c>
      <c r="L10" s="322">
        <v>6.87</v>
      </c>
      <c r="M10" s="322">
        <v>7.72</v>
      </c>
      <c r="N10" s="322">
        <v>8.3800000000000008</v>
      </c>
      <c r="O10" s="322">
        <v>8.64</v>
      </c>
      <c r="P10" s="1510">
        <v>13.49</v>
      </c>
      <c r="Q10" s="1626">
        <f t="shared" si="0"/>
        <v>9.0526666666666689</v>
      </c>
      <c r="R10" s="1627">
        <f t="shared" si="1"/>
        <v>13.49</v>
      </c>
      <c r="S10" s="1627">
        <f t="shared" si="2"/>
        <v>7.254999999999999</v>
      </c>
      <c r="T10" s="5"/>
      <c r="U10" s="5"/>
      <c r="V10" s="5"/>
      <c r="W10" s="5"/>
    </row>
    <row r="11" spans="1:25">
      <c r="A11" s="146" t="s">
        <v>141</v>
      </c>
      <c r="B11" s="322">
        <v>12.62</v>
      </c>
      <c r="C11" s="322">
        <v>12.56</v>
      </c>
      <c r="D11" s="322">
        <v>9.32</v>
      </c>
      <c r="E11" s="322">
        <v>8.7200000000000006</v>
      </c>
      <c r="F11" s="322">
        <v>10.06</v>
      </c>
      <c r="G11" s="322">
        <v>6.66</v>
      </c>
      <c r="H11" s="322">
        <v>6.24</v>
      </c>
      <c r="I11" s="322">
        <v>7.02</v>
      </c>
      <c r="J11" s="266">
        <v>7.87</v>
      </c>
      <c r="K11" s="322">
        <v>7.42</v>
      </c>
      <c r="L11" s="322">
        <v>6.82</v>
      </c>
      <c r="M11" s="322">
        <v>7.56</v>
      </c>
      <c r="N11" s="322">
        <v>8</v>
      </c>
      <c r="O11" s="322">
        <v>8.6999999999999993</v>
      </c>
      <c r="P11" s="1510">
        <v>10.1</v>
      </c>
      <c r="Q11" s="1626">
        <f t="shared" si="0"/>
        <v>8.6446666666666676</v>
      </c>
      <c r="R11" s="1627">
        <f t="shared" si="1"/>
        <v>12.62</v>
      </c>
      <c r="S11" s="1627">
        <f t="shared" si="2"/>
        <v>7.1550000000000002</v>
      </c>
      <c r="T11" s="5"/>
      <c r="U11" s="5"/>
      <c r="V11" s="5"/>
      <c r="W11" s="5"/>
      <c r="X11" s="5"/>
    </row>
    <row r="12" spans="1:25">
      <c r="A12" s="146" t="s">
        <v>241</v>
      </c>
      <c r="B12" s="322">
        <v>13.34</v>
      </c>
      <c r="C12" s="322">
        <v>12.52</v>
      </c>
      <c r="D12" s="322">
        <v>9.5500000000000007</v>
      </c>
      <c r="E12" s="322">
        <v>8.7200000000000006</v>
      </c>
      <c r="F12" s="322">
        <v>9.4600000000000009</v>
      </c>
      <c r="G12" s="322">
        <v>6.26</v>
      </c>
      <c r="H12" s="322">
        <v>6.16</v>
      </c>
      <c r="I12" s="322">
        <v>6.6</v>
      </c>
      <c r="J12" s="266">
        <v>7.32</v>
      </c>
      <c r="K12" s="322">
        <v>7.55</v>
      </c>
      <c r="L12" s="322">
        <v>6.69</v>
      </c>
      <c r="M12" s="322">
        <v>7.37</v>
      </c>
      <c r="N12" s="322">
        <v>8.02</v>
      </c>
      <c r="O12" s="322">
        <v>8.61</v>
      </c>
      <c r="P12" s="1510">
        <v>10</v>
      </c>
      <c r="Q12" s="1626">
        <f t="shared" si="0"/>
        <v>8.5446666666666644</v>
      </c>
      <c r="R12" s="1627">
        <f t="shared" si="1"/>
        <v>13.34</v>
      </c>
      <c r="S12" s="1627">
        <f t="shared" si="2"/>
        <v>6.9483333333333333</v>
      </c>
      <c r="T12" s="5"/>
      <c r="U12" s="5"/>
      <c r="V12" s="5"/>
      <c r="W12" s="5"/>
      <c r="X12" s="5"/>
    </row>
    <row r="13" spans="1:25">
      <c r="A13" s="146" t="s">
        <v>142</v>
      </c>
      <c r="B13" s="555">
        <v>13.03</v>
      </c>
      <c r="C13" s="322">
        <v>12.14</v>
      </c>
      <c r="D13" s="322">
        <v>9.74</v>
      </c>
      <c r="E13" s="322">
        <v>8.81</v>
      </c>
      <c r="F13" s="322">
        <v>9.6</v>
      </c>
      <c r="G13" s="322">
        <v>6.47</v>
      </c>
      <c r="H13" s="322">
        <v>6.27</v>
      </c>
      <c r="I13" s="322">
        <v>6.65</v>
      </c>
      <c r="J13" s="266">
        <v>7.32</v>
      </c>
      <c r="K13" s="322">
        <v>7.45</v>
      </c>
      <c r="L13" s="322">
        <v>6.81</v>
      </c>
      <c r="M13" s="322">
        <v>7.33</v>
      </c>
      <c r="N13" s="322">
        <v>7.92</v>
      </c>
      <c r="O13" s="322">
        <v>8.66</v>
      </c>
      <c r="P13" s="1510">
        <v>10</v>
      </c>
      <c r="Q13" s="1626">
        <f t="shared" si="0"/>
        <v>8.5466666666666651</v>
      </c>
      <c r="R13" s="1627">
        <f t="shared" si="1"/>
        <v>13.03</v>
      </c>
      <c r="S13" s="1627">
        <f t="shared" si="2"/>
        <v>6.9716666666666667</v>
      </c>
      <c r="T13" s="5"/>
      <c r="U13" s="5"/>
      <c r="V13" s="5"/>
      <c r="W13" s="5"/>
      <c r="X13" s="5"/>
    </row>
    <row r="14" spans="1:25">
      <c r="A14" s="146" t="s">
        <v>242</v>
      </c>
      <c r="B14" s="555">
        <v>12.69</v>
      </c>
      <c r="C14" s="322">
        <v>11.55</v>
      </c>
      <c r="D14" s="322">
        <v>9.5</v>
      </c>
      <c r="E14" s="322">
        <v>8.76</v>
      </c>
      <c r="F14" s="322">
        <v>9.66</v>
      </c>
      <c r="G14" s="322">
        <v>6.26</v>
      </c>
      <c r="H14" s="322">
        <v>5.9</v>
      </c>
      <c r="I14" s="322">
        <v>6.4</v>
      </c>
      <c r="J14" s="266">
        <v>7.42</v>
      </c>
      <c r="K14" s="322">
        <v>7.47</v>
      </c>
      <c r="L14" s="325">
        <v>6.45</v>
      </c>
      <c r="M14" s="322">
        <v>7.32</v>
      </c>
      <c r="N14" s="322">
        <v>7.84</v>
      </c>
      <c r="O14" s="322">
        <v>8.3699999999999992</v>
      </c>
      <c r="P14" s="1510">
        <v>9.1999999999999993</v>
      </c>
      <c r="Q14" s="1626">
        <f t="shared" si="0"/>
        <v>8.3193333333333346</v>
      </c>
      <c r="R14" s="1627">
        <f t="shared" si="1"/>
        <v>12.69</v>
      </c>
      <c r="S14" s="1627">
        <f t="shared" si="2"/>
        <v>6.8266666666666671</v>
      </c>
      <c r="T14" s="5"/>
      <c r="U14" s="5"/>
      <c r="V14" s="5"/>
      <c r="W14" s="5"/>
      <c r="X14" s="5"/>
    </row>
    <row r="15" spans="1:25">
      <c r="A15" s="146" t="s">
        <v>143</v>
      </c>
      <c r="B15" s="322">
        <v>12.52</v>
      </c>
      <c r="C15" s="322">
        <v>11</v>
      </c>
      <c r="D15" s="322">
        <v>9.43</v>
      </c>
      <c r="E15" s="322">
        <v>8.7200000000000006</v>
      </c>
      <c r="F15" s="322">
        <v>9.56</v>
      </c>
      <c r="G15" s="322">
        <v>6.03</v>
      </c>
      <c r="H15" s="322">
        <v>5.8</v>
      </c>
      <c r="I15" s="322">
        <v>6.21</v>
      </c>
      <c r="J15" s="266">
        <v>6.81</v>
      </c>
      <c r="K15" s="322">
        <v>7.25</v>
      </c>
      <c r="L15" s="322">
        <v>6.04</v>
      </c>
      <c r="M15" s="322">
        <v>7.26</v>
      </c>
      <c r="N15" s="322">
        <v>7.79</v>
      </c>
      <c r="O15" s="322">
        <v>8.51</v>
      </c>
      <c r="P15" s="1510">
        <v>8.5</v>
      </c>
      <c r="Q15" s="1626">
        <f t="shared" si="0"/>
        <v>8.0953333333333344</v>
      </c>
      <c r="R15" s="1627">
        <f t="shared" si="1"/>
        <v>12.52</v>
      </c>
      <c r="S15" s="1627">
        <f t="shared" si="2"/>
        <v>6.5616666666666665</v>
      </c>
      <c r="T15" s="5"/>
      <c r="U15" s="5"/>
      <c r="V15" s="5"/>
      <c r="W15" s="5"/>
      <c r="X15" s="5"/>
    </row>
    <row r="16" spans="1:25">
      <c r="A16" s="146" t="s">
        <v>144</v>
      </c>
      <c r="B16" s="322">
        <v>10.54</v>
      </c>
      <c r="C16" s="322">
        <v>8.5399999999999991</v>
      </c>
      <c r="D16" s="322">
        <v>9.02</v>
      </c>
      <c r="E16" s="322">
        <v>8.84</v>
      </c>
      <c r="F16" s="322">
        <v>7.29</v>
      </c>
      <c r="G16" s="322">
        <v>6.37</v>
      </c>
      <c r="H16" s="322">
        <v>5.72</v>
      </c>
      <c r="I16" s="322">
        <v>6.25</v>
      </c>
      <c r="J16" s="266">
        <v>7.04</v>
      </c>
      <c r="K16" s="322">
        <v>7.37</v>
      </c>
      <c r="L16" s="322">
        <v>6.34</v>
      </c>
      <c r="M16" s="322">
        <v>6.72</v>
      </c>
      <c r="N16" s="322">
        <v>7.93</v>
      </c>
      <c r="O16" s="322">
        <v>8.64</v>
      </c>
      <c r="P16" s="1510"/>
      <c r="Q16" s="1626">
        <f t="shared" si="0"/>
        <v>7.6150000000000002</v>
      </c>
      <c r="R16" s="1627">
        <f t="shared" si="1"/>
        <v>10.54</v>
      </c>
      <c r="S16" s="1627">
        <f t="shared" si="2"/>
        <v>6.5733333333333333</v>
      </c>
      <c r="T16" s="5"/>
      <c r="U16" s="5"/>
      <c r="V16" s="5"/>
      <c r="W16" s="5"/>
      <c r="X16" s="5"/>
    </row>
    <row r="17" spans="1:24">
      <c r="A17" s="146" t="s">
        <v>145</v>
      </c>
      <c r="B17" s="322">
        <v>9.5500000000000007</v>
      </c>
      <c r="C17" s="322">
        <v>7.95</v>
      </c>
      <c r="D17" s="322">
        <v>7.64</v>
      </c>
      <c r="E17" s="322">
        <v>8.85</v>
      </c>
      <c r="F17" s="322">
        <v>6.28</v>
      </c>
      <c r="G17" s="322">
        <v>6.04</v>
      </c>
      <c r="H17" s="322">
        <v>4.9000000000000004</v>
      </c>
      <c r="I17" s="322">
        <v>6.27</v>
      </c>
      <c r="J17" s="266">
        <v>7.32</v>
      </c>
      <c r="K17" s="322">
        <v>7.13</v>
      </c>
      <c r="L17" s="322">
        <v>6.41</v>
      </c>
      <c r="M17" s="322">
        <v>6.54</v>
      </c>
      <c r="N17" s="322">
        <v>7.9</v>
      </c>
      <c r="O17" s="322">
        <v>8.58</v>
      </c>
      <c r="P17" s="1510"/>
      <c r="Q17" s="1626">
        <f t="shared" si="0"/>
        <v>7.2400000000000011</v>
      </c>
      <c r="R17" s="1627">
        <f t="shared" si="1"/>
        <v>9.5500000000000007</v>
      </c>
      <c r="S17" s="1627">
        <f t="shared" si="2"/>
        <v>6.4283333333333337</v>
      </c>
      <c r="T17" s="5"/>
      <c r="U17" s="5"/>
      <c r="V17" s="5"/>
      <c r="W17" s="5"/>
      <c r="X17" s="5"/>
    </row>
    <row r="18" spans="1:24">
      <c r="A18" s="146" t="s">
        <v>146</v>
      </c>
      <c r="B18" s="322">
        <v>8.7799999999999994</v>
      </c>
      <c r="C18" s="325">
        <v>5.24</v>
      </c>
      <c r="D18" s="322">
        <v>7.67</v>
      </c>
      <c r="E18" s="322">
        <v>8.65</v>
      </c>
      <c r="F18" s="322">
        <v>5.23</v>
      </c>
      <c r="G18" s="322">
        <v>5.48</v>
      </c>
      <c r="H18" s="322">
        <v>4.26</v>
      </c>
      <c r="I18" s="322">
        <v>5.85</v>
      </c>
      <c r="J18" s="266">
        <v>5.72</v>
      </c>
      <c r="K18" s="322">
        <v>5.75</v>
      </c>
      <c r="L18" s="322">
        <v>4.91</v>
      </c>
      <c r="M18" s="322">
        <v>6.66</v>
      </c>
      <c r="N18" s="322">
        <v>8.25</v>
      </c>
      <c r="O18" s="322">
        <v>8.36</v>
      </c>
      <c r="P18" s="1510"/>
      <c r="Q18" s="1626">
        <f t="shared" si="0"/>
        <v>6.4864285714285703</v>
      </c>
      <c r="R18" s="1627">
        <f t="shared" si="1"/>
        <v>8.7799999999999994</v>
      </c>
      <c r="S18" s="1627">
        <f t="shared" si="2"/>
        <v>5.5249999999999995</v>
      </c>
      <c r="T18" s="5"/>
      <c r="U18" s="5"/>
      <c r="V18" s="5"/>
      <c r="W18" s="5"/>
      <c r="X18" s="5"/>
    </row>
    <row r="19" spans="1:24">
      <c r="A19" s="146" t="s">
        <v>147</v>
      </c>
      <c r="B19" s="322">
        <v>7.51</v>
      </c>
      <c r="C19" s="322">
        <v>4.5</v>
      </c>
      <c r="D19" s="322">
        <v>4.9000000000000004</v>
      </c>
      <c r="E19" s="322">
        <v>8.86</v>
      </c>
      <c r="F19" s="322">
        <v>4.4800000000000004</v>
      </c>
      <c r="G19" s="322">
        <v>5.28</v>
      </c>
      <c r="H19" s="322">
        <v>3.78</v>
      </c>
      <c r="I19" s="322">
        <v>5.9</v>
      </c>
      <c r="J19" s="266">
        <v>4.5199999999999996</v>
      </c>
      <c r="K19" s="322">
        <v>4.4400000000000004</v>
      </c>
      <c r="L19" s="322">
        <v>3.9</v>
      </c>
      <c r="M19" s="322">
        <v>6.54</v>
      </c>
      <c r="N19" s="322">
        <v>8.24</v>
      </c>
      <c r="O19" s="322">
        <v>8.3800000000000008</v>
      </c>
      <c r="P19" s="1510"/>
      <c r="Q19" s="1626">
        <f t="shared" si="0"/>
        <v>5.8021428571428562</v>
      </c>
      <c r="R19" s="1627">
        <f t="shared" si="1"/>
        <v>8.86</v>
      </c>
      <c r="S19" s="1627">
        <f t="shared" si="2"/>
        <v>4.8466666666666667</v>
      </c>
      <c r="T19" s="5"/>
      <c r="U19" s="5"/>
      <c r="V19" s="5"/>
      <c r="W19" s="5"/>
      <c r="X19" s="5"/>
    </row>
    <row r="20" spans="1:24">
      <c r="A20" s="146" t="s">
        <v>148</v>
      </c>
      <c r="B20" s="322">
        <v>6.34</v>
      </c>
      <c r="C20" s="322">
        <v>3.36</v>
      </c>
      <c r="D20" s="322">
        <v>4.49</v>
      </c>
      <c r="E20" s="322">
        <v>8.86</v>
      </c>
      <c r="F20" s="322">
        <v>3.91</v>
      </c>
      <c r="G20" s="322">
        <v>4.1100000000000003</v>
      </c>
      <c r="H20" s="322">
        <v>3.26</v>
      </c>
      <c r="I20" s="322">
        <v>2.5</v>
      </c>
      <c r="J20" s="266">
        <v>3.52</v>
      </c>
      <c r="K20" s="322">
        <v>2.12</v>
      </c>
      <c r="L20" s="322">
        <v>3.67</v>
      </c>
      <c r="M20" s="322">
        <v>6.2</v>
      </c>
      <c r="N20" s="322">
        <v>7.92</v>
      </c>
      <c r="O20" s="322">
        <v>8.06</v>
      </c>
      <c r="P20" s="1510"/>
      <c r="Q20" s="1626">
        <f t="shared" si="0"/>
        <v>4.8800000000000008</v>
      </c>
      <c r="R20" s="1627">
        <f t="shared" si="1"/>
        <v>8.86</v>
      </c>
      <c r="S20" s="1627">
        <f t="shared" si="2"/>
        <v>3.5449999999999999</v>
      </c>
      <c r="T20" s="5"/>
      <c r="U20" s="5"/>
      <c r="V20" s="5"/>
      <c r="W20" s="5"/>
      <c r="X20" s="5"/>
    </row>
    <row r="21" spans="1:24">
      <c r="A21" s="146" t="s">
        <v>167</v>
      </c>
      <c r="B21" s="322">
        <v>5.93</v>
      </c>
      <c r="C21" s="322">
        <v>1.35</v>
      </c>
      <c r="D21" s="322">
        <v>2.5</v>
      </c>
      <c r="E21" s="322">
        <v>8.25</v>
      </c>
      <c r="F21" s="322">
        <v>2.52</v>
      </c>
      <c r="G21" s="322">
        <v>1.75</v>
      </c>
      <c r="H21" s="322">
        <v>2.86</v>
      </c>
      <c r="I21" s="322">
        <v>0.99</v>
      </c>
      <c r="J21" s="266">
        <v>2.4500000000000002</v>
      </c>
      <c r="K21" s="322">
        <v>0.25</v>
      </c>
      <c r="L21" s="322">
        <v>4.8899999999999997</v>
      </c>
      <c r="M21" s="322"/>
      <c r="N21" s="322"/>
      <c r="O21" s="322"/>
      <c r="P21" s="1510"/>
      <c r="Q21" s="1626">
        <f t="shared" si="0"/>
        <v>3.0672727272727269</v>
      </c>
      <c r="R21" s="1627">
        <f t="shared" si="1"/>
        <v>8.25</v>
      </c>
      <c r="S21" s="1627">
        <f t="shared" si="2"/>
        <v>2.2879999999999998</v>
      </c>
      <c r="T21" s="5"/>
      <c r="U21" s="5"/>
      <c r="V21" s="5"/>
      <c r="W21" s="5"/>
      <c r="X21" s="5"/>
    </row>
    <row r="22" spans="1:24">
      <c r="A22" s="149" t="s">
        <v>308</v>
      </c>
      <c r="B22" s="322">
        <f t="shared" ref="B22:P22" si="3">AVERAGE(B8:B11)</f>
        <v>13.43</v>
      </c>
      <c r="C22" s="322">
        <f t="shared" si="3"/>
        <v>12.377500000000001</v>
      </c>
      <c r="D22" s="322">
        <f t="shared" si="3"/>
        <v>10.102499999999999</v>
      </c>
      <c r="E22" s="322">
        <f t="shared" si="3"/>
        <v>9.4625000000000004</v>
      </c>
      <c r="F22" s="322">
        <f t="shared" si="3"/>
        <v>10.25325</v>
      </c>
      <c r="G22" s="322">
        <f t="shared" si="3"/>
        <v>6.93</v>
      </c>
      <c r="H22" s="322">
        <f t="shared" si="3"/>
        <v>6.3650000000000002</v>
      </c>
      <c r="I22" s="322">
        <f t="shared" si="3"/>
        <v>7.0424999999999995</v>
      </c>
      <c r="J22" s="322">
        <f t="shared" si="3"/>
        <v>8.0424999999999986</v>
      </c>
      <c r="K22" s="322">
        <f t="shared" si="3"/>
        <v>7.9949999999999992</v>
      </c>
      <c r="L22" s="322">
        <f t="shared" si="3"/>
        <v>7.5125000000000002</v>
      </c>
      <c r="M22" s="322">
        <f t="shared" si="3"/>
        <v>7.56</v>
      </c>
      <c r="N22" s="322">
        <f t="shared" si="3"/>
        <v>8.5025000000000013</v>
      </c>
      <c r="O22" s="322">
        <f t="shared" si="3"/>
        <v>8.6774999999999984</v>
      </c>
      <c r="P22" s="322">
        <f t="shared" si="3"/>
        <v>12.4025</v>
      </c>
      <c r="Q22" s="1622">
        <f>AVERAGE(Q8:Q11)</f>
        <v>9.1103833333333331</v>
      </c>
      <c r="R22" s="1622">
        <f>AVERAGE(R8:R11)</f>
        <v>13.452499999999999</v>
      </c>
      <c r="S22" s="1622">
        <f>AVERAGE(S8:S11)</f>
        <v>7.4195833333333336</v>
      </c>
    </row>
    <row r="23" spans="1:24">
      <c r="A23" s="149" t="s">
        <v>309</v>
      </c>
      <c r="B23" s="322">
        <f t="shared" ref="B23:S23" si="4">AVERAGE(B8:B21)</f>
        <v>10.99642857142857</v>
      </c>
      <c r="C23" s="322">
        <f t="shared" si="4"/>
        <v>9.1185714285714266</v>
      </c>
      <c r="D23" s="322">
        <f t="shared" si="4"/>
        <v>8.2035714285714274</v>
      </c>
      <c r="E23" s="322">
        <f t="shared" si="4"/>
        <v>8.9407142857142858</v>
      </c>
      <c r="F23" s="322">
        <f t="shared" si="4"/>
        <v>7.7859285714285722</v>
      </c>
      <c r="G23" s="322">
        <f t="shared" si="4"/>
        <v>5.8407142857142853</v>
      </c>
      <c r="H23" s="322">
        <f t="shared" si="4"/>
        <v>5.3121428571428577</v>
      </c>
      <c r="I23" s="322">
        <f t="shared" si="4"/>
        <v>5.8421428571428562</v>
      </c>
      <c r="J23" s="322">
        <f t="shared" si="4"/>
        <v>6.5435714285714282</v>
      </c>
      <c r="K23" s="322">
        <f t="shared" si="4"/>
        <v>6.339999999999999</v>
      </c>
      <c r="L23" s="322">
        <f t="shared" si="4"/>
        <v>6.1542857142857148</v>
      </c>
      <c r="M23" s="322">
        <f t="shared" si="4"/>
        <v>7.0907692307692312</v>
      </c>
      <c r="N23" s="322">
        <f t="shared" si="4"/>
        <v>8.1400000000000023</v>
      </c>
      <c r="O23" s="322">
        <f t="shared" si="4"/>
        <v>8.5292307692307681</v>
      </c>
      <c r="P23" s="322">
        <f t="shared" si="4"/>
        <v>10.91375</v>
      </c>
      <c r="Q23" s="1622">
        <f t="shared" si="4"/>
        <v>7.5027412492269621</v>
      </c>
      <c r="R23" s="1622">
        <f t="shared" si="4"/>
        <v>11.444999999999997</v>
      </c>
      <c r="S23" s="1622">
        <f t="shared" si="4"/>
        <v>6.1566428571428569</v>
      </c>
    </row>
    <row r="24" spans="1:24" ht="15.5">
      <c r="A24" s="2963" t="s">
        <v>296</v>
      </c>
      <c r="B24" s="2964"/>
      <c r="C24" s="2964"/>
      <c r="D24" s="2964"/>
      <c r="E24" s="2964"/>
      <c r="F24" s="2964"/>
      <c r="G24" s="2964"/>
      <c r="H24" s="2964"/>
      <c r="I24" s="2964"/>
      <c r="J24" s="2964"/>
      <c r="K24" s="2964"/>
      <c r="L24" s="2964"/>
      <c r="M24" s="2964"/>
      <c r="N24" s="2964"/>
      <c r="O24" s="2964"/>
      <c r="P24" s="2964"/>
      <c r="Q24" s="2964"/>
      <c r="R24" s="2964"/>
      <c r="S24" s="2965"/>
    </row>
    <row r="25" spans="1:24">
      <c r="A25" s="146" t="s">
        <v>239</v>
      </c>
      <c r="B25" s="322">
        <v>12.38</v>
      </c>
      <c r="C25" s="322">
        <v>12.12</v>
      </c>
      <c r="D25" s="322">
        <v>9.52</v>
      </c>
      <c r="E25" s="322">
        <v>8.69</v>
      </c>
      <c r="F25" s="297">
        <v>10.19</v>
      </c>
      <c r="G25" s="322">
        <v>6.61</v>
      </c>
      <c r="H25" s="322">
        <v>5.7</v>
      </c>
      <c r="I25" s="322">
        <v>7.17</v>
      </c>
      <c r="J25" s="322">
        <v>9.19</v>
      </c>
      <c r="K25" s="322">
        <v>8.8000000000000007</v>
      </c>
      <c r="L25" s="322">
        <v>7.62</v>
      </c>
      <c r="M25" s="322">
        <v>6.75</v>
      </c>
      <c r="N25" s="322">
        <v>8.2799999999999994</v>
      </c>
      <c r="O25" s="322">
        <v>9.1</v>
      </c>
      <c r="P25" s="1510"/>
      <c r="Q25" s="1626">
        <f t="shared" ref="Q25:Q35" si="5">AVERAGE(B25:P25)</f>
        <v>8.7228571428571424</v>
      </c>
      <c r="R25" s="1627">
        <f t="shared" ref="R25:R35" si="6">MAX(B25:P25)</f>
        <v>12.38</v>
      </c>
      <c r="S25" s="1627">
        <f t="shared" ref="S25:S36" si="7">AVERAGE(H25:M25)</f>
        <v>7.538333333333334</v>
      </c>
    </row>
    <row r="26" spans="1:24">
      <c r="A26" s="146" t="s">
        <v>140</v>
      </c>
      <c r="B26" s="322">
        <v>12.44</v>
      </c>
      <c r="C26" s="322">
        <v>12.01</v>
      </c>
      <c r="D26" s="322">
        <v>9.56</v>
      </c>
      <c r="E26" s="322">
        <v>8.8699999999999992</v>
      </c>
      <c r="F26" s="297">
        <v>10.16</v>
      </c>
      <c r="G26" s="322">
        <v>6.4</v>
      </c>
      <c r="H26" s="322">
        <v>6.26</v>
      </c>
      <c r="I26" s="322">
        <v>7.02</v>
      </c>
      <c r="J26" s="322">
        <v>9.32</v>
      </c>
      <c r="K26" s="322">
        <v>8.6300000000000008</v>
      </c>
      <c r="L26" s="322">
        <v>6.95</v>
      </c>
      <c r="M26" s="322">
        <v>6.65</v>
      </c>
      <c r="N26" s="322">
        <v>8.39</v>
      </c>
      <c r="O26" s="322">
        <v>8.9600000000000009</v>
      </c>
      <c r="P26" s="1510"/>
      <c r="Q26" s="1626">
        <f t="shared" si="5"/>
        <v>8.6871428571428577</v>
      </c>
      <c r="R26" s="1627">
        <f t="shared" si="6"/>
        <v>12.44</v>
      </c>
      <c r="S26" s="1627">
        <f t="shared" si="7"/>
        <v>7.4716666666666676</v>
      </c>
    </row>
    <row r="27" spans="1:24">
      <c r="A27" s="146" t="s">
        <v>240</v>
      </c>
      <c r="B27" s="322">
        <v>13.15</v>
      </c>
      <c r="C27" s="322">
        <v>12.29</v>
      </c>
      <c r="D27" s="322">
        <v>9.44</v>
      </c>
      <c r="E27" s="322">
        <v>8.6999999999999993</v>
      </c>
      <c r="F27" s="297">
        <v>10.26</v>
      </c>
      <c r="G27" s="322">
        <v>6.37</v>
      </c>
      <c r="H27" s="322">
        <v>5.75</v>
      </c>
      <c r="I27" s="322">
        <v>6.91</v>
      </c>
      <c r="J27" s="322">
        <v>8.4600000000000009</v>
      </c>
      <c r="K27" s="322">
        <v>8.51</v>
      </c>
      <c r="L27" s="322">
        <v>7.16</v>
      </c>
      <c r="M27" s="322">
        <v>6.65</v>
      </c>
      <c r="N27" s="322">
        <v>8.23</v>
      </c>
      <c r="O27" s="322">
        <v>8.82</v>
      </c>
      <c r="P27" s="1510"/>
      <c r="Q27" s="1626">
        <f t="shared" si="5"/>
        <v>8.6214285714285701</v>
      </c>
      <c r="R27" s="1627">
        <f t="shared" si="6"/>
        <v>13.15</v>
      </c>
      <c r="S27" s="1627">
        <f t="shared" si="7"/>
        <v>7.2400000000000011</v>
      </c>
    </row>
    <row r="28" spans="1:24">
      <c r="A28" s="146" t="s">
        <v>141</v>
      </c>
      <c r="B28" s="322">
        <v>13.44</v>
      </c>
      <c r="C28" s="322">
        <v>12.51</v>
      </c>
      <c r="D28" s="322">
        <v>9.6199999999999992</v>
      </c>
      <c r="E28" s="322">
        <v>8.93</v>
      </c>
      <c r="F28" s="297">
        <v>10.18</v>
      </c>
      <c r="G28" s="322">
        <v>6.06</v>
      </c>
      <c r="H28" s="322">
        <v>5.6</v>
      </c>
      <c r="I28" s="322">
        <v>6.69</v>
      </c>
      <c r="J28" s="322">
        <v>7.96</v>
      </c>
      <c r="K28" s="322">
        <v>7.98</v>
      </c>
      <c r="L28" s="322">
        <v>6.92</v>
      </c>
      <c r="M28" s="322">
        <v>6.74</v>
      </c>
      <c r="N28" s="322">
        <v>8.16</v>
      </c>
      <c r="O28" s="322">
        <v>8.65</v>
      </c>
      <c r="P28" s="1510"/>
      <c r="Q28" s="1626">
        <f t="shared" si="5"/>
        <v>8.531428571428572</v>
      </c>
      <c r="R28" s="1627">
        <f t="shared" si="6"/>
        <v>13.44</v>
      </c>
      <c r="S28" s="1627">
        <f t="shared" si="7"/>
        <v>6.9816666666666665</v>
      </c>
    </row>
    <row r="29" spans="1:24">
      <c r="A29" s="146" t="s">
        <v>241</v>
      </c>
      <c r="B29" s="322">
        <v>13.51</v>
      </c>
      <c r="C29" s="322">
        <v>12.56</v>
      </c>
      <c r="D29" s="322">
        <v>9.8699999999999992</v>
      </c>
      <c r="E29" s="322">
        <v>8.83</v>
      </c>
      <c r="F29" s="297">
        <v>9.6199999999999992</v>
      </c>
      <c r="G29" s="322">
        <v>6.01</v>
      </c>
      <c r="H29" s="322">
        <v>5.82</v>
      </c>
      <c r="I29" s="322">
        <v>6.13</v>
      </c>
      <c r="J29" s="322">
        <v>7.44</v>
      </c>
      <c r="K29" s="322">
        <v>8.2200000000000006</v>
      </c>
      <c r="L29" s="322">
        <v>6.87</v>
      </c>
      <c r="M29" s="322">
        <v>6.74</v>
      </c>
      <c r="N29" s="322">
        <v>8.39</v>
      </c>
      <c r="O29" s="322">
        <v>8.56</v>
      </c>
      <c r="P29" s="1510"/>
      <c r="Q29" s="1626">
        <f t="shared" si="5"/>
        <v>8.4692857142857143</v>
      </c>
      <c r="R29" s="1627">
        <f t="shared" si="6"/>
        <v>13.51</v>
      </c>
      <c r="S29" s="1627">
        <f t="shared" si="7"/>
        <v>6.87</v>
      </c>
    </row>
    <row r="30" spans="1:24">
      <c r="A30" s="146" t="s">
        <v>142</v>
      </c>
      <c r="B30" s="322">
        <v>12.72</v>
      </c>
      <c r="C30" s="322">
        <v>12.34</v>
      </c>
      <c r="D30" s="322">
        <v>9.56</v>
      </c>
      <c r="E30" s="322">
        <v>8.8699999999999992</v>
      </c>
      <c r="F30" s="297">
        <v>9.5299999999999994</v>
      </c>
      <c r="G30" s="322">
        <v>6.21</v>
      </c>
      <c r="H30" s="322">
        <v>5.75</v>
      </c>
      <c r="I30" s="322">
        <v>6.2</v>
      </c>
      <c r="J30" s="322">
        <v>7.35</v>
      </c>
      <c r="K30" s="322">
        <v>7.96</v>
      </c>
      <c r="L30" s="322">
        <v>6.2</v>
      </c>
      <c r="M30" s="322">
        <v>7.1</v>
      </c>
      <c r="N30" s="322">
        <v>8.42</v>
      </c>
      <c r="O30" s="322">
        <v>8.67</v>
      </c>
      <c r="P30" s="1510"/>
      <c r="Q30" s="1626">
        <f t="shared" si="5"/>
        <v>8.3485714285714288</v>
      </c>
      <c r="R30" s="1627">
        <f t="shared" si="6"/>
        <v>12.72</v>
      </c>
      <c r="S30" s="1627">
        <f t="shared" si="7"/>
        <v>6.7600000000000007</v>
      </c>
    </row>
    <row r="31" spans="1:24">
      <c r="A31" s="146" t="s">
        <v>242</v>
      </c>
      <c r="B31" s="322">
        <v>11.35</v>
      </c>
      <c r="C31" s="322">
        <v>11.96</v>
      </c>
      <c r="D31" s="322">
        <v>9.51</v>
      </c>
      <c r="E31" s="322">
        <v>8.98</v>
      </c>
      <c r="F31" s="297">
        <v>9.5</v>
      </c>
      <c r="G31" s="322">
        <v>5.5</v>
      </c>
      <c r="H31" s="322">
        <v>5.79</v>
      </c>
      <c r="I31" s="322">
        <v>6.17</v>
      </c>
      <c r="J31" s="322">
        <v>7.32</v>
      </c>
      <c r="K31" s="322">
        <v>8.24</v>
      </c>
      <c r="L31" s="322">
        <v>6.59</v>
      </c>
      <c r="M31" s="322">
        <v>6.69</v>
      </c>
      <c r="N31" s="322">
        <v>8.4</v>
      </c>
      <c r="O31" s="322">
        <v>8.6</v>
      </c>
      <c r="P31" s="1510"/>
      <c r="Q31" s="1626">
        <f t="shared" si="5"/>
        <v>8.1857142857142851</v>
      </c>
      <c r="R31" s="1627">
        <f t="shared" si="6"/>
        <v>11.96</v>
      </c>
      <c r="S31" s="1627">
        <f t="shared" si="7"/>
        <v>6.8</v>
      </c>
    </row>
    <row r="32" spans="1:24">
      <c r="A32" s="146" t="s">
        <v>143</v>
      </c>
      <c r="B32" s="322">
        <v>11.3</v>
      </c>
      <c r="C32" s="322">
        <v>11.41</v>
      </c>
      <c r="D32" s="322">
        <v>9.5</v>
      </c>
      <c r="E32" s="322">
        <v>8.77</v>
      </c>
      <c r="F32" s="297">
        <v>9.01</v>
      </c>
      <c r="G32" s="322">
        <v>5.0599999999999996</v>
      </c>
      <c r="H32" s="322">
        <v>5.78</v>
      </c>
      <c r="I32" s="322">
        <v>6.15</v>
      </c>
      <c r="J32" s="322">
        <v>7.63</v>
      </c>
      <c r="K32" s="322">
        <v>7.72</v>
      </c>
      <c r="L32" s="322">
        <v>6.33</v>
      </c>
      <c r="M32" s="322">
        <v>6.63</v>
      </c>
      <c r="N32" s="322">
        <v>8.35</v>
      </c>
      <c r="O32" s="322">
        <v>8.48</v>
      </c>
      <c r="P32" s="1510"/>
      <c r="Q32" s="1626">
        <f t="shared" si="5"/>
        <v>8.0085714285714271</v>
      </c>
      <c r="R32" s="1627">
        <f t="shared" si="6"/>
        <v>11.41</v>
      </c>
      <c r="S32" s="1627">
        <f t="shared" si="7"/>
        <v>6.706666666666667</v>
      </c>
    </row>
    <row r="33" spans="1:19">
      <c r="A33" s="146" t="s">
        <v>144</v>
      </c>
      <c r="B33" s="322">
        <v>10.72</v>
      </c>
      <c r="C33" s="322">
        <v>9.16</v>
      </c>
      <c r="D33" s="322">
        <v>9.17</v>
      </c>
      <c r="E33" s="322">
        <v>8.76</v>
      </c>
      <c r="F33" s="297">
        <v>6.83</v>
      </c>
      <c r="G33" s="322">
        <v>6.1</v>
      </c>
      <c r="H33" s="322">
        <v>5.28</v>
      </c>
      <c r="I33" s="322">
        <v>6.13</v>
      </c>
      <c r="J33" s="322">
        <v>7.24</v>
      </c>
      <c r="K33" s="322">
        <v>7.88</v>
      </c>
      <c r="L33" s="322">
        <v>5.81</v>
      </c>
      <c r="M33" s="322">
        <v>6.56</v>
      </c>
      <c r="N33" s="322">
        <v>8.2200000000000006</v>
      </c>
      <c r="O33" s="322">
        <v>8.18</v>
      </c>
      <c r="P33" s="1510"/>
      <c r="Q33" s="1626">
        <f t="shared" si="5"/>
        <v>7.5742857142857138</v>
      </c>
      <c r="R33" s="1627">
        <f t="shared" si="6"/>
        <v>10.72</v>
      </c>
      <c r="S33" s="1627">
        <f t="shared" si="7"/>
        <v>6.4833333333333334</v>
      </c>
    </row>
    <row r="34" spans="1:19">
      <c r="A34" s="146" t="s">
        <v>145</v>
      </c>
      <c r="B34" s="322">
        <v>9.7899999999999991</v>
      </c>
      <c r="C34" s="322">
        <v>7.94</v>
      </c>
      <c r="D34" s="322">
        <v>7.65</v>
      </c>
      <c r="E34" s="322">
        <v>8.41</v>
      </c>
      <c r="F34" s="297">
        <v>5.54</v>
      </c>
      <c r="G34" s="322">
        <v>5.57</v>
      </c>
      <c r="H34" s="322">
        <v>4.33</v>
      </c>
      <c r="I34" s="322">
        <v>5.9</v>
      </c>
      <c r="J34" s="322">
        <v>7.01</v>
      </c>
      <c r="K34" s="322">
        <v>5.81</v>
      </c>
      <c r="L34" s="322">
        <v>4.95</v>
      </c>
      <c r="M34" s="322">
        <v>6.5</v>
      </c>
      <c r="N34" s="322">
        <v>8.2100000000000009</v>
      </c>
      <c r="O34" s="322">
        <v>7.81</v>
      </c>
      <c r="P34" s="1510"/>
      <c r="Q34" s="1626">
        <f t="shared" si="5"/>
        <v>6.8157142857142867</v>
      </c>
      <c r="R34" s="1627">
        <f t="shared" si="6"/>
        <v>9.7899999999999991</v>
      </c>
      <c r="S34" s="1627">
        <f t="shared" si="7"/>
        <v>5.75</v>
      </c>
    </row>
    <row r="35" spans="1:19">
      <c r="A35" s="146" t="s">
        <v>146</v>
      </c>
      <c r="B35" s="322">
        <v>9.1</v>
      </c>
      <c r="C35" s="322">
        <v>4.29</v>
      </c>
      <c r="D35" s="322">
        <v>6.3</v>
      </c>
      <c r="E35" s="322">
        <v>8.82</v>
      </c>
      <c r="F35" s="322">
        <v>4.71</v>
      </c>
      <c r="G35" s="322">
        <v>5.01</v>
      </c>
      <c r="H35" s="322">
        <v>3.42</v>
      </c>
      <c r="I35" s="322">
        <v>5.81</v>
      </c>
      <c r="J35" s="322"/>
      <c r="K35" s="322">
        <v>4.21</v>
      </c>
      <c r="L35" s="322">
        <v>4.62</v>
      </c>
      <c r="M35" s="322"/>
      <c r="N35" s="322">
        <v>7.51</v>
      </c>
      <c r="O35" s="322"/>
      <c r="P35" s="1510"/>
      <c r="Q35" s="1626">
        <f t="shared" si="5"/>
        <v>5.8</v>
      </c>
      <c r="R35" s="1627">
        <f t="shared" si="6"/>
        <v>9.1</v>
      </c>
      <c r="S35" s="1627">
        <f t="shared" si="7"/>
        <v>4.5150000000000006</v>
      </c>
    </row>
    <row r="36" spans="1:19">
      <c r="A36" s="146" t="s">
        <v>147</v>
      </c>
      <c r="B36" s="322">
        <v>7.86</v>
      </c>
      <c r="C36" s="322">
        <v>4.54</v>
      </c>
      <c r="D36" s="322">
        <v>5.05</v>
      </c>
      <c r="E36" s="322">
        <v>8.99</v>
      </c>
      <c r="F36" s="322">
        <v>3.32</v>
      </c>
      <c r="G36" s="322">
        <v>4.0199999999999996</v>
      </c>
      <c r="H36" s="322">
        <v>2.99</v>
      </c>
      <c r="I36" s="322">
        <v>5.75</v>
      </c>
      <c r="J36" s="322"/>
      <c r="K36" s="322">
        <v>2.78</v>
      </c>
      <c r="L36" s="322"/>
      <c r="M36" s="322"/>
      <c r="N36" s="322"/>
      <c r="O36" s="322"/>
      <c r="P36" s="1510"/>
      <c r="Q36" s="1626">
        <f>AVERAGE(B36:O36)</f>
        <v>5.0333333333333341</v>
      </c>
      <c r="R36" s="1627">
        <f>MAX(B36:O36)</f>
        <v>8.99</v>
      </c>
      <c r="S36" s="1627">
        <f t="shared" si="7"/>
        <v>3.84</v>
      </c>
    </row>
    <row r="37" spans="1:19">
      <c r="A37" s="149" t="s">
        <v>308</v>
      </c>
      <c r="B37" s="322">
        <f>AVERAGE(B25:B28)</f>
        <v>12.852499999999999</v>
      </c>
      <c r="C37" s="322">
        <f t="shared" ref="C37:O37" si="8">AVERAGE(C25:C28)</f>
        <v>12.2325</v>
      </c>
      <c r="D37" s="322">
        <f t="shared" si="8"/>
        <v>9.5349999999999984</v>
      </c>
      <c r="E37" s="322">
        <f t="shared" si="8"/>
        <v>8.7974999999999994</v>
      </c>
      <c r="F37" s="322">
        <f t="shared" si="8"/>
        <v>10.1975</v>
      </c>
      <c r="G37" s="322">
        <f t="shared" si="8"/>
        <v>6.36</v>
      </c>
      <c r="H37" s="322">
        <f t="shared" si="8"/>
        <v>5.8275000000000006</v>
      </c>
      <c r="I37" s="322">
        <f t="shared" si="8"/>
        <v>6.9475000000000007</v>
      </c>
      <c r="J37" s="322">
        <f t="shared" si="8"/>
        <v>8.7324999999999999</v>
      </c>
      <c r="K37" s="322">
        <f t="shared" si="8"/>
        <v>8.48</v>
      </c>
      <c r="L37" s="322">
        <f t="shared" si="8"/>
        <v>7.1624999999999996</v>
      </c>
      <c r="M37" s="322">
        <f t="shared" si="8"/>
        <v>6.6974999999999998</v>
      </c>
      <c r="N37" s="322">
        <f t="shared" si="8"/>
        <v>8.2650000000000006</v>
      </c>
      <c r="O37" s="322">
        <f t="shared" si="8"/>
        <v>8.8825000000000003</v>
      </c>
      <c r="P37" s="322"/>
      <c r="Q37" s="1622">
        <f>AVERAGE(Q25:Q28)</f>
        <v>8.6407142857142851</v>
      </c>
      <c r="R37" s="1622">
        <f>AVERAGE(R25:R28)</f>
        <v>12.852499999999999</v>
      </c>
      <c r="S37" s="1622">
        <f>AVERAGE(S25:S28)</f>
        <v>7.3079166666666673</v>
      </c>
    </row>
    <row r="38" spans="1:19">
      <c r="A38" s="146" t="s">
        <v>306</v>
      </c>
      <c r="B38" s="322">
        <f t="shared" ref="B38:O38" si="9">AVERAGE(B25:B36)</f>
        <v>11.479999999999999</v>
      </c>
      <c r="C38" s="322">
        <f t="shared" si="9"/>
        <v>10.260833333333332</v>
      </c>
      <c r="D38" s="322">
        <f t="shared" si="9"/>
        <v>8.7291666666666661</v>
      </c>
      <c r="E38" s="322">
        <f t="shared" si="9"/>
        <v>8.8016666666666659</v>
      </c>
      <c r="F38" s="322">
        <f t="shared" si="9"/>
        <v>8.2374999999999989</v>
      </c>
      <c r="G38" s="322">
        <f t="shared" si="9"/>
        <v>5.7433333333333332</v>
      </c>
      <c r="H38" s="322">
        <f t="shared" si="9"/>
        <v>5.2058333333333335</v>
      </c>
      <c r="I38" s="322">
        <f t="shared" si="9"/>
        <v>6.3358333333333343</v>
      </c>
      <c r="J38" s="322">
        <f t="shared" si="9"/>
        <v>7.8920000000000003</v>
      </c>
      <c r="K38" s="322">
        <f t="shared" si="9"/>
        <v>7.2283333333333326</v>
      </c>
      <c r="L38" s="322">
        <f t="shared" si="9"/>
        <v>6.3654545454545461</v>
      </c>
      <c r="M38" s="322">
        <f t="shared" si="9"/>
        <v>6.7010000000000005</v>
      </c>
      <c r="N38" s="322">
        <f t="shared" si="9"/>
        <v>8.2327272727272742</v>
      </c>
      <c r="O38" s="322">
        <f t="shared" si="9"/>
        <v>8.583000000000002</v>
      </c>
      <c r="P38" s="322"/>
      <c r="Q38" s="1622">
        <f>AVERAGE(Q25:Q36)</f>
        <v>7.733194444444444</v>
      </c>
      <c r="R38" s="1622">
        <f>AVERAGE(R25:R36)</f>
        <v>11.634166666666665</v>
      </c>
      <c r="S38" s="1622">
        <f>AVERAGE(S25:S36)</f>
        <v>6.4130555555555553</v>
      </c>
    </row>
    <row r="39" spans="1:19" ht="15.5">
      <c r="A39" s="2963" t="s">
        <v>297</v>
      </c>
      <c r="B39" s="2964"/>
      <c r="C39" s="2964"/>
      <c r="D39" s="2964"/>
      <c r="E39" s="2964"/>
      <c r="F39" s="2964"/>
      <c r="G39" s="2964"/>
      <c r="H39" s="2964"/>
      <c r="I39" s="2964"/>
      <c r="J39" s="2964"/>
      <c r="K39" s="2964"/>
      <c r="L39" s="2964"/>
      <c r="M39" s="2964"/>
      <c r="N39" s="2964"/>
      <c r="O39" s="2964"/>
      <c r="P39" s="2964"/>
      <c r="Q39" s="2964"/>
      <c r="R39" s="2964"/>
      <c r="S39" s="2965"/>
    </row>
    <row r="40" spans="1:19">
      <c r="A40" s="146" t="s">
        <v>239</v>
      </c>
      <c r="B40" s="322"/>
      <c r="C40" s="322">
        <v>12.96</v>
      </c>
      <c r="D40" s="322">
        <v>9.2799999999999994</v>
      </c>
      <c r="E40" s="322">
        <v>8.99</v>
      </c>
      <c r="F40" s="322">
        <v>10.09</v>
      </c>
      <c r="G40" s="322">
        <v>6.02</v>
      </c>
      <c r="H40" s="322">
        <v>6.22</v>
      </c>
      <c r="I40" s="322">
        <v>7.41</v>
      </c>
      <c r="J40" s="322">
        <v>9.6199999999999992</v>
      </c>
      <c r="K40" s="322">
        <v>8.81</v>
      </c>
      <c r="L40" s="322">
        <v>7.13</v>
      </c>
      <c r="M40" s="322">
        <v>7.41</v>
      </c>
      <c r="N40" s="322">
        <v>8.4499999999999993</v>
      </c>
      <c r="O40" s="322">
        <v>9.33</v>
      </c>
      <c r="P40" s="1510"/>
      <c r="Q40" s="1626">
        <f t="shared" ref="Q40:Q48" si="10">AVERAGE(B40:P40)</f>
        <v>8.5938461538461546</v>
      </c>
      <c r="R40" s="1627">
        <f t="shared" ref="R40:R48" si="11">MAX(B40:P40)</f>
        <v>12.96</v>
      </c>
      <c r="S40" s="1627">
        <f t="shared" ref="S40:S48" si="12">AVERAGE(H40:M40)</f>
        <v>7.7666666666666684</v>
      </c>
    </row>
    <row r="41" spans="1:19">
      <c r="A41" s="146" t="s">
        <v>140</v>
      </c>
      <c r="B41" s="322"/>
      <c r="C41" s="322">
        <v>12.68</v>
      </c>
      <c r="D41" s="322">
        <v>9.3699999999999992</v>
      </c>
      <c r="E41" s="322">
        <v>9.0500000000000007</v>
      </c>
      <c r="F41" s="322">
        <v>10.06</v>
      </c>
      <c r="G41" s="322">
        <v>5.85</v>
      </c>
      <c r="H41" s="322">
        <v>6.2</v>
      </c>
      <c r="I41" s="322">
        <v>6.7</v>
      </c>
      <c r="J41" s="322">
        <v>8.7200000000000006</v>
      </c>
      <c r="K41" s="322">
        <v>8.43</v>
      </c>
      <c r="L41" s="322">
        <v>6.5</v>
      </c>
      <c r="M41" s="322">
        <v>7.4</v>
      </c>
      <c r="N41" s="322">
        <v>8.76</v>
      </c>
      <c r="O41" s="322">
        <v>9.27</v>
      </c>
      <c r="P41" s="1510"/>
      <c r="Q41" s="1626">
        <f t="shared" si="10"/>
        <v>8.3838461538461537</v>
      </c>
      <c r="R41" s="1627">
        <f t="shared" si="11"/>
        <v>12.68</v>
      </c>
      <c r="S41" s="1627">
        <f t="shared" si="12"/>
        <v>7.3249999999999993</v>
      </c>
    </row>
    <row r="42" spans="1:19">
      <c r="A42" s="146" t="s">
        <v>240</v>
      </c>
      <c r="B42" s="322"/>
      <c r="C42" s="322">
        <v>12.36</v>
      </c>
      <c r="D42" s="322">
        <v>9.0299999999999994</v>
      </c>
      <c r="E42" s="322">
        <v>8.73</v>
      </c>
      <c r="F42" s="322">
        <v>10.039999999999999</v>
      </c>
      <c r="G42" s="322">
        <v>6.21</v>
      </c>
      <c r="H42" s="322">
        <v>5.5</v>
      </c>
      <c r="I42" s="322">
        <v>6.67</v>
      </c>
      <c r="J42" s="322">
        <v>8.2799999999999994</v>
      </c>
      <c r="K42" s="322">
        <v>7.44</v>
      </c>
      <c r="L42" s="322">
        <v>6.34</v>
      </c>
      <c r="M42" s="322">
        <v>6.95</v>
      </c>
      <c r="N42" s="322">
        <v>8.48</v>
      </c>
      <c r="O42" s="322">
        <v>8.81</v>
      </c>
      <c r="P42" s="1510"/>
      <c r="Q42" s="1626">
        <f t="shared" si="10"/>
        <v>8.0646153846153847</v>
      </c>
      <c r="R42" s="1627">
        <f t="shared" si="11"/>
        <v>12.36</v>
      </c>
      <c r="S42" s="1627">
        <f t="shared" si="12"/>
        <v>6.8633333333333342</v>
      </c>
    </row>
    <row r="43" spans="1:19">
      <c r="A43" s="146" t="s">
        <v>141</v>
      </c>
      <c r="B43" s="322"/>
      <c r="C43" s="322">
        <v>12.66</v>
      </c>
      <c r="D43" s="322">
        <v>9.3000000000000007</v>
      </c>
      <c r="E43" s="322">
        <v>8.6999999999999993</v>
      </c>
      <c r="F43" s="322">
        <v>10</v>
      </c>
      <c r="G43" s="322">
        <v>6.51</v>
      </c>
      <c r="H43" s="322">
        <v>5.81</v>
      </c>
      <c r="I43" s="322">
        <v>6.39</v>
      </c>
      <c r="J43" s="322">
        <v>7.79</v>
      </c>
      <c r="K43" s="322">
        <v>7.42</v>
      </c>
      <c r="L43" s="322">
        <v>6.65</v>
      </c>
      <c r="M43" s="322">
        <v>6.84</v>
      </c>
      <c r="N43" s="322">
        <v>8.56</v>
      </c>
      <c r="O43" s="322">
        <v>8.8800000000000008</v>
      </c>
      <c r="P43" s="1510"/>
      <c r="Q43" s="1626">
        <f t="shared" si="10"/>
        <v>8.1161538461538463</v>
      </c>
      <c r="R43" s="1627">
        <f t="shared" si="11"/>
        <v>12.66</v>
      </c>
      <c r="S43" s="1627">
        <f t="shared" si="12"/>
        <v>6.8166666666666655</v>
      </c>
    </row>
    <row r="44" spans="1:19">
      <c r="A44" s="146" t="s">
        <v>241</v>
      </c>
      <c r="B44" s="322"/>
      <c r="C44" s="322">
        <v>12.32</v>
      </c>
      <c r="D44" s="322">
        <v>9.65</v>
      </c>
      <c r="E44" s="322">
        <v>8.73</v>
      </c>
      <c r="F44" s="322">
        <v>9.7799999999999994</v>
      </c>
      <c r="G44" s="322">
        <v>6</v>
      </c>
      <c r="H44" s="322">
        <v>5.62</v>
      </c>
      <c r="I44" s="322">
        <v>6.41</v>
      </c>
      <c r="J44" s="322">
        <v>7.81</v>
      </c>
      <c r="K44" s="322">
        <v>7.82</v>
      </c>
      <c r="L44" s="322">
        <v>6.33</v>
      </c>
      <c r="M44" s="322">
        <v>6.74</v>
      </c>
      <c r="N44" s="322">
        <v>8.34</v>
      </c>
      <c r="O44" s="322">
        <v>8.8800000000000008</v>
      </c>
      <c r="P44" s="1510"/>
      <c r="Q44" s="1626">
        <f t="shared" si="10"/>
        <v>8.033076923076921</v>
      </c>
      <c r="R44" s="1627">
        <f t="shared" si="11"/>
        <v>12.32</v>
      </c>
      <c r="S44" s="1627">
        <f t="shared" si="12"/>
        <v>6.788333333333334</v>
      </c>
    </row>
    <row r="45" spans="1:19">
      <c r="A45" s="146" t="s">
        <v>142</v>
      </c>
      <c r="B45" s="322"/>
      <c r="C45" s="322">
        <v>12.53</v>
      </c>
      <c r="D45" s="322">
        <v>9.39</v>
      </c>
      <c r="E45" s="322">
        <v>8.6</v>
      </c>
      <c r="F45" s="322">
        <v>9.41</v>
      </c>
      <c r="G45" s="322">
        <v>6.03</v>
      </c>
      <c r="H45" s="322">
        <v>5.52</v>
      </c>
      <c r="I45" s="322">
        <v>6.32</v>
      </c>
      <c r="J45" s="322">
        <v>7.88</v>
      </c>
      <c r="K45" s="322">
        <v>7.9</v>
      </c>
      <c r="L45" s="322">
        <v>6.44</v>
      </c>
      <c r="M45" s="322">
        <v>7.28</v>
      </c>
      <c r="N45" s="322">
        <v>8.4700000000000006</v>
      </c>
      <c r="O45" s="322">
        <v>8.5</v>
      </c>
      <c r="P45" s="1510"/>
      <c r="Q45" s="1626">
        <f t="shared" si="10"/>
        <v>8.0207692307692309</v>
      </c>
      <c r="R45" s="1627">
        <f t="shared" si="11"/>
        <v>12.53</v>
      </c>
      <c r="S45" s="1627">
        <f t="shared" si="12"/>
        <v>6.89</v>
      </c>
    </row>
    <row r="46" spans="1:19">
      <c r="A46" s="146" t="s">
        <v>242</v>
      </c>
      <c r="B46" s="322"/>
      <c r="C46" s="322">
        <v>12.39</v>
      </c>
      <c r="D46" s="322">
        <v>10.220000000000001</v>
      </c>
      <c r="E46" s="322">
        <v>8.76</v>
      </c>
      <c r="F46" s="322">
        <v>8.9700000000000006</v>
      </c>
      <c r="G46" s="322">
        <v>5.67</v>
      </c>
      <c r="H46" s="322">
        <v>5.41</v>
      </c>
      <c r="I46" s="322">
        <v>6.17</v>
      </c>
      <c r="J46" s="322">
        <v>7.5</v>
      </c>
      <c r="K46" s="322">
        <v>7.86</v>
      </c>
      <c r="L46" s="322">
        <v>6.23</v>
      </c>
      <c r="M46" s="322">
        <v>6.88</v>
      </c>
      <c r="N46" s="322">
        <v>8.07</v>
      </c>
      <c r="O46" s="322">
        <v>8.52</v>
      </c>
      <c r="P46" s="1510"/>
      <c r="Q46" s="1626">
        <f t="shared" si="10"/>
        <v>7.8961538461538456</v>
      </c>
      <c r="R46" s="1627">
        <f t="shared" si="11"/>
        <v>12.39</v>
      </c>
      <c r="S46" s="1627">
        <f t="shared" si="12"/>
        <v>6.6750000000000007</v>
      </c>
    </row>
    <row r="47" spans="1:19">
      <c r="A47" s="146" t="s">
        <v>143</v>
      </c>
      <c r="B47" s="322"/>
      <c r="C47" s="322">
        <v>11.65</v>
      </c>
      <c r="D47" s="322">
        <v>9.36</v>
      </c>
      <c r="E47" s="322">
        <v>8.94</v>
      </c>
      <c r="F47" s="322">
        <v>8.42</v>
      </c>
      <c r="G47" s="322">
        <v>5.37</v>
      </c>
      <c r="H47" s="322">
        <v>5.31</v>
      </c>
      <c r="I47" s="322">
        <v>6.44</v>
      </c>
      <c r="J47" s="322">
        <v>6.91</v>
      </c>
      <c r="K47" s="322">
        <v>7.91</v>
      </c>
      <c r="L47" s="322">
        <v>6.25</v>
      </c>
      <c r="M47" s="322">
        <v>6.8</v>
      </c>
      <c r="N47" s="322">
        <v>7.78</v>
      </c>
      <c r="O47" s="322">
        <v>8.7200000000000006</v>
      </c>
      <c r="P47" s="1510"/>
      <c r="Q47" s="1626">
        <f t="shared" si="10"/>
        <v>7.6815384615384605</v>
      </c>
      <c r="R47" s="1627">
        <f t="shared" si="11"/>
        <v>11.65</v>
      </c>
      <c r="S47" s="1627">
        <f t="shared" si="12"/>
        <v>6.6033333333333326</v>
      </c>
    </row>
    <row r="48" spans="1:19" s="306" customFormat="1">
      <c r="A48" s="146" t="s">
        <v>144</v>
      </c>
      <c r="B48" s="322"/>
      <c r="C48" s="322">
        <v>9.66</v>
      </c>
      <c r="D48" s="322">
        <v>9.15</v>
      </c>
      <c r="E48" s="322">
        <v>8.82</v>
      </c>
      <c r="F48" s="322">
        <v>7.32</v>
      </c>
      <c r="G48" s="322">
        <v>5.66</v>
      </c>
      <c r="H48" s="322">
        <v>4.97</v>
      </c>
      <c r="I48" s="322">
        <v>6.13</v>
      </c>
      <c r="J48" s="322">
        <v>5.35</v>
      </c>
      <c r="K48" s="322">
        <v>7.4</v>
      </c>
      <c r="L48" s="322">
        <v>6.03</v>
      </c>
      <c r="M48" s="322"/>
      <c r="N48" s="322"/>
      <c r="O48" s="322">
        <v>8.5299999999999994</v>
      </c>
      <c r="P48" s="1510"/>
      <c r="Q48" s="1626">
        <f t="shared" si="10"/>
        <v>7.1836363636363645</v>
      </c>
      <c r="R48" s="1627">
        <f t="shared" si="11"/>
        <v>9.66</v>
      </c>
      <c r="S48" s="1627">
        <f t="shared" si="12"/>
        <v>5.9760000000000009</v>
      </c>
    </row>
    <row r="49" spans="1:19">
      <c r="A49" s="212" t="s">
        <v>308</v>
      </c>
      <c r="B49" s="322"/>
      <c r="C49" s="322">
        <f>AVERAGE(C40:C43)</f>
        <v>12.664999999999999</v>
      </c>
      <c r="D49" s="322">
        <f t="shared" ref="D49:O49" si="13">AVERAGE(D40:D43)</f>
        <v>9.245000000000001</v>
      </c>
      <c r="E49" s="322">
        <f t="shared" si="13"/>
        <v>8.8674999999999997</v>
      </c>
      <c r="F49" s="322">
        <f t="shared" si="13"/>
        <v>10.047499999999999</v>
      </c>
      <c r="G49" s="322">
        <f t="shared" si="13"/>
        <v>6.1474999999999991</v>
      </c>
      <c r="H49" s="322">
        <f t="shared" si="13"/>
        <v>5.9325000000000001</v>
      </c>
      <c r="I49" s="322">
        <f t="shared" si="13"/>
        <v>6.7925000000000004</v>
      </c>
      <c r="J49" s="322">
        <f t="shared" si="13"/>
        <v>8.6024999999999991</v>
      </c>
      <c r="K49" s="322">
        <f t="shared" si="13"/>
        <v>8.0250000000000004</v>
      </c>
      <c r="L49" s="322">
        <f t="shared" si="13"/>
        <v>6.6549999999999994</v>
      </c>
      <c r="M49" s="322">
        <f t="shared" si="13"/>
        <v>7.15</v>
      </c>
      <c r="N49" s="322">
        <f t="shared" si="13"/>
        <v>8.5625</v>
      </c>
      <c r="O49" s="322">
        <f t="shared" si="13"/>
        <v>9.0725000000000016</v>
      </c>
      <c r="P49" s="322"/>
      <c r="Q49" s="1622">
        <f>AVERAGE(Q40:Q43)</f>
        <v>8.2896153846153844</v>
      </c>
      <c r="R49" s="1622">
        <f>AVERAGE(R40:R43)</f>
        <v>12.664999999999999</v>
      </c>
      <c r="S49" s="1622">
        <f>AVERAGE(S40:S43)</f>
        <v>7.1929166666666671</v>
      </c>
    </row>
    <row r="50" spans="1:19">
      <c r="A50" s="212" t="s">
        <v>306</v>
      </c>
      <c r="B50" s="322"/>
      <c r="C50" s="322">
        <f t="shared" ref="C50:S50" si="14">AVERAGE(C40:C48)</f>
        <v>12.134444444444444</v>
      </c>
      <c r="D50" s="322">
        <f t="shared" si="14"/>
        <v>9.4166666666666679</v>
      </c>
      <c r="E50" s="322">
        <f t="shared" si="14"/>
        <v>8.8133333333333326</v>
      </c>
      <c r="F50" s="322">
        <f t="shared" si="14"/>
        <v>9.3433333333333337</v>
      </c>
      <c r="G50" s="322">
        <f t="shared" si="14"/>
        <v>5.9244444444444433</v>
      </c>
      <c r="H50" s="322">
        <f t="shared" si="14"/>
        <v>5.6177777777777784</v>
      </c>
      <c r="I50" s="322">
        <f t="shared" si="14"/>
        <v>6.5155555555555553</v>
      </c>
      <c r="J50" s="322">
        <f t="shared" si="14"/>
        <v>7.7622222222222224</v>
      </c>
      <c r="K50" s="322">
        <f t="shared" si="14"/>
        <v>7.8877777777777789</v>
      </c>
      <c r="L50" s="322">
        <f t="shared" si="14"/>
        <v>6.4333333333333327</v>
      </c>
      <c r="M50" s="322">
        <f t="shared" si="14"/>
        <v>7.0375000000000005</v>
      </c>
      <c r="N50" s="322">
        <f t="shared" si="14"/>
        <v>8.3637499999999996</v>
      </c>
      <c r="O50" s="322">
        <f t="shared" si="14"/>
        <v>8.826666666666668</v>
      </c>
      <c r="P50" s="322"/>
      <c r="Q50" s="1622">
        <f t="shared" si="14"/>
        <v>7.9970707070707068</v>
      </c>
      <c r="R50" s="1622">
        <f t="shared" si="14"/>
        <v>12.134444444444444</v>
      </c>
      <c r="S50" s="1622">
        <f t="shared" si="14"/>
        <v>6.8560370370370372</v>
      </c>
    </row>
    <row r="51" spans="1:19" ht="15.5">
      <c r="A51" s="2955"/>
      <c r="B51" s="2955"/>
      <c r="C51" s="2955"/>
      <c r="D51" s="2955"/>
      <c r="E51" s="2955"/>
      <c r="F51" s="2955"/>
      <c r="G51" s="2955"/>
      <c r="H51" s="2955"/>
      <c r="I51" s="2955"/>
      <c r="J51" s="2955"/>
      <c r="K51" s="2955"/>
      <c r="L51" s="2955"/>
      <c r="M51" s="2955"/>
      <c r="N51" s="2955"/>
      <c r="O51" s="2955"/>
      <c r="P51" s="2955"/>
      <c r="Q51" s="2955"/>
      <c r="R51" s="2955"/>
      <c r="S51" s="2955"/>
    </row>
    <row r="52" spans="1:19">
      <c r="A52" s="554"/>
      <c r="B52" s="579"/>
      <c r="C52" s="579"/>
      <c r="D52" s="579"/>
      <c r="E52" s="579"/>
      <c r="F52" s="579"/>
      <c r="G52" s="579"/>
      <c r="H52" s="579"/>
      <c r="I52" s="579"/>
      <c r="J52" s="579"/>
      <c r="K52" s="579"/>
      <c r="L52" s="579"/>
      <c r="M52" s="579"/>
      <c r="N52" s="579"/>
      <c r="O52" s="579"/>
      <c r="P52" s="579"/>
      <c r="Q52" s="581"/>
      <c r="R52" s="581"/>
      <c r="S52" s="581"/>
    </row>
    <row r="53" spans="1:19">
      <c r="A53" s="554"/>
      <c r="B53" s="579"/>
      <c r="C53" s="579"/>
      <c r="D53" s="579"/>
      <c r="E53" s="579"/>
      <c r="F53" s="579"/>
      <c r="G53" s="579"/>
      <c r="H53" s="579"/>
      <c r="I53" s="579"/>
      <c r="J53" s="579"/>
      <c r="K53" s="579"/>
      <c r="L53" s="579"/>
      <c r="M53" s="579"/>
      <c r="N53" s="579"/>
      <c r="O53" s="579"/>
      <c r="P53" s="579"/>
      <c r="Q53" s="581"/>
      <c r="R53" s="581"/>
      <c r="S53" s="581"/>
    </row>
    <row r="54" spans="1:19">
      <c r="A54" s="554"/>
      <c r="B54" s="579"/>
      <c r="C54" s="579"/>
      <c r="D54" s="579"/>
      <c r="E54" s="579"/>
      <c r="F54" s="579"/>
      <c r="G54" s="579"/>
      <c r="H54" s="579"/>
      <c r="I54" s="579"/>
      <c r="J54" s="579"/>
      <c r="K54" s="579"/>
      <c r="L54" s="579"/>
      <c r="M54" s="579"/>
      <c r="N54" s="579"/>
      <c r="O54" s="579"/>
      <c r="P54" s="579"/>
      <c r="Q54" s="581"/>
      <c r="R54" s="581"/>
      <c r="S54" s="581"/>
    </row>
    <row r="55" spans="1:19">
      <c r="A55" s="554"/>
      <c r="B55" s="579"/>
      <c r="C55" s="579"/>
      <c r="D55" s="579"/>
      <c r="E55" s="579"/>
      <c r="F55" s="579"/>
      <c r="G55" s="579"/>
      <c r="H55" s="579"/>
      <c r="I55" s="579"/>
      <c r="J55" s="579"/>
      <c r="K55" s="579"/>
      <c r="L55" s="579"/>
      <c r="M55" s="579"/>
      <c r="N55" s="579"/>
      <c r="O55" s="579"/>
      <c r="P55" s="579"/>
      <c r="Q55" s="581"/>
      <c r="R55" s="581"/>
      <c r="S55" s="581"/>
    </row>
    <row r="56" spans="1:19">
      <c r="A56" s="554"/>
      <c r="B56" s="579"/>
      <c r="C56" s="579"/>
      <c r="D56" s="579"/>
      <c r="E56" s="579"/>
      <c r="F56" s="579"/>
      <c r="G56" s="579"/>
      <c r="H56" s="579"/>
      <c r="I56" s="579"/>
      <c r="J56" s="579"/>
      <c r="K56" s="579"/>
      <c r="L56" s="579"/>
      <c r="M56" s="579"/>
      <c r="N56" s="579"/>
      <c r="O56" s="579"/>
      <c r="P56" s="579"/>
      <c r="Q56" s="581"/>
      <c r="R56" s="581"/>
      <c r="S56" s="581"/>
    </row>
    <row r="57" spans="1:19">
      <c r="A57" s="554"/>
      <c r="B57" s="579"/>
      <c r="C57" s="579"/>
      <c r="D57" s="579"/>
      <c r="E57" s="579"/>
      <c r="F57" s="579"/>
      <c r="G57" s="579"/>
      <c r="H57" s="579"/>
      <c r="I57" s="579"/>
      <c r="J57" s="579"/>
      <c r="K57" s="579"/>
      <c r="L57" s="579"/>
      <c r="M57" s="579"/>
      <c r="N57" s="579"/>
      <c r="O57" s="579"/>
      <c r="P57" s="579"/>
      <c r="Q57" s="581"/>
      <c r="R57" s="581"/>
      <c r="S57" s="581"/>
    </row>
    <row r="58" spans="1:19">
      <c r="A58" s="554"/>
      <c r="B58" s="579"/>
      <c r="C58" s="579"/>
      <c r="D58" s="579"/>
      <c r="E58" s="579"/>
      <c r="F58" s="579"/>
      <c r="G58" s="579"/>
      <c r="H58" s="579"/>
      <c r="I58" s="579"/>
      <c r="J58" s="579"/>
      <c r="K58" s="579"/>
      <c r="L58" s="579"/>
      <c r="M58" s="579"/>
      <c r="N58" s="579"/>
      <c r="O58" s="579"/>
      <c r="P58" s="579"/>
      <c r="Q58" s="581"/>
      <c r="R58" s="581"/>
      <c r="S58" s="581"/>
    </row>
    <row r="59" spans="1:19" s="358" customFormat="1">
      <c r="A59" s="554"/>
      <c r="B59" s="579"/>
      <c r="C59" s="579"/>
      <c r="D59" s="579"/>
      <c r="E59" s="579"/>
      <c r="F59" s="579"/>
      <c r="G59" s="579"/>
      <c r="H59" s="579"/>
      <c r="I59" s="579"/>
      <c r="J59" s="579"/>
      <c r="K59" s="579"/>
      <c r="L59" s="579"/>
      <c r="M59" s="579"/>
      <c r="N59" s="579"/>
      <c r="O59" s="579"/>
      <c r="P59" s="579"/>
      <c r="Q59" s="581"/>
      <c r="R59" s="581"/>
      <c r="S59" s="581"/>
    </row>
    <row r="60" spans="1:19">
      <c r="A60" s="554"/>
      <c r="B60" s="579"/>
      <c r="C60" s="579"/>
      <c r="D60" s="579"/>
      <c r="E60" s="580"/>
      <c r="F60" s="579"/>
      <c r="G60" s="580"/>
      <c r="H60" s="580"/>
      <c r="I60" s="580"/>
      <c r="J60" s="580"/>
      <c r="K60" s="580"/>
      <c r="L60" s="580"/>
      <c r="M60" s="580"/>
      <c r="N60" s="580"/>
      <c r="O60" s="580"/>
      <c r="P60" s="580"/>
      <c r="Q60" s="581"/>
      <c r="R60" s="581"/>
      <c r="S60" s="581"/>
    </row>
    <row r="61" spans="1:19" s="358" customFormat="1">
      <c r="A61" s="554"/>
      <c r="B61" s="579"/>
      <c r="C61" s="579"/>
      <c r="D61" s="579"/>
      <c r="E61" s="580"/>
      <c r="F61" s="579"/>
      <c r="G61" s="580"/>
      <c r="H61" s="580"/>
      <c r="I61" s="580"/>
      <c r="J61" s="580"/>
      <c r="K61" s="580"/>
      <c r="L61" s="580"/>
      <c r="M61" s="580"/>
      <c r="N61" s="580"/>
      <c r="O61" s="580"/>
      <c r="P61" s="580"/>
      <c r="Q61" s="581"/>
      <c r="R61" s="581"/>
      <c r="S61" s="582"/>
    </row>
    <row r="62" spans="1:19">
      <c r="A62" s="554"/>
      <c r="B62" s="579"/>
      <c r="C62" s="579"/>
      <c r="D62" s="579"/>
      <c r="E62" s="579"/>
      <c r="F62" s="579"/>
      <c r="G62" s="579"/>
      <c r="H62" s="579"/>
      <c r="I62" s="579"/>
      <c r="J62" s="579"/>
      <c r="K62" s="579"/>
      <c r="L62" s="579"/>
      <c r="M62" s="579"/>
      <c r="N62" s="579"/>
      <c r="O62" s="579"/>
      <c r="P62" s="579"/>
      <c r="Q62" s="579"/>
      <c r="R62" s="579"/>
      <c r="S62" s="579"/>
    </row>
    <row r="63" spans="1:19">
      <c r="A63" s="554"/>
      <c r="B63" s="579"/>
      <c r="C63" s="579"/>
      <c r="D63" s="579"/>
      <c r="E63" s="579"/>
      <c r="F63" s="579"/>
      <c r="G63" s="579"/>
      <c r="H63" s="579"/>
      <c r="I63" s="579"/>
      <c r="J63" s="579"/>
      <c r="K63" s="579"/>
      <c r="L63" s="579"/>
      <c r="M63" s="579"/>
      <c r="N63" s="579"/>
      <c r="O63" s="579"/>
      <c r="P63" s="579"/>
      <c r="Q63" s="579"/>
      <c r="R63" s="579"/>
      <c r="S63" s="579"/>
    </row>
    <row r="64" spans="1:19" ht="15.5">
      <c r="A64" s="2955"/>
      <c r="B64" s="2955"/>
      <c r="C64" s="2955"/>
      <c r="D64" s="2955"/>
      <c r="E64" s="2955"/>
      <c r="F64" s="2955"/>
      <c r="G64" s="2955"/>
      <c r="H64" s="2955"/>
      <c r="I64" s="2955"/>
      <c r="J64" s="2955"/>
      <c r="K64" s="2955"/>
      <c r="L64" s="2955"/>
      <c r="M64" s="2955"/>
      <c r="N64" s="2955"/>
      <c r="O64" s="2955"/>
      <c r="P64" s="2955"/>
      <c r="Q64" s="2955"/>
      <c r="R64" s="2955"/>
      <c r="S64" s="2955"/>
    </row>
    <row r="65" spans="1:19">
      <c r="A65" s="554"/>
      <c r="B65" s="579"/>
      <c r="C65" s="579"/>
      <c r="D65" s="579"/>
      <c r="E65" s="579"/>
      <c r="F65" s="579"/>
      <c r="G65" s="579"/>
      <c r="H65" s="579"/>
      <c r="I65" s="579"/>
      <c r="J65" s="579"/>
      <c r="K65" s="579"/>
      <c r="L65" s="579"/>
      <c r="M65" s="579"/>
      <c r="N65" s="579"/>
      <c r="O65" s="579"/>
      <c r="P65" s="579"/>
      <c r="Q65" s="581"/>
      <c r="R65" s="581"/>
      <c r="S65" s="581"/>
    </row>
    <row r="66" spans="1:19">
      <c r="A66" s="554"/>
      <c r="B66" s="579"/>
      <c r="C66" s="579"/>
      <c r="D66" s="579"/>
      <c r="E66" s="579"/>
      <c r="F66" s="579"/>
      <c r="G66" s="579"/>
      <c r="H66" s="579"/>
      <c r="I66" s="579"/>
      <c r="J66" s="579"/>
      <c r="K66" s="579"/>
      <c r="L66" s="579"/>
      <c r="M66" s="579"/>
      <c r="N66" s="579"/>
      <c r="O66" s="579"/>
      <c r="P66" s="579"/>
      <c r="Q66" s="581"/>
      <c r="R66" s="581"/>
      <c r="S66" s="581"/>
    </row>
    <row r="67" spans="1:19">
      <c r="A67" s="554"/>
      <c r="B67" s="579"/>
      <c r="C67" s="579"/>
      <c r="D67" s="579"/>
      <c r="E67" s="579"/>
      <c r="F67" s="579"/>
      <c r="G67" s="579"/>
      <c r="H67" s="579"/>
      <c r="I67" s="579"/>
      <c r="J67" s="579"/>
      <c r="K67" s="579"/>
      <c r="L67" s="579"/>
      <c r="M67" s="579"/>
      <c r="N67" s="579"/>
      <c r="O67" s="579"/>
      <c r="P67" s="579"/>
      <c r="Q67" s="581"/>
      <c r="R67" s="581"/>
      <c r="S67" s="581"/>
    </row>
    <row r="68" spans="1:19">
      <c r="A68" s="554"/>
      <c r="B68" s="579"/>
      <c r="C68" s="579"/>
      <c r="D68" s="579"/>
      <c r="E68" s="579"/>
      <c r="F68" s="579"/>
      <c r="G68" s="579"/>
      <c r="H68" s="579"/>
      <c r="I68" s="579"/>
      <c r="J68" s="579"/>
      <c r="K68" s="579"/>
      <c r="L68" s="579"/>
      <c r="M68" s="579"/>
      <c r="N68" s="579"/>
      <c r="O68" s="579"/>
      <c r="P68" s="579"/>
      <c r="Q68" s="581"/>
      <c r="R68" s="581"/>
      <c r="S68" s="581"/>
    </row>
    <row r="69" spans="1:19">
      <c r="A69" s="554"/>
      <c r="B69" s="579"/>
      <c r="C69" s="579"/>
      <c r="D69" s="579"/>
      <c r="E69" s="579"/>
      <c r="F69" s="579"/>
      <c r="G69" s="579"/>
      <c r="H69" s="579"/>
      <c r="I69" s="579"/>
      <c r="J69" s="579"/>
      <c r="K69" s="579"/>
      <c r="L69" s="579"/>
      <c r="M69" s="579"/>
      <c r="N69" s="579"/>
      <c r="O69" s="579"/>
      <c r="P69" s="579"/>
      <c r="Q69" s="581"/>
      <c r="R69" s="581"/>
      <c r="S69" s="581"/>
    </row>
    <row r="70" spans="1:19">
      <c r="A70" s="554"/>
      <c r="B70" s="579"/>
      <c r="C70" s="579"/>
      <c r="D70" s="579"/>
      <c r="E70" s="579"/>
      <c r="F70" s="579"/>
      <c r="G70" s="579"/>
      <c r="H70" s="579"/>
      <c r="I70" s="579"/>
      <c r="J70" s="579"/>
      <c r="K70" s="579"/>
      <c r="L70" s="579"/>
      <c r="M70" s="579"/>
      <c r="N70" s="579"/>
      <c r="O70" s="579"/>
      <c r="P70" s="579"/>
      <c r="Q70" s="581"/>
      <c r="R70" s="581"/>
      <c r="S70" s="581"/>
    </row>
    <row r="71" spans="1:19">
      <c r="A71" s="554"/>
      <c r="B71" s="579"/>
      <c r="C71" s="579"/>
      <c r="D71" s="579"/>
      <c r="E71" s="579"/>
      <c r="F71" s="579"/>
      <c r="G71" s="579"/>
      <c r="H71" s="579"/>
      <c r="I71" s="579"/>
      <c r="J71" s="579"/>
      <c r="K71" s="579"/>
      <c r="L71" s="579"/>
      <c r="M71" s="579"/>
      <c r="N71" s="579"/>
      <c r="O71" s="579"/>
      <c r="P71" s="579"/>
      <c r="Q71" s="581"/>
      <c r="R71" s="581"/>
      <c r="S71" s="581"/>
    </row>
    <row r="72" spans="1:19">
      <c r="A72" s="554"/>
      <c r="B72" s="579"/>
      <c r="C72" s="579"/>
      <c r="D72" s="579"/>
      <c r="E72" s="579"/>
      <c r="F72" s="579"/>
      <c r="G72" s="579"/>
      <c r="H72" s="579"/>
      <c r="I72" s="579"/>
      <c r="J72" s="579"/>
      <c r="K72" s="579"/>
      <c r="L72" s="579"/>
      <c r="M72" s="579"/>
      <c r="N72" s="579"/>
      <c r="O72" s="579"/>
      <c r="P72" s="579"/>
      <c r="Q72" s="581"/>
      <c r="R72" s="581"/>
      <c r="S72" s="581"/>
    </row>
    <row r="73" spans="1:19">
      <c r="A73" s="554"/>
      <c r="B73" s="579"/>
      <c r="C73" s="579"/>
      <c r="D73" s="579"/>
      <c r="E73" s="579"/>
      <c r="F73" s="579"/>
      <c r="G73" s="579"/>
      <c r="H73" s="579"/>
      <c r="I73" s="579"/>
      <c r="J73" s="579"/>
      <c r="K73" s="579"/>
      <c r="L73" s="579"/>
      <c r="M73" s="579"/>
      <c r="N73" s="579"/>
      <c r="O73" s="579"/>
      <c r="P73" s="579"/>
      <c r="Q73" s="581"/>
      <c r="R73" s="581"/>
      <c r="S73" s="581"/>
    </row>
    <row r="74" spans="1:19" s="358" customFormat="1">
      <c r="A74" s="554"/>
      <c r="B74" s="579"/>
      <c r="C74" s="579"/>
      <c r="D74" s="579"/>
      <c r="E74" s="579"/>
      <c r="F74" s="579"/>
      <c r="G74" s="579"/>
      <c r="H74" s="579"/>
      <c r="I74" s="579"/>
      <c r="J74" s="579"/>
      <c r="K74" s="579"/>
      <c r="L74" s="579"/>
      <c r="M74" s="579"/>
      <c r="N74" s="579"/>
      <c r="O74" s="579"/>
      <c r="P74" s="579"/>
      <c r="Q74" s="581"/>
      <c r="R74" s="581"/>
      <c r="S74" s="581"/>
    </row>
    <row r="75" spans="1:19">
      <c r="A75" s="554"/>
      <c r="B75" s="579"/>
      <c r="C75" s="579"/>
      <c r="D75" s="579"/>
      <c r="E75" s="580"/>
      <c r="F75" s="579"/>
      <c r="G75" s="579"/>
      <c r="H75" s="579"/>
      <c r="I75" s="579"/>
      <c r="J75" s="579"/>
      <c r="K75" s="579"/>
      <c r="L75" s="579"/>
      <c r="M75" s="579"/>
      <c r="N75" s="579"/>
      <c r="O75" s="579"/>
      <c r="P75" s="579"/>
      <c r="Q75" s="581"/>
      <c r="R75" s="581"/>
      <c r="S75" s="581"/>
    </row>
    <row r="76" spans="1:19" s="358" customFormat="1">
      <c r="A76" s="554"/>
      <c r="B76" s="579"/>
      <c r="C76" s="579"/>
      <c r="D76" s="579"/>
      <c r="E76" s="580"/>
      <c r="F76" s="579"/>
      <c r="G76" s="579"/>
      <c r="H76" s="579"/>
      <c r="I76" s="579"/>
      <c r="J76" s="579"/>
      <c r="K76" s="579"/>
      <c r="L76" s="579"/>
      <c r="M76" s="579"/>
      <c r="N76" s="579"/>
      <c r="O76" s="579"/>
      <c r="P76" s="579"/>
      <c r="Q76" s="581"/>
      <c r="R76" s="581"/>
      <c r="S76" s="581"/>
    </row>
    <row r="77" spans="1:19">
      <c r="A77" s="554"/>
      <c r="B77" s="579"/>
      <c r="C77" s="579"/>
      <c r="D77" s="579"/>
      <c r="E77" s="579"/>
      <c r="F77" s="579"/>
      <c r="G77" s="579"/>
      <c r="H77" s="579"/>
      <c r="I77" s="579"/>
      <c r="J77" s="579"/>
      <c r="K77" s="579"/>
      <c r="L77" s="579"/>
      <c r="M77" s="579"/>
      <c r="N77" s="579"/>
      <c r="O77" s="579"/>
      <c r="P77" s="579"/>
      <c r="Q77" s="579"/>
      <c r="R77" s="579"/>
      <c r="S77" s="579"/>
    </row>
    <row r="78" spans="1:19">
      <c r="A78" s="554"/>
      <c r="B78" s="579"/>
      <c r="C78" s="579"/>
      <c r="D78" s="579"/>
      <c r="E78" s="579"/>
      <c r="F78" s="579"/>
      <c r="G78" s="579"/>
      <c r="H78" s="579"/>
      <c r="I78" s="579"/>
      <c r="J78" s="579"/>
      <c r="K78" s="579"/>
      <c r="L78" s="579"/>
      <c r="M78" s="579"/>
      <c r="N78" s="579"/>
      <c r="O78" s="579"/>
      <c r="P78" s="579"/>
      <c r="Q78" s="579"/>
      <c r="R78" s="579"/>
      <c r="S78" s="579"/>
    </row>
  </sheetData>
  <mergeCells count="6">
    <mergeCell ref="A64:S64"/>
    <mergeCell ref="A24:S24"/>
    <mergeCell ref="A39:S39"/>
    <mergeCell ref="A51:S51"/>
    <mergeCell ref="A1:O1"/>
    <mergeCell ref="A7:S7"/>
  </mergeCells>
  <phoneticPr fontId="0" type="noConversion"/>
  <pageMargins left="0.75" right="0.75" top="1" bottom="1" header="0.5" footer="0.5"/>
  <pageSetup scale="5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AI8"/>
  <sheetViews>
    <sheetView topLeftCell="A4" workbookViewId="0">
      <selection activeCell="AB7" sqref="AB6:AB7"/>
    </sheetView>
  </sheetViews>
  <sheetFormatPr defaultRowHeight="14"/>
  <cols>
    <col min="1" max="1" width="12" bestFit="1" customWidth="1"/>
    <col min="2" max="2" width="4.36328125" bestFit="1" customWidth="1"/>
    <col min="3" max="3" width="5.453125" bestFit="1" customWidth="1"/>
    <col min="4" max="4" width="5.7265625" bestFit="1" customWidth="1"/>
    <col min="5" max="5" width="4.6328125" bestFit="1" customWidth="1"/>
    <col min="6" max="6" width="6" bestFit="1" customWidth="1"/>
    <col min="7" max="7" width="5.26953125" bestFit="1" customWidth="1"/>
    <col min="8" max="8" width="4.54296875" bestFit="1" customWidth="1"/>
    <col min="9" max="10" width="4.81640625" bestFit="1" customWidth="1"/>
    <col min="11" max="11" width="5.6328125" bestFit="1" customWidth="1"/>
    <col min="12" max="12" width="5.453125" customWidth="1"/>
    <col min="13" max="13" width="5.453125" bestFit="1" customWidth="1"/>
    <col min="14" max="14" width="5.36328125" bestFit="1" customWidth="1"/>
    <col min="15" max="15" width="5" style="358" bestFit="1" customWidth="1"/>
    <col min="16" max="16" width="5.6328125" customWidth="1"/>
    <col min="17" max="17" width="5.6328125" style="358" customWidth="1"/>
    <col min="19" max="19" width="19.1796875" bestFit="1" customWidth="1"/>
    <col min="20" max="20" width="4.54296875" bestFit="1" customWidth="1"/>
    <col min="21" max="21" width="5.453125" bestFit="1" customWidth="1"/>
    <col min="22" max="22" width="5.7265625" bestFit="1" customWidth="1"/>
    <col min="23" max="23" width="4.6328125" bestFit="1" customWidth="1"/>
    <col min="24" max="24" width="6" bestFit="1" customWidth="1"/>
    <col min="25" max="25" width="5.26953125" bestFit="1" customWidth="1"/>
    <col min="26" max="26" width="4" bestFit="1" customWidth="1"/>
    <col min="27" max="28" width="4.81640625" bestFit="1" customWidth="1"/>
    <col min="29" max="29" width="5.6328125" bestFit="1" customWidth="1"/>
    <col min="30" max="31" width="5.453125" bestFit="1" customWidth="1"/>
    <col min="32" max="32" width="5.36328125" bestFit="1" customWidth="1"/>
    <col min="33" max="33" width="5" bestFit="1" customWidth="1"/>
    <col min="34" max="34" width="5.6328125" bestFit="1" customWidth="1"/>
    <col min="35" max="35" width="5" bestFit="1" customWidth="1"/>
  </cols>
  <sheetData>
    <row r="1" spans="1:35">
      <c r="A1" s="2973" t="s">
        <v>190</v>
      </c>
      <c r="B1" s="2971" t="s">
        <v>1752</v>
      </c>
      <c r="C1" s="2972"/>
      <c r="D1" s="2972"/>
      <c r="E1" s="2972"/>
      <c r="F1" s="2972"/>
      <c r="G1" s="2972"/>
      <c r="H1" s="2972"/>
      <c r="I1" s="2972"/>
      <c r="J1" s="2972"/>
      <c r="K1" s="2972"/>
      <c r="L1" s="2972"/>
      <c r="M1" s="2972"/>
      <c r="N1" s="2972"/>
      <c r="O1" s="2972"/>
      <c r="P1" s="2972"/>
      <c r="Q1" s="2845"/>
      <c r="S1" s="2974" t="s">
        <v>191</v>
      </c>
      <c r="T1" s="2969" t="s">
        <v>1753</v>
      </c>
      <c r="U1" s="2970"/>
      <c r="V1" s="2970"/>
      <c r="W1" s="2970"/>
      <c r="X1" s="2970"/>
      <c r="Y1" s="2970"/>
      <c r="Z1" s="2970"/>
      <c r="AA1" s="2970"/>
      <c r="AB1" s="2970"/>
      <c r="AC1" s="2970"/>
      <c r="AD1" s="2970"/>
      <c r="AE1" s="2970"/>
      <c r="AF1" s="2970"/>
      <c r="AG1" s="2970"/>
      <c r="AH1" s="2970"/>
    </row>
    <row r="2" spans="1:35">
      <c r="A2" s="2973"/>
      <c r="B2" s="2846">
        <v>43108</v>
      </c>
      <c r="C2" s="2846">
        <v>43143</v>
      </c>
      <c r="D2" s="2846">
        <v>43178</v>
      </c>
      <c r="E2" s="2846">
        <v>43199</v>
      </c>
      <c r="F2" s="2846">
        <v>43234</v>
      </c>
      <c r="G2" s="2846">
        <v>43262</v>
      </c>
      <c r="H2" s="2846">
        <v>43290</v>
      </c>
      <c r="I2" s="2846">
        <v>43297</v>
      </c>
      <c r="J2" s="2846">
        <v>43319</v>
      </c>
      <c r="K2" s="2846">
        <v>43325</v>
      </c>
      <c r="L2" s="2846">
        <v>43353</v>
      </c>
      <c r="M2" s="2846">
        <v>43369</v>
      </c>
      <c r="N2" s="2846">
        <v>43388</v>
      </c>
      <c r="O2" s="2846">
        <v>43409</v>
      </c>
      <c r="P2" s="2846">
        <v>43444</v>
      </c>
      <c r="Q2" s="1628"/>
      <c r="S2" s="2974"/>
      <c r="T2" s="2744">
        <v>43108</v>
      </c>
      <c r="U2" s="2744">
        <v>43143</v>
      </c>
      <c r="V2" s="2744">
        <v>43178</v>
      </c>
      <c r="W2" s="2744">
        <v>43199</v>
      </c>
      <c r="X2" s="2744">
        <v>43234</v>
      </c>
      <c r="Y2" s="2744">
        <v>43262</v>
      </c>
      <c r="Z2" s="2744">
        <v>43290</v>
      </c>
      <c r="AA2" s="2744">
        <v>43297</v>
      </c>
      <c r="AB2" s="2744">
        <v>43319</v>
      </c>
      <c r="AC2" s="2744">
        <v>43325</v>
      </c>
      <c r="AD2" s="2744">
        <v>43353</v>
      </c>
      <c r="AE2" s="2744">
        <v>43369</v>
      </c>
      <c r="AF2" s="2744">
        <v>43388</v>
      </c>
      <c r="AG2" s="2744">
        <v>43409</v>
      </c>
      <c r="AH2" s="2744">
        <v>43444</v>
      </c>
      <c r="AI2" s="1628"/>
    </row>
    <row r="3" spans="1:35">
      <c r="A3" s="740" t="s">
        <v>194</v>
      </c>
      <c r="B3" s="2975" t="s">
        <v>192</v>
      </c>
      <c r="C3" s="2976"/>
      <c r="D3" s="2977"/>
      <c r="E3" s="2978" t="s">
        <v>193</v>
      </c>
      <c r="F3" s="2978"/>
      <c r="G3" s="2978"/>
      <c r="H3" s="2978"/>
      <c r="I3" s="2978"/>
      <c r="J3" s="2978"/>
      <c r="K3" s="2978"/>
      <c r="L3" s="2978"/>
      <c r="M3" s="2978"/>
      <c r="N3" s="2978"/>
      <c r="O3" s="2978"/>
      <c r="P3" s="2978"/>
      <c r="Q3" s="2844"/>
      <c r="S3" s="65" t="s">
        <v>201</v>
      </c>
      <c r="T3" s="739">
        <v>10.15</v>
      </c>
      <c r="U3" s="739">
        <v>10.35</v>
      </c>
      <c r="V3" s="739">
        <v>10.25</v>
      </c>
      <c r="W3" s="739">
        <v>10.199999999999999</v>
      </c>
      <c r="X3" s="739">
        <v>10.3</v>
      </c>
      <c r="Y3" s="739">
        <v>10</v>
      </c>
      <c r="Z3" s="739">
        <v>10</v>
      </c>
      <c r="AA3" s="739">
        <v>10</v>
      </c>
      <c r="AB3" s="739">
        <v>10</v>
      </c>
      <c r="AC3" s="739">
        <v>9.8000000000000007</v>
      </c>
      <c r="AD3" s="739">
        <v>10</v>
      </c>
      <c r="AE3" s="739">
        <v>9.1999999999999993</v>
      </c>
      <c r="AF3" s="739">
        <v>9.3000000000000007</v>
      </c>
      <c r="AG3" s="739">
        <v>9</v>
      </c>
      <c r="AH3" s="1629">
        <v>4</v>
      </c>
      <c r="AI3" s="41"/>
    </row>
    <row r="4" spans="1:35">
      <c r="A4" s="131" t="s">
        <v>195</v>
      </c>
      <c r="B4" s="737">
        <v>4.43</v>
      </c>
      <c r="C4" s="737">
        <v>4.05</v>
      </c>
      <c r="D4" s="737">
        <v>6.72</v>
      </c>
      <c r="E4" s="738">
        <v>9.5299999999999994</v>
      </c>
      <c r="F4" s="738">
        <v>15.63</v>
      </c>
      <c r="G4" s="738">
        <v>18.93</v>
      </c>
      <c r="H4" s="738">
        <v>22.78</v>
      </c>
      <c r="I4" s="738">
        <v>23.45</v>
      </c>
      <c r="J4" s="738">
        <v>22.2</v>
      </c>
      <c r="K4" s="738">
        <v>22.5</v>
      </c>
      <c r="L4" s="738">
        <v>19.45</v>
      </c>
      <c r="M4" s="738">
        <v>18.079999999999998</v>
      </c>
      <c r="N4" s="738">
        <v>10.84</v>
      </c>
      <c r="O4" s="738">
        <v>8.9</v>
      </c>
      <c r="P4" s="738">
        <v>2.94</v>
      </c>
      <c r="Q4" s="1508"/>
      <c r="S4" s="65" t="s">
        <v>247</v>
      </c>
      <c r="T4" s="738">
        <v>12.85</v>
      </c>
      <c r="U4" s="738">
        <v>12.38</v>
      </c>
      <c r="V4" s="738">
        <v>9.4600000000000009</v>
      </c>
      <c r="W4" s="738">
        <v>10.25</v>
      </c>
      <c r="X4" s="738">
        <v>6.93</v>
      </c>
      <c r="Y4" s="738">
        <v>6.73</v>
      </c>
      <c r="Z4" s="738">
        <v>6.37</v>
      </c>
      <c r="AA4" s="738">
        <v>7.04</v>
      </c>
      <c r="AB4" s="738">
        <v>8.0399999999999991</v>
      </c>
      <c r="AC4" s="738">
        <v>8</v>
      </c>
      <c r="AD4" s="738">
        <v>7.51</v>
      </c>
      <c r="AE4" s="738">
        <v>7.56</v>
      </c>
      <c r="AF4" s="738">
        <v>8.5</v>
      </c>
      <c r="AG4" s="738">
        <v>8.68</v>
      </c>
      <c r="AH4" s="1629">
        <v>12.4</v>
      </c>
      <c r="AI4" s="41"/>
    </row>
    <row r="5" spans="1:35">
      <c r="A5" s="131" t="s">
        <v>196</v>
      </c>
      <c r="B5" s="737">
        <v>4.3</v>
      </c>
      <c r="C5" s="737">
        <v>3.55</v>
      </c>
      <c r="D5" s="737">
        <v>7.08</v>
      </c>
      <c r="E5" s="738">
        <v>9.5299999999999994</v>
      </c>
      <c r="F5" s="738">
        <v>15.85</v>
      </c>
      <c r="G5" s="738">
        <v>19.13</v>
      </c>
      <c r="H5" s="738">
        <v>22.9</v>
      </c>
      <c r="I5" s="738">
        <v>23.15</v>
      </c>
      <c r="J5" s="738">
        <v>22.33</v>
      </c>
      <c r="K5" s="738">
        <v>22.68</v>
      </c>
      <c r="L5" s="738">
        <v>19.7</v>
      </c>
      <c r="M5" s="738">
        <v>18.149999999999999</v>
      </c>
      <c r="N5" s="738">
        <v>10.9</v>
      </c>
      <c r="O5" s="738">
        <v>8.9</v>
      </c>
      <c r="P5" s="738"/>
      <c r="Q5" s="1508"/>
      <c r="S5" s="65" t="s">
        <v>200</v>
      </c>
      <c r="T5" s="738">
        <v>11.48</v>
      </c>
      <c r="U5" s="738">
        <v>9.1199999999999992</v>
      </c>
      <c r="V5" s="738">
        <v>8.94</v>
      </c>
      <c r="W5" s="738">
        <v>7.79</v>
      </c>
      <c r="X5" s="738">
        <v>5.84</v>
      </c>
      <c r="Y5" s="738">
        <v>5.31</v>
      </c>
      <c r="Z5" s="738">
        <v>5.31</v>
      </c>
      <c r="AA5" s="738">
        <v>5.89</v>
      </c>
      <c r="AB5" s="738">
        <v>6.54</v>
      </c>
      <c r="AC5" s="738">
        <v>6.34</v>
      </c>
      <c r="AD5" s="738">
        <v>6.15</v>
      </c>
      <c r="AE5" s="738">
        <v>7.09</v>
      </c>
      <c r="AF5" s="738">
        <v>8.14</v>
      </c>
      <c r="AG5" s="738">
        <v>8.5299999999999994</v>
      </c>
      <c r="AH5" s="1629">
        <v>10.91</v>
      </c>
      <c r="AI5" s="41"/>
    </row>
    <row r="6" spans="1:35">
      <c r="A6" s="131" t="s">
        <v>197</v>
      </c>
      <c r="B6" s="737"/>
      <c r="C6" s="738">
        <v>4.43</v>
      </c>
      <c r="D6" s="738">
        <v>7.08</v>
      </c>
      <c r="E6" s="738">
        <v>9.5</v>
      </c>
      <c r="F6" s="738">
        <v>15.5</v>
      </c>
      <c r="G6" s="738">
        <v>18.95</v>
      </c>
      <c r="H6" s="738">
        <v>22.9</v>
      </c>
      <c r="I6" s="738">
        <v>23.14</v>
      </c>
      <c r="J6" s="738">
        <v>22.3</v>
      </c>
      <c r="K6" s="738">
        <v>22.68</v>
      </c>
      <c r="L6" s="738">
        <v>19.649999999999999</v>
      </c>
      <c r="M6" s="738">
        <v>18.12</v>
      </c>
      <c r="N6" s="738">
        <v>10.86</v>
      </c>
      <c r="O6" s="738">
        <v>8.9</v>
      </c>
      <c r="P6" s="738"/>
      <c r="Q6" s="1508"/>
      <c r="S6" s="2840" t="s">
        <v>1003</v>
      </c>
      <c r="T6" s="739">
        <v>6</v>
      </c>
      <c r="U6" s="739">
        <v>6</v>
      </c>
      <c r="V6" s="739">
        <v>6</v>
      </c>
      <c r="W6" s="739">
        <v>6</v>
      </c>
      <c r="X6" s="739">
        <v>6</v>
      </c>
      <c r="Y6" s="739">
        <v>6</v>
      </c>
      <c r="Z6" s="739">
        <v>6</v>
      </c>
      <c r="AA6" s="739">
        <v>6</v>
      </c>
      <c r="AB6" s="739">
        <v>6</v>
      </c>
      <c r="AC6" s="739">
        <v>6</v>
      </c>
      <c r="AD6" s="739">
        <v>6</v>
      </c>
      <c r="AE6" s="739">
        <v>6</v>
      </c>
      <c r="AF6" s="739">
        <v>6</v>
      </c>
      <c r="AG6" s="739">
        <v>6</v>
      </c>
      <c r="AH6" s="739">
        <v>6</v>
      </c>
      <c r="AI6" s="355"/>
    </row>
    <row r="7" spans="1:35">
      <c r="A7" s="741" t="s">
        <v>199</v>
      </c>
      <c r="B7" s="742">
        <v>9</v>
      </c>
      <c r="C7" s="743">
        <v>9</v>
      </c>
      <c r="D7" s="743">
        <v>9</v>
      </c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4"/>
      <c r="Q7" s="744"/>
      <c r="T7" s="569"/>
      <c r="U7" s="569"/>
      <c r="V7" s="569"/>
      <c r="W7" s="569"/>
      <c r="X7" s="569"/>
      <c r="Y7" s="569"/>
      <c r="Z7" s="569"/>
      <c r="AA7" s="569"/>
      <c r="AB7" s="569"/>
      <c r="AC7" s="569"/>
      <c r="AD7" s="569"/>
      <c r="AE7" s="569"/>
      <c r="AF7" s="569"/>
      <c r="AG7" s="569"/>
      <c r="AH7" s="569"/>
    </row>
    <row r="8" spans="1:35">
      <c r="A8" s="111" t="s">
        <v>198</v>
      </c>
      <c r="B8" s="744"/>
      <c r="C8" s="745"/>
      <c r="D8" s="745"/>
      <c r="E8" s="746">
        <v>23.3</v>
      </c>
      <c r="F8" s="746">
        <v>23.3</v>
      </c>
      <c r="G8" s="746">
        <v>23.3</v>
      </c>
      <c r="H8" s="746">
        <v>23.3</v>
      </c>
      <c r="I8" s="746">
        <v>23.3</v>
      </c>
      <c r="J8" s="746">
        <v>23.3</v>
      </c>
      <c r="K8" s="746">
        <v>23.3</v>
      </c>
      <c r="L8" s="746">
        <v>23.3</v>
      </c>
      <c r="M8" s="746">
        <v>23.3</v>
      </c>
      <c r="N8" s="746">
        <v>23.3</v>
      </c>
      <c r="O8" s="746">
        <v>23.3</v>
      </c>
      <c r="P8" s="746">
        <v>23.3</v>
      </c>
      <c r="Q8" s="1509"/>
    </row>
  </sheetData>
  <mergeCells count="6">
    <mergeCell ref="T1:AH1"/>
    <mergeCell ref="B1:P1"/>
    <mergeCell ref="A1:A2"/>
    <mergeCell ref="S1:S2"/>
    <mergeCell ref="B3:D3"/>
    <mergeCell ref="E3:P3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5" tint="0.59999389629810485"/>
    <pageSetUpPr fitToPage="1"/>
  </sheetPr>
  <dimension ref="A1:U41"/>
  <sheetViews>
    <sheetView topLeftCell="A19" zoomScale="75" zoomScaleNormal="75" workbookViewId="0">
      <selection activeCell="B7" sqref="B7:P7"/>
    </sheetView>
  </sheetViews>
  <sheetFormatPr defaultRowHeight="14"/>
  <cols>
    <col min="1" max="1" width="34.1796875" style="1" bestFit="1" customWidth="1"/>
    <col min="2" max="2" width="6.90625" bestFit="1" customWidth="1"/>
    <col min="3" max="3" width="7.7265625" bestFit="1" customWidth="1"/>
    <col min="4" max="4" width="7.54296875" bestFit="1" customWidth="1"/>
    <col min="5" max="5" width="7.08984375" bestFit="1" customWidth="1"/>
    <col min="6" max="6" width="7.54296875" bestFit="1" customWidth="1"/>
    <col min="7" max="7" width="7.7265625" bestFit="1" customWidth="1"/>
    <col min="8" max="8" width="6.90625" bestFit="1" customWidth="1"/>
    <col min="9" max="9" width="7.7265625" bestFit="1" customWidth="1"/>
    <col min="10" max="10" width="8" bestFit="1" customWidth="1"/>
    <col min="11" max="11" width="7.54296875" bestFit="1" customWidth="1"/>
    <col min="12" max="12" width="8" bestFit="1" customWidth="1"/>
    <col min="13" max="13" width="7.7265625" bestFit="1" customWidth="1"/>
    <col min="14" max="14" width="8.54296875" bestFit="1" customWidth="1"/>
    <col min="15" max="15" width="7.7265625" bestFit="1" customWidth="1"/>
    <col min="16" max="16" width="8.54296875" style="358" bestFit="1" customWidth="1"/>
    <col min="17" max="17" width="8.81640625" bestFit="1" customWidth="1"/>
    <col min="18" max="18" width="6" bestFit="1" customWidth="1"/>
    <col min="19" max="19" width="10.453125" bestFit="1" customWidth="1"/>
    <col min="20" max="21" width="11.36328125" bestFit="1" customWidth="1"/>
    <col min="22" max="22" width="9.90625" customWidth="1"/>
    <col min="23" max="23" width="10.36328125" bestFit="1" customWidth="1"/>
    <col min="24" max="24" width="10.90625" bestFit="1" customWidth="1"/>
    <col min="25" max="25" width="11.08984375" bestFit="1" customWidth="1"/>
    <col min="26" max="26" width="10.453125" customWidth="1"/>
    <col min="27" max="27" width="10.90625" customWidth="1"/>
    <col min="28" max="29" width="11.36328125" customWidth="1"/>
    <col min="30" max="30" width="10.90625" bestFit="1" customWidth="1"/>
  </cols>
  <sheetData>
    <row r="1" spans="1:21" ht="15.5">
      <c r="A1" s="2928" t="s">
        <v>3</v>
      </c>
      <c r="B1" s="2928"/>
      <c r="C1" s="2928"/>
      <c r="D1" s="2928"/>
      <c r="E1" s="2928"/>
      <c r="F1" s="2928"/>
      <c r="G1" s="2928"/>
      <c r="H1" s="2928"/>
      <c r="I1" s="2928"/>
      <c r="J1" s="2928"/>
      <c r="K1" s="2928"/>
      <c r="L1" s="2928"/>
      <c r="M1" s="2928"/>
      <c r="N1" s="2928"/>
      <c r="O1" s="2928"/>
      <c r="P1" s="1358"/>
    </row>
    <row r="2" spans="1:21" ht="15.5">
      <c r="A2" s="2928" t="s">
        <v>182</v>
      </c>
      <c r="B2" s="2928"/>
      <c r="C2" s="2928"/>
      <c r="D2" s="2928"/>
      <c r="E2" s="2928"/>
      <c r="F2" s="2928"/>
      <c r="G2" s="2928"/>
      <c r="H2" s="2928"/>
      <c r="I2" s="2928"/>
      <c r="J2" s="2928"/>
      <c r="K2" s="2928"/>
      <c r="L2" s="2928"/>
      <c r="M2" s="2928"/>
      <c r="N2" s="2928"/>
      <c r="O2" s="2928"/>
      <c r="P2" s="1358"/>
    </row>
    <row r="4" spans="1:21" s="6" customFormat="1" ht="42">
      <c r="A4" s="76" t="s">
        <v>2</v>
      </c>
      <c r="B4" s="188">
        <v>43108</v>
      </c>
      <c r="C4" s="188">
        <v>43143</v>
      </c>
      <c r="D4" s="188">
        <v>43178</v>
      </c>
      <c r="E4" s="188">
        <v>43199</v>
      </c>
      <c r="F4" s="188">
        <v>43234</v>
      </c>
      <c r="G4" s="188">
        <v>43262</v>
      </c>
      <c r="H4" s="188">
        <v>43290</v>
      </c>
      <c r="I4" s="188">
        <v>43297</v>
      </c>
      <c r="J4" s="188">
        <v>43319</v>
      </c>
      <c r="K4" s="188">
        <v>43325</v>
      </c>
      <c r="L4" s="188">
        <v>43353</v>
      </c>
      <c r="M4" s="188">
        <v>43369</v>
      </c>
      <c r="N4" s="188">
        <v>43388</v>
      </c>
      <c r="O4" s="188">
        <v>43409</v>
      </c>
      <c r="P4" s="188">
        <v>43444</v>
      </c>
      <c r="Q4" s="705" t="s">
        <v>85</v>
      </c>
      <c r="R4" s="705" t="s">
        <v>77</v>
      </c>
      <c r="S4" s="705" t="s">
        <v>86</v>
      </c>
      <c r="T4" s="78" t="s">
        <v>87</v>
      </c>
      <c r="U4" s="78" t="s">
        <v>88</v>
      </c>
    </row>
    <row r="5" spans="1:21" s="2" customFormat="1">
      <c r="A5" s="80" t="s">
        <v>311</v>
      </c>
      <c r="B5" s="1532">
        <v>16</v>
      </c>
      <c r="C5" s="1532">
        <v>8</v>
      </c>
      <c r="D5" s="1532">
        <v>8</v>
      </c>
      <c r="E5" s="1532">
        <v>21</v>
      </c>
      <c r="F5" s="1532">
        <v>18</v>
      </c>
      <c r="G5" s="1532">
        <v>53</v>
      </c>
      <c r="H5" s="1532">
        <v>35</v>
      </c>
      <c r="I5" s="1532">
        <v>24</v>
      </c>
      <c r="J5" s="1532">
        <v>11</v>
      </c>
      <c r="K5" s="541">
        <v>87</v>
      </c>
      <c r="L5" s="308">
        <v>5</v>
      </c>
      <c r="M5" s="1532">
        <v>29</v>
      </c>
      <c r="N5" s="541">
        <v>10</v>
      </c>
      <c r="O5" s="1532">
        <v>6</v>
      </c>
      <c r="P5" s="1532">
        <v>18</v>
      </c>
      <c r="Q5" s="326">
        <f t="shared" ref="Q5:Q11" si="0">AVERAGE(B5:O5)</f>
        <v>23.642857142857142</v>
      </c>
      <c r="R5" s="326">
        <f t="shared" ref="R5:R11" si="1">MAX(B5:O5)</f>
        <v>87</v>
      </c>
      <c r="S5" s="326">
        <f t="shared" ref="S5:S11" si="2">AVERAGE(H5:M5)</f>
        <v>31.833333333333332</v>
      </c>
      <c r="T5" s="77">
        <f>AVERAGE(B9:O10)</f>
        <v>44.642857142857146</v>
      </c>
      <c r="U5" s="77">
        <f>AVERAGE(H9:M10)</f>
        <v>61.833333333333336</v>
      </c>
    </row>
    <row r="6" spans="1:21" s="2" customFormat="1">
      <c r="A6" s="80" t="s">
        <v>310</v>
      </c>
      <c r="B6" s="1532">
        <v>32</v>
      </c>
      <c r="C6" s="1532">
        <v>21</v>
      </c>
      <c r="D6" s="1532">
        <v>56</v>
      </c>
      <c r="E6" s="1532">
        <v>17</v>
      </c>
      <c r="F6" s="1532">
        <v>30</v>
      </c>
      <c r="G6" s="1532">
        <v>62</v>
      </c>
      <c r="H6" s="1532">
        <v>35</v>
      </c>
      <c r="I6" s="1532">
        <v>110</v>
      </c>
      <c r="J6" s="1532">
        <v>27</v>
      </c>
      <c r="K6" s="541">
        <v>32</v>
      </c>
      <c r="L6" s="308">
        <v>103</v>
      </c>
      <c r="M6" s="1532">
        <v>24</v>
      </c>
      <c r="N6" s="541">
        <v>79</v>
      </c>
      <c r="O6" s="1532">
        <v>51</v>
      </c>
      <c r="P6" s="1532">
        <v>70</v>
      </c>
      <c r="Q6" s="326">
        <f t="shared" si="0"/>
        <v>48.5</v>
      </c>
      <c r="R6" s="326">
        <f t="shared" si="1"/>
        <v>110</v>
      </c>
      <c r="S6" s="326">
        <f t="shared" si="2"/>
        <v>55.166666666666664</v>
      </c>
      <c r="T6" s="56"/>
      <c r="U6" s="56"/>
    </row>
    <row r="7" spans="1:21" s="2" customFormat="1">
      <c r="A7" s="81" t="s">
        <v>312</v>
      </c>
      <c r="B7" s="1532">
        <v>16</v>
      </c>
      <c r="C7" s="1532">
        <v>15</v>
      </c>
      <c r="D7" s="1532">
        <v>12</v>
      </c>
      <c r="E7" s="1532">
        <v>16</v>
      </c>
      <c r="F7" s="1532">
        <v>14</v>
      </c>
      <c r="G7" s="1532">
        <v>44</v>
      </c>
      <c r="H7" s="1532">
        <v>19</v>
      </c>
      <c r="I7" s="1532">
        <v>33</v>
      </c>
      <c r="J7" s="1532">
        <v>46</v>
      </c>
      <c r="K7" s="541">
        <v>46</v>
      </c>
      <c r="L7" s="308">
        <v>62</v>
      </c>
      <c r="M7" s="1532">
        <v>43</v>
      </c>
      <c r="N7" s="541">
        <v>48</v>
      </c>
      <c r="O7" s="1532">
        <v>36</v>
      </c>
      <c r="P7" s="1532">
        <v>42</v>
      </c>
      <c r="Q7" s="326">
        <f t="shared" si="0"/>
        <v>32.142857142857146</v>
      </c>
      <c r="R7" s="326">
        <f t="shared" si="1"/>
        <v>62</v>
      </c>
      <c r="S7" s="326">
        <f t="shared" si="2"/>
        <v>41.5</v>
      </c>
      <c r="T7" s="56"/>
      <c r="U7" s="56"/>
    </row>
    <row r="8" spans="1:21" s="2" customFormat="1">
      <c r="A8" s="81" t="s">
        <v>972</v>
      </c>
      <c r="B8" s="1532">
        <v>17</v>
      </c>
      <c r="C8" s="1532">
        <v>19</v>
      </c>
      <c r="D8" s="1532">
        <v>18</v>
      </c>
      <c r="E8" s="1532">
        <v>27</v>
      </c>
      <c r="F8" s="1532">
        <v>30</v>
      </c>
      <c r="G8" s="1532">
        <v>46</v>
      </c>
      <c r="H8" s="1532">
        <v>20</v>
      </c>
      <c r="I8" s="1532">
        <v>41</v>
      </c>
      <c r="J8" s="1532">
        <v>25</v>
      </c>
      <c r="K8" s="541">
        <v>26</v>
      </c>
      <c r="L8" s="308">
        <v>26</v>
      </c>
      <c r="M8" s="1532">
        <v>17</v>
      </c>
      <c r="N8" s="541">
        <v>26</v>
      </c>
      <c r="O8" s="1532">
        <v>19</v>
      </c>
      <c r="P8" s="1532">
        <v>19</v>
      </c>
      <c r="Q8" s="326">
        <f t="shared" si="0"/>
        <v>25.5</v>
      </c>
      <c r="R8" s="326">
        <f t="shared" si="1"/>
        <v>46</v>
      </c>
      <c r="S8" s="326">
        <f t="shared" si="2"/>
        <v>25.833333333333332</v>
      </c>
      <c r="T8" s="56"/>
      <c r="U8" s="56"/>
    </row>
    <row r="9" spans="1:21" s="2" customFormat="1">
      <c r="A9" s="81" t="s">
        <v>317</v>
      </c>
      <c r="B9" s="1532">
        <v>13</v>
      </c>
      <c r="C9" s="1532">
        <v>25</v>
      </c>
      <c r="D9" s="1532">
        <v>15</v>
      </c>
      <c r="E9" s="1532">
        <v>16</v>
      </c>
      <c r="F9" s="1532">
        <v>16</v>
      </c>
      <c r="G9" s="1532">
        <v>39</v>
      </c>
      <c r="H9" s="1532">
        <v>64</v>
      </c>
      <c r="I9" s="1532">
        <v>35</v>
      </c>
      <c r="J9" s="1532">
        <v>50</v>
      </c>
      <c r="K9" s="541">
        <v>48</v>
      </c>
      <c r="L9" s="308">
        <v>94</v>
      </c>
      <c r="M9" s="1532">
        <v>48</v>
      </c>
      <c r="N9" s="541">
        <v>48</v>
      </c>
      <c r="O9" s="1532">
        <v>69</v>
      </c>
      <c r="P9" s="1532">
        <v>50</v>
      </c>
      <c r="Q9" s="326">
        <f t="shared" si="0"/>
        <v>41.428571428571431</v>
      </c>
      <c r="R9" s="326">
        <f t="shared" si="1"/>
        <v>94</v>
      </c>
      <c r="S9" s="326">
        <f t="shared" si="2"/>
        <v>56.5</v>
      </c>
      <c r="T9" s="56"/>
      <c r="U9" s="56"/>
    </row>
    <row r="10" spans="1:21" s="2" customFormat="1">
      <c r="A10" s="81" t="s">
        <v>319</v>
      </c>
      <c r="B10" s="1532">
        <v>14</v>
      </c>
      <c r="C10" s="1532">
        <v>19</v>
      </c>
      <c r="D10" s="1532">
        <v>38</v>
      </c>
      <c r="E10" s="1532">
        <v>24</v>
      </c>
      <c r="F10" s="1532">
        <v>15</v>
      </c>
      <c r="G10" s="1532">
        <v>50</v>
      </c>
      <c r="H10" s="1532">
        <v>45</v>
      </c>
      <c r="I10" s="1532">
        <v>72</v>
      </c>
      <c r="J10" s="1532">
        <v>83</v>
      </c>
      <c r="K10" s="2847">
        <v>69</v>
      </c>
      <c r="L10" s="308">
        <v>71</v>
      </c>
      <c r="M10" s="1532">
        <v>63</v>
      </c>
      <c r="N10" s="2847">
        <v>54</v>
      </c>
      <c r="O10" s="1532">
        <v>53</v>
      </c>
      <c r="P10" s="1532">
        <v>61</v>
      </c>
      <c r="Q10" s="326">
        <f t="shared" si="0"/>
        <v>47.857142857142854</v>
      </c>
      <c r="R10" s="326">
        <f t="shared" si="1"/>
        <v>83</v>
      </c>
      <c r="S10" s="326">
        <f t="shared" si="2"/>
        <v>67.166666666666671</v>
      </c>
      <c r="T10" s="56"/>
      <c r="U10" s="56"/>
    </row>
    <row r="11" spans="1:21">
      <c r="A11" s="153" t="s">
        <v>318</v>
      </c>
      <c r="B11" s="634">
        <f>AVERAGE(B9:B10)</f>
        <v>13.5</v>
      </c>
      <c r="C11" s="634">
        <f t="shared" ref="C11:P11" si="3">AVERAGE(C9:C10)</f>
        <v>22</v>
      </c>
      <c r="D11" s="634">
        <f t="shared" si="3"/>
        <v>26.5</v>
      </c>
      <c r="E11" s="634">
        <f t="shared" si="3"/>
        <v>20</v>
      </c>
      <c r="F11" s="634">
        <f t="shared" si="3"/>
        <v>15.5</v>
      </c>
      <c r="G11" s="634">
        <f t="shared" si="3"/>
        <v>44.5</v>
      </c>
      <c r="H11" s="634">
        <f t="shared" si="3"/>
        <v>54.5</v>
      </c>
      <c r="I11" s="634">
        <f t="shared" si="3"/>
        <v>53.5</v>
      </c>
      <c r="J11" s="634">
        <f t="shared" si="3"/>
        <v>66.5</v>
      </c>
      <c r="K11" s="634">
        <f t="shared" si="3"/>
        <v>58.5</v>
      </c>
      <c r="L11" s="634">
        <f t="shared" si="3"/>
        <v>82.5</v>
      </c>
      <c r="M11" s="634">
        <f t="shared" si="3"/>
        <v>55.5</v>
      </c>
      <c r="N11" s="634">
        <f t="shared" si="3"/>
        <v>51</v>
      </c>
      <c r="O11" s="634">
        <f t="shared" si="3"/>
        <v>61</v>
      </c>
      <c r="P11" s="1515">
        <f t="shared" si="3"/>
        <v>55.5</v>
      </c>
      <c r="Q11" s="326">
        <f t="shared" si="0"/>
        <v>44.642857142857146</v>
      </c>
      <c r="R11" s="326">
        <f t="shared" si="1"/>
        <v>82.5</v>
      </c>
      <c r="S11" s="326">
        <f t="shared" si="2"/>
        <v>61.833333333333336</v>
      </c>
    </row>
    <row r="12" spans="1:21">
      <c r="B12" s="2979"/>
      <c r="C12" s="2979"/>
      <c r="D12" s="2979"/>
      <c r="E12" s="2979"/>
      <c r="F12" s="2979"/>
    </row>
    <row r="13" spans="1:21">
      <c r="B13" s="2979"/>
      <c r="C13" s="2979"/>
      <c r="D13" s="2979"/>
      <c r="E13" s="2979"/>
      <c r="F13" s="2979"/>
    </row>
    <row r="14" spans="1:21">
      <c r="A14" s="2980" t="s">
        <v>63</v>
      </c>
      <c r="B14" s="2980"/>
      <c r="C14" s="2980"/>
      <c r="D14" s="2980"/>
      <c r="E14" s="2980"/>
      <c r="F14" s="2980"/>
      <c r="G14" s="2980"/>
      <c r="H14" s="2980"/>
      <c r="I14" s="2980"/>
      <c r="J14" s="2980"/>
      <c r="K14" s="2980"/>
      <c r="L14" s="2980"/>
      <c r="M14" s="2980"/>
    </row>
    <row r="15" spans="1:21">
      <c r="A15" s="75"/>
      <c r="B15" s="75" t="s">
        <v>65</v>
      </c>
      <c r="C15" s="75" t="s">
        <v>66</v>
      </c>
      <c r="D15" s="75" t="s">
        <v>67</v>
      </c>
      <c r="E15" s="75" t="s">
        <v>68</v>
      </c>
      <c r="F15" s="75" t="s">
        <v>69</v>
      </c>
      <c r="G15" s="75" t="s">
        <v>70</v>
      </c>
      <c r="H15" s="75" t="s">
        <v>71</v>
      </c>
      <c r="I15" s="75" t="s">
        <v>72</v>
      </c>
      <c r="J15" s="75" t="s">
        <v>73</v>
      </c>
      <c r="K15" s="75" t="s">
        <v>74</v>
      </c>
      <c r="L15" s="75" t="s">
        <v>75</v>
      </c>
      <c r="M15" s="75" t="s">
        <v>76</v>
      </c>
    </row>
    <row r="16" spans="1:21">
      <c r="A16" s="80" t="s">
        <v>311</v>
      </c>
      <c r="B16" s="44">
        <f t="shared" ref="B16:G16" si="4">B5</f>
        <v>16</v>
      </c>
      <c r="C16" s="44">
        <f t="shared" si="4"/>
        <v>8</v>
      </c>
      <c r="D16" s="44">
        <f t="shared" si="4"/>
        <v>8</v>
      </c>
      <c r="E16" s="44">
        <f t="shared" si="4"/>
        <v>21</v>
      </c>
      <c r="F16" s="44">
        <f t="shared" si="4"/>
        <v>18</v>
      </c>
      <c r="G16" s="44">
        <f t="shared" si="4"/>
        <v>53</v>
      </c>
      <c r="H16" s="44">
        <f t="shared" ref="H16:H22" si="5">AVERAGE(H5:I5)</f>
        <v>29.5</v>
      </c>
      <c r="I16" s="44">
        <f t="shared" ref="I16:I22" si="6">AVERAGE(J5:K5)</f>
        <v>49</v>
      </c>
      <c r="J16" s="44">
        <f t="shared" ref="J16:J22" si="7">AVERAGE(L5:M5)</f>
        <v>17</v>
      </c>
      <c r="K16" s="44">
        <f t="shared" ref="K16:M22" si="8">N5</f>
        <v>10</v>
      </c>
      <c r="L16" s="44">
        <f t="shared" si="8"/>
        <v>6</v>
      </c>
      <c r="M16" s="44">
        <f t="shared" si="8"/>
        <v>18</v>
      </c>
    </row>
    <row r="17" spans="1:13">
      <c r="A17" s="80" t="s">
        <v>310</v>
      </c>
      <c r="B17" s="44">
        <f t="shared" ref="B17:G19" si="9">B6</f>
        <v>32</v>
      </c>
      <c r="C17" s="44">
        <f t="shared" si="9"/>
        <v>21</v>
      </c>
      <c r="D17" s="44">
        <f t="shared" si="9"/>
        <v>56</v>
      </c>
      <c r="E17" s="44">
        <f t="shared" si="9"/>
        <v>17</v>
      </c>
      <c r="F17" s="44">
        <f t="shared" si="9"/>
        <v>30</v>
      </c>
      <c r="G17" s="44">
        <f t="shared" si="9"/>
        <v>62</v>
      </c>
      <c r="H17" s="44">
        <f t="shared" si="5"/>
        <v>72.5</v>
      </c>
      <c r="I17" s="44">
        <f t="shared" si="6"/>
        <v>29.5</v>
      </c>
      <c r="J17" s="44">
        <f t="shared" si="7"/>
        <v>63.5</v>
      </c>
      <c r="K17" s="44">
        <f t="shared" si="8"/>
        <v>79</v>
      </c>
      <c r="L17" s="44">
        <f t="shared" si="8"/>
        <v>51</v>
      </c>
      <c r="M17" s="44">
        <f t="shared" si="8"/>
        <v>70</v>
      </c>
    </row>
    <row r="18" spans="1:13">
      <c r="A18" s="81" t="s">
        <v>312</v>
      </c>
      <c r="B18" s="44">
        <f t="shared" si="9"/>
        <v>16</v>
      </c>
      <c r="C18" s="44">
        <f t="shared" si="9"/>
        <v>15</v>
      </c>
      <c r="D18" s="44">
        <f t="shared" si="9"/>
        <v>12</v>
      </c>
      <c r="E18" s="44">
        <f t="shared" si="9"/>
        <v>16</v>
      </c>
      <c r="F18" s="44">
        <f t="shared" si="9"/>
        <v>14</v>
      </c>
      <c r="G18" s="44">
        <f t="shared" si="9"/>
        <v>44</v>
      </c>
      <c r="H18" s="44">
        <f t="shared" si="5"/>
        <v>26</v>
      </c>
      <c r="I18" s="44">
        <f t="shared" si="6"/>
        <v>46</v>
      </c>
      <c r="J18" s="44">
        <f t="shared" si="7"/>
        <v>52.5</v>
      </c>
      <c r="K18" s="44">
        <f t="shared" si="8"/>
        <v>48</v>
      </c>
      <c r="L18" s="44">
        <f t="shared" si="8"/>
        <v>36</v>
      </c>
      <c r="M18" s="44">
        <f t="shared" si="8"/>
        <v>42</v>
      </c>
    </row>
    <row r="19" spans="1:13" s="358" customFormat="1">
      <c r="A19" s="81" t="s">
        <v>972</v>
      </c>
      <c r="B19" s="44">
        <f t="shared" si="9"/>
        <v>17</v>
      </c>
      <c r="C19" s="44">
        <f t="shared" si="9"/>
        <v>19</v>
      </c>
      <c r="D19" s="44">
        <f t="shared" si="9"/>
        <v>18</v>
      </c>
      <c r="E19" s="44">
        <f t="shared" si="9"/>
        <v>27</v>
      </c>
      <c r="F19" s="44">
        <f t="shared" si="9"/>
        <v>30</v>
      </c>
      <c r="G19" s="44">
        <f t="shared" si="9"/>
        <v>46</v>
      </c>
      <c r="H19" s="44">
        <f t="shared" si="5"/>
        <v>30.5</v>
      </c>
      <c r="I19" s="44">
        <f t="shared" si="6"/>
        <v>25.5</v>
      </c>
      <c r="J19" s="44">
        <f t="shared" si="7"/>
        <v>21.5</v>
      </c>
      <c r="K19" s="44">
        <f t="shared" si="8"/>
        <v>26</v>
      </c>
      <c r="L19" s="44">
        <f t="shared" si="8"/>
        <v>19</v>
      </c>
      <c r="M19" s="44">
        <f t="shared" si="8"/>
        <v>19</v>
      </c>
    </row>
    <row r="20" spans="1:13">
      <c r="A20" s="79" t="s">
        <v>390</v>
      </c>
      <c r="B20" s="44">
        <f t="shared" ref="B20:G22" si="10">B9</f>
        <v>13</v>
      </c>
      <c r="C20" s="44">
        <f t="shared" si="10"/>
        <v>25</v>
      </c>
      <c r="D20" s="44">
        <f t="shared" si="10"/>
        <v>15</v>
      </c>
      <c r="E20" s="44">
        <f t="shared" si="10"/>
        <v>16</v>
      </c>
      <c r="F20" s="44">
        <f t="shared" si="10"/>
        <v>16</v>
      </c>
      <c r="G20" s="44">
        <f t="shared" si="10"/>
        <v>39</v>
      </c>
      <c r="H20" s="44">
        <f t="shared" si="5"/>
        <v>49.5</v>
      </c>
      <c r="I20" s="44">
        <f t="shared" si="6"/>
        <v>49</v>
      </c>
      <c r="J20" s="44">
        <f t="shared" si="7"/>
        <v>71</v>
      </c>
      <c r="K20" s="44">
        <f t="shared" ref="K20:L22" si="11">N9</f>
        <v>48</v>
      </c>
      <c r="L20" s="44">
        <f t="shared" si="11"/>
        <v>69</v>
      </c>
      <c r="M20" s="44">
        <f t="shared" si="8"/>
        <v>50</v>
      </c>
    </row>
    <row r="21" spans="1:13">
      <c r="A21" s="79" t="s">
        <v>391</v>
      </c>
      <c r="B21" s="44">
        <f t="shared" si="10"/>
        <v>14</v>
      </c>
      <c r="C21" s="44">
        <f t="shared" si="10"/>
        <v>19</v>
      </c>
      <c r="D21" s="44">
        <f t="shared" si="10"/>
        <v>38</v>
      </c>
      <c r="E21" s="44">
        <f t="shared" si="10"/>
        <v>24</v>
      </c>
      <c r="F21" s="44">
        <f t="shared" si="10"/>
        <v>15</v>
      </c>
      <c r="G21" s="44">
        <f t="shared" si="10"/>
        <v>50</v>
      </c>
      <c r="H21" s="44">
        <f t="shared" si="5"/>
        <v>58.5</v>
      </c>
      <c r="I21" s="44">
        <f t="shared" si="6"/>
        <v>76</v>
      </c>
      <c r="J21" s="44">
        <f t="shared" si="7"/>
        <v>67</v>
      </c>
      <c r="K21" s="44">
        <f t="shared" si="11"/>
        <v>54</v>
      </c>
      <c r="L21" s="44">
        <f t="shared" si="11"/>
        <v>53</v>
      </c>
      <c r="M21" s="44">
        <f t="shared" si="8"/>
        <v>61</v>
      </c>
    </row>
    <row r="22" spans="1:13">
      <c r="A22" s="153" t="s">
        <v>318</v>
      </c>
      <c r="B22" s="44">
        <f t="shared" si="10"/>
        <v>13.5</v>
      </c>
      <c r="C22" s="44">
        <f t="shared" si="10"/>
        <v>22</v>
      </c>
      <c r="D22" s="44">
        <f t="shared" si="10"/>
        <v>26.5</v>
      </c>
      <c r="E22" s="44">
        <f t="shared" si="10"/>
        <v>20</v>
      </c>
      <c r="F22" s="44">
        <f t="shared" si="10"/>
        <v>15.5</v>
      </c>
      <c r="G22" s="44">
        <f t="shared" si="10"/>
        <v>44.5</v>
      </c>
      <c r="H22" s="44">
        <f t="shared" si="5"/>
        <v>54</v>
      </c>
      <c r="I22" s="44">
        <f t="shared" si="6"/>
        <v>62.5</v>
      </c>
      <c r="J22" s="44">
        <f t="shared" si="7"/>
        <v>69</v>
      </c>
      <c r="K22" s="44">
        <f t="shared" si="11"/>
        <v>51</v>
      </c>
      <c r="L22" s="44">
        <f t="shared" si="11"/>
        <v>61</v>
      </c>
      <c r="M22" s="44">
        <f t="shared" si="8"/>
        <v>55.5</v>
      </c>
    </row>
    <row r="30" spans="1:13">
      <c r="A30" s="45"/>
    </row>
    <row r="31" spans="1:13">
      <c r="A31"/>
    </row>
    <row r="32" spans="1:13">
      <c r="B32" s="1"/>
      <c r="C32" s="1"/>
      <c r="D32" s="1"/>
      <c r="E32" s="1"/>
    </row>
    <row r="33" spans="2:5">
      <c r="B33" s="1"/>
      <c r="C33" s="1"/>
      <c r="D33" s="1"/>
      <c r="E33" s="1"/>
    </row>
    <row r="34" spans="2:5">
      <c r="B34" s="2"/>
      <c r="C34" s="2"/>
      <c r="D34" s="2"/>
      <c r="E34" s="2"/>
    </row>
    <row r="35" spans="2:5">
      <c r="B35" s="2"/>
      <c r="C35" s="2"/>
      <c r="D35" s="2"/>
      <c r="E35" s="2"/>
    </row>
    <row r="36" spans="2:5">
      <c r="B36" s="2"/>
      <c r="C36" s="2"/>
      <c r="D36" s="2"/>
      <c r="E36" s="2"/>
    </row>
    <row r="37" spans="2:5">
      <c r="B37" s="2"/>
      <c r="C37" s="2"/>
      <c r="D37" s="2"/>
      <c r="E37" s="2"/>
    </row>
    <row r="38" spans="2:5">
      <c r="B38" s="2"/>
      <c r="C38" s="2"/>
      <c r="D38" s="2"/>
      <c r="E38" s="2"/>
    </row>
    <row r="39" spans="2:5">
      <c r="B39" s="2"/>
      <c r="C39" s="2"/>
      <c r="D39" s="2"/>
      <c r="E39" s="2"/>
    </row>
    <row r="40" spans="2:5">
      <c r="B40" s="2"/>
      <c r="C40" s="2"/>
      <c r="D40" s="2"/>
      <c r="E40" s="2"/>
    </row>
    <row r="41" spans="2:5">
      <c r="B41" s="2"/>
      <c r="C41" s="2"/>
      <c r="D41" s="2"/>
      <c r="E41" s="2"/>
    </row>
  </sheetData>
  <mergeCells count="5">
    <mergeCell ref="A1:O1"/>
    <mergeCell ref="A2:O2"/>
    <mergeCell ref="B12:F12"/>
    <mergeCell ref="B13:F13"/>
    <mergeCell ref="A14:M14"/>
  </mergeCells>
  <phoneticPr fontId="0" type="noConversion"/>
  <pageMargins left="0.75" right="0.75" top="1" bottom="1" header="0.5" footer="0.5"/>
  <pageSetup scale="65" orientation="landscape" horizontalDpi="4294967294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</sheetPr>
  <dimension ref="A1:U22"/>
  <sheetViews>
    <sheetView topLeftCell="A25" workbookViewId="0">
      <selection activeCell="B7" sqref="B7:P7"/>
    </sheetView>
  </sheetViews>
  <sheetFormatPr defaultRowHeight="11.5"/>
  <cols>
    <col min="1" max="1" width="27.453125" style="569" customWidth="1"/>
    <col min="2" max="2" width="6.6328125" style="569" bestFit="1" customWidth="1"/>
    <col min="3" max="3" width="6.08984375" style="569" bestFit="1" customWidth="1"/>
    <col min="4" max="4" width="6.54296875" style="569" bestFit="1" customWidth="1"/>
    <col min="5" max="5" width="5.26953125" style="569" bestFit="1" customWidth="1"/>
    <col min="6" max="6" width="6.7265625" style="569" bestFit="1" customWidth="1"/>
    <col min="7" max="7" width="6" style="569" bestFit="1" customWidth="1"/>
    <col min="8" max="8" width="4.81640625" style="569" bestFit="1" customWidth="1"/>
    <col min="9" max="9" width="5.54296875" style="569" bestFit="1" customWidth="1"/>
    <col min="10" max="10" width="5.453125" style="569" bestFit="1" customWidth="1"/>
    <col min="11" max="11" width="6.36328125" style="569" bestFit="1" customWidth="1"/>
    <col min="12" max="13" width="6.08984375" style="569" bestFit="1" customWidth="1"/>
    <col min="14" max="14" width="6.1796875" style="569" bestFit="1" customWidth="1"/>
    <col min="15" max="15" width="5.453125" style="569" bestFit="1" customWidth="1"/>
    <col min="16" max="16" width="6.26953125" style="569" bestFit="1" customWidth="1"/>
    <col min="17" max="17" width="7.54296875" style="569" bestFit="1" customWidth="1"/>
    <col min="18" max="18" width="4.7265625" style="569" bestFit="1" customWidth="1"/>
    <col min="19" max="19" width="8.08984375" style="569" bestFit="1" customWidth="1"/>
    <col min="20" max="20" width="8.6328125" style="569" bestFit="1" customWidth="1"/>
    <col min="21" max="16384" width="8.7265625" style="569"/>
  </cols>
  <sheetData>
    <row r="1" spans="1:21">
      <c r="A1" s="2981" t="s">
        <v>3</v>
      </c>
      <c r="B1" s="2981"/>
      <c r="C1" s="2981"/>
      <c r="D1" s="2981"/>
      <c r="E1" s="2981"/>
      <c r="F1" s="2981"/>
      <c r="G1" s="2981"/>
      <c r="H1" s="2981"/>
      <c r="I1" s="2981"/>
      <c r="J1" s="2981"/>
      <c r="K1" s="2981"/>
      <c r="L1" s="2981"/>
      <c r="M1" s="2981"/>
      <c r="N1" s="2981"/>
      <c r="O1" s="2981"/>
      <c r="P1" s="1359"/>
    </row>
    <row r="2" spans="1:21">
      <c r="A2" s="2981" t="s">
        <v>480</v>
      </c>
      <c r="B2" s="2981"/>
      <c r="C2" s="2981"/>
      <c r="D2" s="2981"/>
      <c r="E2" s="2981"/>
      <c r="F2" s="2981"/>
      <c r="G2" s="2981"/>
      <c r="H2" s="2981"/>
      <c r="I2" s="2981"/>
      <c r="J2" s="2981"/>
      <c r="K2" s="2981"/>
      <c r="L2" s="2981"/>
      <c r="M2" s="2981"/>
      <c r="N2" s="2981"/>
      <c r="O2" s="2981"/>
      <c r="P2" s="1359"/>
    </row>
    <row r="3" spans="1:21">
      <c r="A3" s="690"/>
    </row>
    <row r="4" spans="1:21" ht="34.5">
      <c r="A4" s="691" t="s">
        <v>2</v>
      </c>
      <c r="B4" s="188">
        <v>43108</v>
      </c>
      <c r="C4" s="188">
        <v>43143</v>
      </c>
      <c r="D4" s="188">
        <v>43178</v>
      </c>
      <c r="E4" s="188">
        <v>43199</v>
      </c>
      <c r="F4" s="188">
        <v>43234</v>
      </c>
      <c r="G4" s="188">
        <v>43262</v>
      </c>
      <c r="H4" s="188">
        <v>43290</v>
      </c>
      <c r="I4" s="188">
        <v>43297</v>
      </c>
      <c r="J4" s="188">
        <v>43319</v>
      </c>
      <c r="K4" s="188">
        <v>43325</v>
      </c>
      <c r="L4" s="188">
        <v>43353</v>
      </c>
      <c r="M4" s="188">
        <v>43369</v>
      </c>
      <c r="N4" s="188">
        <v>43388</v>
      </c>
      <c r="O4" s="188">
        <v>43409</v>
      </c>
      <c r="P4" s="188">
        <v>43444</v>
      </c>
      <c r="Q4" s="698" t="s">
        <v>85</v>
      </c>
      <c r="R4" s="691" t="s">
        <v>77</v>
      </c>
      <c r="S4" s="699" t="s">
        <v>86</v>
      </c>
      <c r="T4" s="699" t="s">
        <v>87</v>
      </c>
      <c r="U4" s="699" t="s">
        <v>88</v>
      </c>
    </row>
    <row r="5" spans="1:21" ht="12.5">
      <c r="A5" s="692" t="s">
        <v>311</v>
      </c>
      <c r="B5" s="1500">
        <v>911</v>
      </c>
      <c r="C5" s="1500">
        <v>769</v>
      </c>
      <c r="D5" s="1500">
        <v>872</v>
      </c>
      <c r="E5" s="1500">
        <v>662</v>
      </c>
      <c r="F5" s="1500">
        <v>554</v>
      </c>
      <c r="G5" s="1500">
        <v>617</v>
      </c>
      <c r="H5" s="1500">
        <v>1759</v>
      </c>
      <c r="I5" s="1500">
        <v>539</v>
      </c>
      <c r="J5" s="1500">
        <v>664</v>
      </c>
      <c r="K5" s="287">
        <v>744</v>
      </c>
      <c r="L5" s="290">
        <v>783</v>
      </c>
      <c r="M5" s="1500">
        <v>568</v>
      </c>
      <c r="N5" s="689">
        <v>672</v>
      </c>
      <c r="O5" s="1500">
        <v>392</v>
      </c>
      <c r="P5" s="1500">
        <v>621</v>
      </c>
      <c r="Q5" s="700">
        <f t="shared" ref="Q5:Q11" si="0">AVERAGE(B5:O5)</f>
        <v>750.42857142857144</v>
      </c>
      <c r="R5" s="700">
        <f t="shared" ref="R5:R11" si="1">MAX(B5:O5)</f>
        <v>1759</v>
      </c>
      <c r="S5" s="700">
        <f t="shared" ref="S5:S11" si="2">AVERAGE(H5:M5)</f>
        <v>842.83333333333337</v>
      </c>
      <c r="T5" s="701">
        <f>AVERAGE(B9:O10)</f>
        <v>809.82142857142856</v>
      </c>
      <c r="U5" s="701">
        <f>AVERAGE(H9:M10)</f>
        <v>724.83333333333337</v>
      </c>
    </row>
    <row r="6" spans="1:21" ht="12.5">
      <c r="A6" s="692" t="s">
        <v>310</v>
      </c>
      <c r="B6" s="1500">
        <v>1252</v>
      </c>
      <c r="C6" s="1500">
        <v>1245</v>
      </c>
      <c r="D6" s="1500">
        <v>1333</v>
      </c>
      <c r="E6" s="1500">
        <v>1143</v>
      </c>
      <c r="F6" s="1500">
        <v>769</v>
      </c>
      <c r="G6" s="1500">
        <v>833</v>
      </c>
      <c r="H6" s="1500">
        <v>704</v>
      </c>
      <c r="I6" s="1500">
        <v>1209</v>
      </c>
      <c r="J6" s="1500">
        <v>1170</v>
      </c>
      <c r="K6" s="287">
        <v>1271</v>
      </c>
      <c r="L6" s="287">
        <v>965</v>
      </c>
      <c r="M6" s="1500">
        <v>903</v>
      </c>
      <c r="N6" s="722">
        <v>790</v>
      </c>
      <c r="O6" s="1500">
        <v>1066</v>
      </c>
      <c r="P6" s="1500">
        <v>2342</v>
      </c>
      <c r="Q6" s="700">
        <f t="shared" si="0"/>
        <v>1046.6428571428571</v>
      </c>
      <c r="R6" s="700">
        <f t="shared" si="1"/>
        <v>1333</v>
      </c>
      <c r="S6" s="700">
        <f t="shared" si="2"/>
        <v>1037</v>
      </c>
      <c r="T6" s="702"/>
      <c r="U6" s="702"/>
    </row>
    <row r="7" spans="1:21" ht="14">
      <c r="A7" s="693" t="s">
        <v>312</v>
      </c>
      <c r="B7" s="1500">
        <v>906</v>
      </c>
      <c r="C7" s="1500">
        <v>1002</v>
      </c>
      <c r="D7" s="1500">
        <v>829</v>
      </c>
      <c r="E7" s="1500">
        <v>874</v>
      </c>
      <c r="F7" s="1500">
        <v>653</v>
      </c>
      <c r="G7" s="1500">
        <v>693</v>
      </c>
      <c r="H7" s="1500">
        <v>444</v>
      </c>
      <c r="I7" s="1500">
        <v>734</v>
      </c>
      <c r="J7" s="1500">
        <v>581</v>
      </c>
      <c r="K7" s="1521">
        <v>589</v>
      </c>
      <c r="L7" s="1522">
        <v>715</v>
      </c>
      <c r="M7" s="1500">
        <v>476</v>
      </c>
      <c r="N7" s="722">
        <v>643</v>
      </c>
      <c r="O7" s="1500">
        <v>546</v>
      </c>
      <c r="P7" s="1500">
        <v>713</v>
      </c>
      <c r="Q7" s="700">
        <f t="shared" si="0"/>
        <v>691.78571428571433</v>
      </c>
      <c r="R7" s="700">
        <f t="shared" si="1"/>
        <v>1002</v>
      </c>
      <c r="S7" s="700">
        <f t="shared" si="2"/>
        <v>589.83333333333337</v>
      </c>
      <c r="T7" s="702"/>
      <c r="U7" s="702"/>
    </row>
    <row r="8" spans="1:21" ht="12.5">
      <c r="A8" s="693" t="s">
        <v>972</v>
      </c>
      <c r="B8" s="1500">
        <v>1037</v>
      </c>
      <c r="C8" s="1500">
        <v>1127</v>
      </c>
      <c r="D8" s="1500">
        <v>1015</v>
      </c>
      <c r="E8" s="1500">
        <v>987</v>
      </c>
      <c r="F8" s="1500">
        <v>823</v>
      </c>
      <c r="G8" s="1500">
        <v>811</v>
      </c>
      <c r="H8" s="1500">
        <v>742</v>
      </c>
      <c r="I8" s="1500">
        <v>1130</v>
      </c>
      <c r="J8" s="1500">
        <v>652</v>
      </c>
      <c r="K8" s="287">
        <v>864</v>
      </c>
      <c r="L8" s="290">
        <v>859</v>
      </c>
      <c r="M8" s="1500">
        <v>868</v>
      </c>
      <c r="N8" s="722">
        <v>896</v>
      </c>
      <c r="O8" s="1500">
        <v>709</v>
      </c>
      <c r="P8" s="1500">
        <v>1225</v>
      </c>
      <c r="Q8" s="700">
        <f t="shared" si="0"/>
        <v>894.28571428571433</v>
      </c>
      <c r="R8" s="700">
        <f t="shared" si="1"/>
        <v>1130</v>
      </c>
      <c r="S8" s="700">
        <f t="shared" si="2"/>
        <v>852.5</v>
      </c>
      <c r="T8" s="702"/>
      <c r="U8" s="702"/>
    </row>
    <row r="9" spans="1:21" ht="12.5">
      <c r="A9" s="693" t="s">
        <v>317</v>
      </c>
      <c r="B9" s="1500">
        <v>1050</v>
      </c>
      <c r="C9" s="1500">
        <v>1170</v>
      </c>
      <c r="D9" s="1500">
        <v>906</v>
      </c>
      <c r="E9" s="1500">
        <v>882</v>
      </c>
      <c r="F9" s="1500">
        <v>679</v>
      </c>
      <c r="G9" s="1500">
        <v>627</v>
      </c>
      <c r="H9" s="1500">
        <v>831</v>
      </c>
      <c r="I9" s="1500">
        <v>865</v>
      </c>
      <c r="J9" s="1500">
        <v>632</v>
      </c>
      <c r="K9" s="1521">
        <v>606</v>
      </c>
      <c r="L9" s="290">
        <v>903</v>
      </c>
      <c r="M9" s="1500">
        <v>542</v>
      </c>
      <c r="N9" s="722">
        <v>676</v>
      </c>
      <c r="O9" s="1500">
        <v>825</v>
      </c>
      <c r="P9" s="1500">
        <v>884</v>
      </c>
      <c r="Q9" s="700">
        <f t="shared" si="0"/>
        <v>799.57142857142856</v>
      </c>
      <c r="R9" s="700">
        <f t="shared" si="1"/>
        <v>1170</v>
      </c>
      <c r="S9" s="700">
        <f t="shared" si="2"/>
        <v>729.83333333333337</v>
      </c>
      <c r="T9" s="702"/>
      <c r="U9" s="702"/>
    </row>
    <row r="10" spans="1:21" ht="12.5">
      <c r="A10" s="693" t="s">
        <v>319</v>
      </c>
      <c r="B10" s="1500">
        <v>1046</v>
      </c>
      <c r="C10" s="1500">
        <v>1267</v>
      </c>
      <c r="D10" s="1500">
        <v>1149</v>
      </c>
      <c r="E10" s="1500">
        <v>866</v>
      </c>
      <c r="F10" s="1500">
        <v>930</v>
      </c>
      <c r="G10" s="1500">
        <v>758</v>
      </c>
      <c r="H10" s="1500">
        <v>836</v>
      </c>
      <c r="I10" s="1500">
        <v>868</v>
      </c>
      <c r="J10" s="1500">
        <v>720</v>
      </c>
      <c r="K10" s="1521">
        <v>650</v>
      </c>
      <c r="L10" s="1523">
        <v>757</v>
      </c>
      <c r="M10" s="1500">
        <v>488</v>
      </c>
      <c r="N10" s="722">
        <v>550</v>
      </c>
      <c r="O10" s="1500">
        <v>596</v>
      </c>
      <c r="P10" s="1500">
        <v>1076</v>
      </c>
      <c r="Q10" s="700">
        <f t="shared" si="0"/>
        <v>820.07142857142856</v>
      </c>
      <c r="R10" s="700">
        <f t="shared" si="1"/>
        <v>1267</v>
      </c>
      <c r="S10" s="700">
        <f t="shared" si="2"/>
        <v>719.83333333333337</v>
      </c>
      <c r="T10" s="702"/>
      <c r="U10" s="702"/>
    </row>
    <row r="11" spans="1:21">
      <c r="A11" s="694" t="s">
        <v>318</v>
      </c>
      <c r="B11" s="695">
        <f>AVERAGE(B9:B10)</f>
        <v>1048</v>
      </c>
      <c r="C11" s="695">
        <f t="shared" ref="C11:P11" si="3">AVERAGE(C9:C10)</f>
        <v>1218.5</v>
      </c>
      <c r="D11" s="695">
        <f t="shared" si="3"/>
        <v>1027.5</v>
      </c>
      <c r="E11" s="695">
        <f t="shared" si="3"/>
        <v>874</v>
      </c>
      <c r="F11" s="695">
        <f t="shared" si="3"/>
        <v>804.5</v>
      </c>
      <c r="G11" s="695">
        <f t="shared" si="3"/>
        <v>692.5</v>
      </c>
      <c r="H11" s="695">
        <f t="shared" si="3"/>
        <v>833.5</v>
      </c>
      <c r="I11" s="695">
        <f t="shared" si="3"/>
        <v>866.5</v>
      </c>
      <c r="J11" s="695">
        <f t="shared" si="3"/>
        <v>676</v>
      </c>
      <c r="K11" s="695">
        <f t="shared" si="3"/>
        <v>628</v>
      </c>
      <c r="L11" s="695">
        <f t="shared" si="3"/>
        <v>830</v>
      </c>
      <c r="M11" s="695">
        <f t="shared" si="3"/>
        <v>515</v>
      </c>
      <c r="N11" s="695">
        <f t="shared" si="3"/>
        <v>613</v>
      </c>
      <c r="O11" s="695">
        <f t="shared" si="3"/>
        <v>710.5</v>
      </c>
      <c r="P11" s="695">
        <f t="shared" si="3"/>
        <v>980</v>
      </c>
      <c r="Q11" s="700">
        <f t="shared" si="0"/>
        <v>809.82142857142856</v>
      </c>
      <c r="R11" s="700">
        <f t="shared" si="1"/>
        <v>1218.5</v>
      </c>
      <c r="S11" s="700">
        <f t="shared" si="2"/>
        <v>724.83333333333337</v>
      </c>
      <c r="T11" s="703"/>
      <c r="U11" s="703"/>
    </row>
    <row r="12" spans="1:21">
      <c r="A12" s="690"/>
      <c r="B12" s="2982"/>
      <c r="C12" s="2982"/>
      <c r="D12" s="2982"/>
      <c r="E12" s="2982"/>
      <c r="F12" s="2982"/>
    </row>
    <row r="13" spans="1:21">
      <c r="A13" s="690"/>
      <c r="B13" s="2982"/>
      <c r="C13" s="2982"/>
      <c r="D13" s="2982"/>
      <c r="E13" s="2982"/>
      <c r="F13" s="2982"/>
    </row>
    <row r="14" spans="1:21">
      <c r="A14" s="2983" t="s">
        <v>248</v>
      </c>
      <c r="B14" s="2983"/>
      <c r="C14" s="2983"/>
      <c r="D14" s="2983"/>
      <c r="E14" s="2983"/>
      <c r="F14" s="2983"/>
      <c r="G14" s="2983"/>
      <c r="H14" s="2983"/>
      <c r="I14" s="2983"/>
      <c r="J14" s="2983"/>
      <c r="K14" s="2983"/>
      <c r="L14" s="2983"/>
      <c r="M14" s="2983"/>
    </row>
    <row r="15" spans="1:21">
      <c r="A15" s="696"/>
      <c r="B15" s="696" t="s">
        <v>65</v>
      </c>
      <c r="C15" s="696" t="s">
        <v>66</v>
      </c>
      <c r="D15" s="696" t="s">
        <v>67</v>
      </c>
      <c r="E15" s="696" t="s">
        <v>68</v>
      </c>
      <c r="F15" s="696" t="s">
        <v>69</v>
      </c>
      <c r="G15" s="696" t="s">
        <v>70</v>
      </c>
      <c r="H15" s="696" t="s">
        <v>71</v>
      </c>
      <c r="I15" s="696" t="s">
        <v>72</v>
      </c>
      <c r="J15" s="696" t="s">
        <v>73</v>
      </c>
      <c r="K15" s="696" t="s">
        <v>74</v>
      </c>
      <c r="L15" s="696" t="s">
        <v>75</v>
      </c>
      <c r="M15" s="696" t="s">
        <v>76</v>
      </c>
    </row>
    <row r="16" spans="1:21">
      <c r="A16" s="692" t="s">
        <v>311</v>
      </c>
      <c r="B16" s="704">
        <f t="shared" ref="B16:G16" si="4">B5</f>
        <v>911</v>
      </c>
      <c r="C16" s="704">
        <f t="shared" si="4"/>
        <v>769</v>
      </c>
      <c r="D16" s="704">
        <f t="shared" si="4"/>
        <v>872</v>
      </c>
      <c r="E16" s="704">
        <f t="shared" si="4"/>
        <v>662</v>
      </c>
      <c r="F16" s="704">
        <f t="shared" si="4"/>
        <v>554</v>
      </c>
      <c r="G16" s="704">
        <f t="shared" si="4"/>
        <v>617</v>
      </c>
      <c r="H16" s="704">
        <f t="shared" ref="H16:H22" si="5">AVERAGE(H5:I5)</f>
        <v>1149</v>
      </c>
      <c r="I16" s="704">
        <f t="shared" ref="I16:I22" si="6">AVERAGE(J5:K5)</f>
        <v>704</v>
      </c>
      <c r="J16" s="704">
        <f t="shared" ref="J16:J22" si="7">AVERAGE(L5:M5)</f>
        <v>675.5</v>
      </c>
      <c r="K16" s="704">
        <f t="shared" ref="K16:M22" si="8">N5</f>
        <v>672</v>
      </c>
      <c r="L16" s="704">
        <f t="shared" si="8"/>
        <v>392</v>
      </c>
      <c r="M16" s="704">
        <f t="shared" si="8"/>
        <v>621</v>
      </c>
    </row>
    <row r="17" spans="1:13">
      <c r="A17" s="692" t="s">
        <v>310</v>
      </c>
      <c r="B17" s="704">
        <f t="shared" ref="B17:G19" si="9">B6</f>
        <v>1252</v>
      </c>
      <c r="C17" s="704">
        <f t="shared" si="9"/>
        <v>1245</v>
      </c>
      <c r="D17" s="704">
        <f t="shared" si="9"/>
        <v>1333</v>
      </c>
      <c r="E17" s="704">
        <f t="shared" si="9"/>
        <v>1143</v>
      </c>
      <c r="F17" s="704">
        <f t="shared" si="9"/>
        <v>769</v>
      </c>
      <c r="G17" s="704">
        <f t="shared" si="9"/>
        <v>833</v>
      </c>
      <c r="H17" s="704">
        <f t="shared" si="5"/>
        <v>956.5</v>
      </c>
      <c r="I17" s="704">
        <f t="shared" si="6"/>
        <v>1220.5</v>
      </c>
      <c r="J17" s="704">
        <f t="shared" si="7"/>
        <v>934</v>
      </c>
      <c r="K17" s="704">
        <f t="shared" si="8"/>
        <v>790</v>
      </c>
      <c r="L17" s="704">
        <f t="shared" si="8"/>
        <v>1066</v>
      </c>
      <c r="M17" s="704">
        <f t="shared" si="8"/>
        <v>2342</v>
      </c>
    </row>
    <row r="18" spans="1:13">
      <c r="A18" s="693" t="s">
        <v>312</v>
      </c>
      <c r="B18" s="704">
        <f t="shared" si="9"/>
        <v>906</v>
      </c>
      <c r="C18" s="704">
        <f t="shared" si="9"/>
        <v>1002</v>
      </c>
      <c r="D18" s="704">
        <f t="shared" si="9"/>
        <v>829</v>
      </c>
      <c r="E18" s="704">
        <f t="shared" si="9"/>
        <v>874</v>
      </c>
      <c r="F18" s="704">
        <f t="shared" si="9"/>
        <v>653</v>
      </c>
      <c r="G18" s="704">
        <f t="shared" si="9"/>
        <v>693</v>
      </c>
      <c r="H18" s="704">
        <f t="shared" si="5"/>
        <v>589</v>
      </c>
      <c r="I18" s="704">
        <f t="shared" si="6"/>
        <v>585</v>
      </c>
      <c r="J18" s="704">
        <f t="shared" si="7"/>
        <v>595.5</v>
      </c>
      <c r="K18" s="704">
        <f t="shared" si="8"/>
        <v>643</v>
      </c>
      <c r="L18" s="704">
        <f t="shared" si="8"/>
        <v>546</v>
      </c>
      <c r="M18" s="704">
        <f t="shared" si="8"/>
        <v>713</v>
      </c>
    </row>
    <row r="19" spans="1:13">
      <c r="A19" s="693" t="s">
        <v>972</v>
      </c>
      <c r="B19" s="704">
        <f t="shared" si="9"/>
        <v>1037</v>
      </c>
      <c r="C19" s="704">
        <f t="shared" si="9"/>
        <v>1127</v>
      </c>
      <c r="D19" s="704">
        <f t="shared" si="9"/>
        <v>1015</v>
      </c>
      <c r="E19" s="704">
        <f t="shared" si="9"/>
        <v>987</v>
      </c>
      <c r="F19" s="704">
        <f t="shared" si="9"/>
        <v>823</v>
      </c>
      <c r="G19" s="704">
        <f t="shared" si="9"/>
        <v>811</v>
      </c>
      <c r="H19" s="704">
        <f t="shared" si="5"/>
        <v>936</v>
      </c>
      <c r="I19" s="704">
        <f t="shared" si="6"/>
        <v>758</v>
      </c>
      <c r="J19" s="704">
        <f t="shared" si="7"/>
        <v>863.5</v>
      </c>
      <c r="K19" s="704">
        <f t="shared" si="8"/>
        <v>896</v>
      </c>
      <c r="L19" s="704">
        <f t="shared" si="8"/>
        <v>709</v>
      </c>
      <c r="M19" s="704">
        <f t="shared" si="8"/>
        <v>1225</v>
      </c>
    </row>
    <row r="20" spans="1:13">
      <c r="A20" s="697" t="s">
        <v>390</v>
      </c>
      <c r="B20" s="704">
        <f t="shared" ref="B20:G22" si="10">B9</f>
        <v>1050</v>
      </c>
      <c r="C20" s="704">
        <f t="shared" si="10"/>
        <v>1170</v>
      </c>
      <c r="D20" s="704">
        <f t="shared" si="10"/>
        <v>906</v>
      </c>
      <c r="E20" s="704">
        <f t="shared" si="10"/>
        <v>882</v>
      </c>
      <c r="F20" s="704">
        <f t="shared" si="10"/>
        <v>679</v>
      </c>
      <c r="G20" s="704">
        <f t="shared" si="10"/>
        <v>627</v>
      </c>
      <c r="H20" s="704">
        <f t="shared" si="5"/>
        <v>848</v>
      </c>
      <c r="I20" s="704">
        <f t="shared" si="6"/>
        <v>619</v>
      </c>
      <c r="J20" s="704">
        <f t="shared" si="7"/>
        <v>722.5</v>
      </c>
      <c r="K20" s="704">
        <f t="shared" ref="K20:L22" si="11">N9</f>
        <v>676</v>
      </c>
      <c r="L20" s="704">
        <f t="shared" si="11"/>
        <v>825</v>
      </c>
      <c r="M20" s="704">
        <f t="shared" si="8"/>
        <v>884</v>
      </c>
    </row>
    <row r="21" spans="1:13">
      <c r="A21" s="697" t="s">
        <v>391</v>
      </c>
      <c r="B21" s="704">
        <f t="shared" si="10"/>
        <v>1046</v>
      </c>
      <c r="C21" s="704">
        <f t="shared" si="10"/>
        <v>1267</v>
      </c>
      <c r="D21" s="704">
        <f t="shared" si="10"/>
        <v>1149</v>
      </c>
      <c r="E21" s="704">
        <f t="shared" si="10"/>
        <v>866</v>
      </c>
      <c r="F21" s="704">
        <f t="shared" si="10"/>
        <v>930</v>
      </c>
      <c r="G21" s="704">
        <f t="shared" si="10"/>
        <v>758</v>
      </c>
      <c r="H21" s="704">
        <f t="shared" si="5"/>
        <v>852</v>
      </c>
      <c r="I21" s="704">
        <f t="shared" si="6"/>
        <v>685</v>
      </c>
      <c r="J21" s="704">
        <f t="shared" si="7"/>
        <v>622.5</v>
      </c>
      <c r="K21" s="704">
        <f t="shared" si="11"/>
        <v>550</v>
      </c>
      <c r="L21" s="704">
        <f t="shared" si="11"/>
        <v>596</v>
      </c>
      <c r="M21" s="704">
        <f t="shared" si="8"/>
        <v>1076</v>
      </c>
    </row>
    <row r="22" spans="1:13">
      <c r="A22" s="694" t="s">
        <v>1339</v>
      </c>
      <c r="B22" s="704">
        <f t="shared" si="10"/>
        <v>1048</v>
      </c>
      <c r="C22" s="704">
        <f t="shared" si="10"/>
        <v>1218.5</v>
      </c>
      <c r="D22" s="704">
        <f t="shared" si="10"/>
        <v>1027.5</v>
      </c>
      <c r="E22" s="704">
        <f t="shared" si="10"/>
        <v>874</v>
      </c>
      <c r="F22" s="704">
        <f t="shared" si="10"/>
        <v>804.5</v>
      </c>
      <c r="G22" s="704">
        <f t="shared" si="10"/>
        <v>692.5</v>
      </c>
      <c r="H22" s="704">
        <f t="shared" si="5"/>
        <v>850</v>
      </c>
      <c r="I22" s="704">
        <f t="shared" si="6"/>
        <v>652</v>
      </c>
      <c r="J22" s="704">
        <f t="shared" si="7"/>
        <v>672.5</v>
      </c>
      <c r="K22" s="704">
        <f t="shared" si="11"/>
        <v>613</v>
      </c>
      <c r="L22" s="704">
        <f t="shared" si="11"/>
        <v>710.5</v>
      </c>
      <c r="M22" s="704">
        <f t="shared" si="8"/>
        <v>980</v>
      </c>
    </row>
  </sheetData>
  <mergeCells count="5">
    <mergeCell ref="A1:O1"/>
    <mergeCell ref="A2:O2"/>
    <mergeCell ref="B12:F12"/>
    <mergeCell ref="B13:F13"/>
    <mergeCell ref="A14:M14"/>
  </mergeCells>
  <pageMargins left="0.7" right="0.7" top="0.75" bottom="0.75" header="0.3" footer="0.3"/>
  <pageSetup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">
    <tabColor theme="5" tint="0.59999389629810485"/>
    <pageSetUpPr fitToPage="1"/>
  </sheetPr>
  <dimension ref="A1:AA24"/>
  <sheetViews>
    <sheetView topLeftCell="A16" zoomScale="75" zoomScaleNormal="75" workbookViewId="0">
      <selection activeCell="I7" sqref="I7"/>
    </sheetView>
  </sheetViews>
  <sheetFormatPr defaultRowHeight="14"/>
  <cols>
    <col min="1" max="1" width="21.36328125" style="1" customWidth="1"/>
    <col min="2" max="2" width="5.1796875" bestFit="1" customWidth="1"/>
    <col min="3" max="3" width="6.36328125" bestFit="1" customWidth="1"/>
    <col min="4" max="4" width="6.7265625" bestFit="1" customWidth="1"/>
    <col min="5" max="5" width="5.453125" bestFit="1" customWidth="1"/>
    <col min="6" max="6" width="6.90625" bestFit="1" customWidth="1"/>
    <col min="7" max="7" width="6.26953125" bestFit="1" customWidth="1"/>
    <col min="8" max="8" width="4.90625" bestFit="1" customWidth="1"/>
    <col min="9" max="9" width="5.81640625" bestFit="1" customWidth="1"/>
    <col min="10" max="10" width="5.6328125" bestFit="1" customWidth="1"/>
    <col min="11" max="11" width="6.6328125" bestFit="1" customWidth="1"/>
    <col min="12" max="14" width="6.26953125" bestFit="1" customWidth="1"/>
    <col min="15" max="15" width="5.6328125" bestFit="1" customWidth="1"/>
    <col min="16" max="16" width="6.54296875" bestFit="1" customWidth="1"/>
    <col min="17" max="17" width="8" bestFit="1" customWidth="1"/>
    <col min="18" max="18" width="9.7265625" customWidth="1"/>
    <col min="19" max="19" width="5.26953125" bestFit="1" customWidth="1"/>
  </cols>
  <sheetData>
    <row r="1" spans="1:27" ht="15.5">
      <c r="A1" s="2928" t="s">
        <v>0</v>
      </c>
      <c r="B1" s="2928"/>
      <c r="C1" s="2928"/>
      <c r="D1" s="2928"/>
      <c r="E1" s="2928"/>
      <c r="F1" s="2928"/>
      <c r="G1" s="2928"/>
      <c r="H1" s="2928"/>
      <c r="I1" s="2928"/>
      <c r="J1" s="2928"/>
      <c r="K1" s="2928"/>
      <c r="L1" s="2928"/>
      <c r="M1" s="2928"/>
      <c r="N1" s="2928"/>
      <c r="O1" s="2928"/>
      <c r="P1" s="2928"/>
    </row>
    <row r="3" spans="1:27">
      <c r="A3" s="82" t="s">
        <v>1</v>
      </c>
    </row>
    <row r="4" spans="1:27" s="6" customFormat="1" ht="26">
      <c r="A4" s="83" t="s">
        <v>2</v>
      </c>
      <c r="B4" s="188">
        <v>43108</v>
      </c>
      <c r="C4" s="188">
        <v>43143</v>
      </c>
      <c r="D4" s="188">
        <v>43178</v>
      </c>
      <c r="E4" s="188">
        <v>43199</v>
      </c>
      <c r="F4" s="188">
        <v>43234</v>
      </c>
      <c r="G4" s="188">
        <v>43262</v>
      </c>
      <c r="H4" s="188">
        <v>43290</v>
      </c>
      <c r="I4" s="188">
        <v>43297</v>
      </c>
      <c r="J4" s="188">
        <v>43319</v>
      </c>
      <c r="K4" s="188">
        <v>43325</v>
      </c>
      <c r="L4" s="188">
        <v>43353</v>
      </c>
      <c r="M4" s="188">
        <v>43369</v>
      </c>
      <c r="N4" s="188">
        <v>43388</v>
      </c>
      <c r="O4" s="188">
        <v>43409</v>
      </c>
      <c r="P4" s="188">
        <v>43444</v>
      </c>
      <c r="Q4" s="706" t="s">
        <v>15</v>
      </c>
      <c r="R4" s="707" t="s">
        <v>103</v>
      </c>
      <c r="S4" s="708" t="s">
        <v>77</v>
      </c>
    </row>
    <row r="5" spans="1:27">
      <c r="A5" s="270">
        <v>40</v>
      </c>
      <c r="B5" s="2736">
        <v>1.25</v>
      </c>
      <c r="C5" s="2737">
        <v>15.45</v>
      </c>
      <c r="D5" s="2737">
        <v>5.9</v>
      </c>
      <c r="E5" s="2737">
        <v>1.5</v>
      </c>
      <c r="F5" s="2737">
        <v>8.15</v>
      </c>
      <c r="G5" s="2737">
        <v>2.4</v>
      </c>
      <c r="H5" s="1524">
        <v>5.75</v>
      </c>
      <c r="I5" s="2737">
        <v>12.1</v>
      </c>
      <c r="J5" s="2737">
        <v>17.850000000000001</v>
      </c>
      <c r="K5" s="2737">
        <v>20.2</v>
      </c>
      <c r="L5" s="2737">
        <v>22.1</v>
      </c>
      <c r="M5" s="2737">
        <v>9.85</v>
      </c>
      <c r="N5" s="1524">
        <v>37.950000000000003</v>
      </c>
      <c r="O5" s="1526">
        <v>41.45</v>
      </c>
      <c r="P5" s="1526">
        <v>44.5</v>
      </c>
      <c r="Q5" s="329">
        <f>AVERAGE(B5:P5)</f>
        <v>16.426666666666666</v>
      </c>
      <c r="R5" s="330">
        <f>AVERAGE(H5:M5)</f>
        <v>14.641666666666666</v>
      </c>
      <c r="S5" s="330">
        <f>MAX(B5:P5)</f>
        <v>44.5</v>
      </c>
    </row>
    <row r="6" spans="1:27" s="358" customFormat="1">
      <c r="A6" s="274"/>
      <c r="B6" s="141"/>
      <c r="C6" s="2701"/>
      <c r="D6" s="2701"/>
      <c r="E6" s="2701"/>
      <c r="F6" s="2701"/>
      <c r="G6" s="2701"/>
      <c r="H6" s="2704"/>
      <c r="I6" s="2701"/>
      <c r="J6" s="2701"/>
      <c r="K6" s="2701"/>
      <c r="L6" s="2701"/>
      <c r="M6" s="2701"/>
      <c r="N6" s="2701"/>
      <c r="O6" s="2589"/>
      <c r="P6" s="2589"/>
      <c r="Q6" s="542"/>
      <c r="R6" s="543"/>
      <c r="S6" s="543"/>
    </row>
    <row r="8" spans="1:27">
      <c r="A8" s="82" t="s">
        <v>4</v>
      </c>
    </row>
    <row r="9" spans="1:27" s="6" customFormat="1" ht="26">
      <c r="A9" s="83" t="s">
        <v>2</v>
      </c>
      <c r="B9" s="188">
        <v>43108</v>
      </c>
      <c r="C9" s="188">
        <v>43143</v>
      </c>
      <c r="D9" s="188">
        <v>43178</v>
      </c>
      <c r="E9" s="188">
        <v>43199</v>
      </c>
      <c r="F9" s="188">
        <v>43234</v>
      </c>
      <c r="G9" s="188">
        <v>43262</v>
      </c>
      <c r="H9" s="188">
        <v>43290</v>
      </c>
      <c r="I9" s="188">
        <v>43297</v>
      </c>
      <c r="J9" s="188">
        <v>43319</v>
      </c>
      <c r="K9" s="188">
        <v>43325</v>
      </c>
      <c r="L9" s="188">
        <v>43353</v>
      </c>
      <c r="M9" s="188">
        <v>43369</v>
      </c>
      <c r="N9" s="188">
        <v>43388</v>
      </c>
      <c r="O9" s="188">
        <v>43409</v>
      </c>
      <c r="P9" s="188">
        <v>43444</v>
      </c>
      <c r="Q9" s="83" t="s">
        <v>15</v>
      </c>
      <c r="R9" s="85" t="s">
        <v>103</v>
      </c>
      <c r="S9" s="83" t="s">
        <v>77</v>
      </c>
    </row>
    <row r="10" spans="1:27" s="6" customFormat="1" ht="15.5">
      <c r="A10" s="193">
        <v>40</v>
      </c>
      <c r="B10" s="1518">
        <v>3.85</v>
      </c>
      <c r="C10" s="323">
        <v>2.34</v>
      </c>
      <c r="D10" s="1518">
        <v>1.6</v>
      </c>
      <c r="E10" s="1518">
        <v>1.7</v>
      </c>
      <c r="F10" s="1518">
        <v>1.85</v>
      </c>
      <c r="G10" s="1518">
        <v>2.75</v>
      </c>
      <c r="H10" s="1518">
        <v>2.7</v>
      </c>
      <c r="I10" s="1518">
        <v>1.4</v>
      </c>
      <c r="J10" s="1518">
        <v>1</v>
      </c>
      <c r="K10" s="1518">
        <v>1</v>
      </c>
      <c r="L10" s="1518">
        <v>0.63</v>
      </c>
      <c r="M10" s="1518">
        <v>0.7</v>
      </c>
      <c r="N10" s="1518">
        <v>0.9</v>
      </c>
      <c r="O10" s="1518">
        <v>1</v>
      </c>
      <c r="P10" s="1518">
        <v>0.8</v>
      </c>
      <c r="Q10" s="327">
        <f>AVERAGE(B10:P10)</f>
        <v>1.6146666666666663</v>
      </c>
      <c r="R10" s="327">
        <f>AVERAGE(H10:M10)</f>
        <v>1.2383333333333333</v>
      </c>
      <c r="S10" s="709">
        <f>MAX(B10:P10)</f>
        <v>3.85</v>
      </c>
    </row>
    <row r="11" spans="1:27" s="6" customFormat="1" ht="15.5">
      <c r="A11" s="302">
        <v>41</v>
      </c>
      <c r="B11" s="1518">
        <v>3.6</v>
      </c>
      <c r="C11" s="323">
        <v>2.25</v>
      </c>
      <c r="D11" s="1518">
        <v>1.3</v>
      </c>
      <c r="E11" s="1518">
        <v>2.2999999999999998</v>
      </c>
      <c r="F11" s="1518">
        <v>1.9</v>
      </c>
      <c r="G11" s="1518">
        <v>2.8</v>
      </c>
      <c r="H11" s="1518">
        <v>2.4500000000000002</v>
      </c>
      <c r="I11" s="1518">
        <v>1.35</v>
      </c>
      <c r="J11" s="1518">
        <v>0.95</v>
      </c>
      <c r="K11" s="1518">
        <v>0.95</v>
      </c>
      <c r="L11" s="1518">
        <v>0.65</v>
      </c>
      <c r="M11" s="1518">
        <v>0.7</v>
      </c>
      <c r="N11" s="1518">
        <v>0.9</v>
      </c>
      <c r="O11" s="1518">
        <v>1</v>
      </c>
      <c r="P11" s="1518"/>
      <c r="Q11" s="327">
        <f>AVERAGE(B11:P11)</f>
        <v>1.6499999999999997</v>
      </c>
      <c r="R11" s="327">
        <f>AVERAGE(H11:M11)</f>
        <v>1.175</v>
      </c>
      <c r="S11" s="709">
        <f>MAX(B11:P11)</f>
        <v>3.6</v>
      </c>
    </row>
    <row r="12" spans="1:27" s="6" customFormat="1" ht="15.5">
      <c r="A12" s="193">
        <v>42</v>
      </c>
      <c r="B12" s="1518"/>
      <c r="C12" s="1518">
        <v>2.34</v>
      </c>
      <c r="D12" s="1518">
        <v>1.67</v>
      </c>
      <c r="E12" s="1518">
        <v>2.7</v>
      </c>
      <c r="F12" s="1518">
        <v>1.8</v>
      </c>
      <c r="G12" s="1518">
        <v>2.1</v>
      </c>
      <c r="H12" s="1518">
        <v>2.5499999999999998</v>
      </c>
      <c r="I12" s="1518">
        <v>1.4</v>
      </c>
      <c r="J12" s="1518">
        <v>0.95</v>
      </c>
      <c r="K12" s="1518">
        <v>0.95</v>
      </c>
      <c r="L12" s="1518">
        <v>0.65</v>
      </c>
      <c r="M12" s="1518">
        <v>0.8</v>
      </c>
      <c r="N12" s="1518">
        <v>0.9</v>
      </c>
      <c r="O12" s="1518">
        <v>0.8</v>
      </c>
      <c r="P12" s="1518"/>
      <c r="Q12" s="327">
        <f>AVERAGE(B12:P12)</f>
        <v>1.5084615384615385</v>
      </c>
      <c r="R12" s="327">
        <f>AVERAGE(H12:M12)</f>
        <v>1.2166666666666666</v>
      </c>
      <c r="S12" s="709">
        <f>MAX(B12:P12)</f>
        <v>2.7</v>
      </c>
    </row>
    <row r="13" spans="1:27">
      <c r="A13" s="83" t="s">
        <v>304</v>
      </c>
      <c r="B13" s="147">
        <f t="shared" ref="B13:P13" si="0">AVERAGE(B10:B12)</f>
        <v>3.7250000000000001</v>
      </c>
      <c r="C13" s="147">
        <f t="shared" si="0"/>
        <v>2.31</v>
      </c>
      <c r="D13" s="147">
        <f t="shared" si="0"/>
        <v>1.5233333333333334</v>
      </c>
      <c r="E13" s="147">
        <f t="shared" si="0"/>
        <v>2.2333333333333334</v>
      </c>
      <c r="F13" s="147">
        <f t="shared" si="0"/>
        <v>1.8499999999999999</v>
      </c>
      <c r="G13" s="147">
        <f t="shared" si="0"/>
        <v>2.5500000000000003</v>
      </c>
      <c r="H13" s="147">
        <f t="shared" si="0"/>
        <v>2.5666666666666669</v>
      </c>
      <c r="I13" s="147">
        <f t="shared" si="0"/>
        <v>1.3833333333333335</v>
      </c>
      <c r="J13" s="147">
        <f t="shared" si="0"/>
        <v>0.96666666666666667</v>
      </c>
      <c r="K13" s="147">
        <f t="shared" si="0"/>
        <v>0.96666666666666667</v>
      </c>
      <c r="L13" s="147">
        <f t="shared" si="0"/>
        <v>0.64333333333333342</v>
      </c>
      <c r="M13" s="147">
        <f t="shared" si="0"/>
        <v>0.73333333333333339</v>
      </c>
      <c r="N13" s="147">
        <f t="shared" si="0"/>
        <v>0.9</v>
      </c>
      <c r="O13" s="147">
        <f t="shared" si="0"/>
        <v>0.93333333333333324</v>
      </c>
      <c r="P13" s="147">
        <f t="shared" si="0"/>
        <v>0.8</v>
      </c>
      <c r="Q13" s="328">
        <f>AVERAGE(B10:P12)</f>
        <v>1.5935714285714286</v>
      </c>
      <c r="R13" s="327">
        <f>AVERAGE(H13:M13)</f>
        <v>1.2100000000000002</v>
      </c>
      <c r="S13" s="327"/>
    </row>
    <row r="14" spans="1:27">
      <c r="A14" s="67" t="s">
        <v>113</v>
      </c>
      <c r="B14" s="35">
        <f>B13*3.28</f>
        <v>12.218</v>
      </c>
      <c r="C14" s="35">
        <f t="shared" ref="C14:O14" si="1">C13*3.28</f>
        <v>7.5767999999999995</v>
      </c>
      <c r="D14" s="35">
        <f t="shared" si="1"/>
        <v>4.9965333333333337</v>
      </c>
      <c r="E14" s="35">
        <f t="shared" si="1"/>
        <v>7.325333333333333</v>
      </c>
      <c r="F14" s="35">
        <f t="shared" si="1"/>
        <v>6.0679999999999996</v>
      </c>
      <c r="G14" s="35">
        <f t="shared" si="1"/>
        <v>8.3640000000000008</v>
      </c>
      <c r="H14" s="35">
        <f t="shared" si="1"/>
        <v>8.4186666666666667</v>
      </c>
      <c r="I14" s="35">
        <f t="shared" si="1"/>
        <v>4.5373333333333337</v>
      </c>
      <c r="J14" s="35">
        <f t="shared" si="1"/>
        <v>3.1706666666666665</v>
      </c>
      <c r="K14" s="35">
        <f t="shared" si="1"/>
        <v>3.1706666666666665</v>
      </c>
      <c r="L14" s="35">
        <f t="shared" si="1"/>
        <v>2.1101333333333336</v>
      </c>
      <c r="M14" s="35">
        <f t="shared" si="1"/>
        <v>2.4053333333333335</v>
      </c>
      <c r="N14" s="35">
        <f t="shared" si="1"/>
        <v>2.952</v>
      </c>
      <c r="O14" s="35">
        <f t="shared" si="1"/>
        <v>3.0613333333333328</v>
      </c>
      <c r="P14" s="35">
        <f>P13*3.28</f>
        <v>2.6240000000000001</v>
      </c>
    </row>
    <row r="15" spans="1:27">
      <c r="A15" s="1" t="s">
        <v>1336</v>
      </c>
      <c r="B15" s="441">
        <v>10.15</v>
      </c>
      <c r="C15" s="441">
        <v>10</v>
      </c>
      <c r="D15" s="441">
        <v>10.1</v>
      </c>
      <c r="E15" s="441">
        <v>10.25</v>
      </c>
      <c r="F15" s="441">
        <v>10.199999999999999</v>
      </c>
      <c r="G15" s="441">
        <v>10.3</v>
      </c>
      <c r="H15" s="441">
        <v>10</v>
      </c>
      <c r="I15" s="441">
        <v>10</v>
      </c>
      <c r="J15" s="441">
        <v>10</v>
      </c>
      <c r="K15" s="441">
        <v>9.8000000000000007</v>
      </c>
      <c r="L15" s="441">
        <v>10</v>
      </c>
      <c r="M15" s="441">
        <v>9.1999999999999993</v>
      </c>
      <c r="N15" s="441">
        <v>9.3000000000000007</v>
      </c>
      <c r="O15" s="441">
        <v>9</v>
      </c>
      <c r="P15" s="1519">
        <v>8.8000000000000007</v>
      </c>
    </row>
    <row r="16" spans="1:27"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>
      <c r="A17" s="67"/>
      <c r="B17" s="84" t="s">
        <v>65</v>
      </c>
      <c r="C17" s="84" t="s">
        <v>66</v>
      </c>
      <c r="D17" s="84" t="s">
        <v>67</v>
      </c>
      <c r="E17" s="84" t="s">
        <v>68</v>
      </c>
      <c r="F17" s="84" t="s">
        <v>69</v>
      </c>
      <c r="G17" s="84" t="s">
        <v>70</v>
      </c>
      <c r="H17" s="84" t="s">
        <v>71</v>
      </c>
      <c r="I17" s="84" t="s">
        <v>72</v>
      </c>
      <c r="J17" s="84" t="s">
        <v>73</v>
      </c>
      <c r="K17" s="84" t="s">
        <v>74</v>
      </c>
      <c r="L17" s="84" t="s">
        <v>75</v>
      </c>
      <c r="M17" s="84" t="s">
        <v>76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>
      <c r="A18" s="67" t="s">
        <v>112</v>
      </c>
      <c r="B18" s="105">
        <f t="shared" ref="B18:G18" si="2">B5</f>
        <v>1.25</v>
      </c>
      <c r="C18" s="105">
        <f t="shared" si="2"/>
        <v>15.45</v>
      </c>
      <c r="D18" s="105">
        <f t="shared" si="2"/>
        <v>5.9</v>
      </c>
      <c r="E18" s="105">
        <f t="shared" si="2"/>
        <v>1.5</v>
      </c>
      <c r="F18" s="105">
        <f t="shared" si="2"/>
        <v>8.15</v>
      </c>
      <c r="G18" s="105">
        <f t="shared" si="2"/>
        <v>2.4</v>
      </c>
      <c r="H18" s="105">
        <f>AVERAGE(H5:I5)</f>
        <v>8.9250000000000007</v>
      </c>
      <c r="I18" s="105">
        <f>AVERAGE(J5:K5)</f>
        <v>19.024999999999999</v>
      </c>
      <c r="J18" s="105">
        <f>AVERAGE(L5:M5)</f>
        <v>15.975000000000001</v>
      </c>
      <c r="K18" s="105">
        <f>N5</f>
        <v>37.950000000000003</v>
      </c>
      <c r="L18" s="105">
        <f>O5</f>
        <v>41.45</v>
      </c>
      <c r="M18" s="105">
        <f>P5</f>
        <v>44.5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>
      <c r="A19" s="67" t="s">
        <v>114</v>
      </c>
      <c r="B19" s="35">
        <f t="shared" ref="B19:G19" si="3">B14</f>
        <v>12.218</v>
      </c>
      <c r="C19" s="35">
        <f t="shared" si="3"/>
        <v>7.5767999999999995</v>
      </c>
      <c r="D19" s="35">
        <f t="shared" si="3"/>
        <v>4.9965333333333337</v>
      </c>
      <c r="E19" s="35">
        <f t="shared" si="3"/>
        <v>7.325333333333333</v>
      </c>
      <c r="F19" s="35">
        <f t="shared" si="3"/>
        <v>6.0679999999999996</v>
      </c>
      <c r="G19" s="35">
        <f t="shared" si="3"/>
        <v>8.3640000000000008</v>
      </c>
      <c r="H19" s="35">
        <f>AVERAGE(H14:I14)</f>
        <v>6.4779999999999998</v>
      </c>
      <c r="I19" s="35">
        <f>AVERAGE(J14:K14)</f>
        <v>3.1706666666666665</v>
      </c>
      <c r="J19" s="35">
        <f>AVERAGE(L14:M14)</f>
        <v>2.2577333333333334</v>
      </c>
      <c r="K19" s="35">
        <f>N14</f>
        <v>2.952</v>
      </c>
      <c r="L19" s="35">
        <f>O14</f>
        <v>3.0613333333333328</v>
      </c>
      <c r="M19" s="35">
        <f>P14</f>
        <v>2.6240000000000001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>
      <c r="A21" s="1" t="s">
        <v>1002</v>
      </c>
      <c r="B21" s="441">
        <v>12.2</v>
      </c>
      <c r="C21" s="441">
        <v>12.2</v>
      </c>
      <c r="D21" s="441">
        <v>12.2</v>
      </c>
      <c r="E21" s="441">
        <v>12.2</v>
      </c>
      <c r="F21" s="441">
        <v>12.2</v>
      </c>
      <c r="G21" s="441">
        <v>12.2</v>
      </c>
      <c r="H21" s="441">
        <v>12.2</v>
      </c>
      <c r="I21" s="441">
        <v>12.2</v>
      </c>
      <c r="J21" s="441">
        <v>12.2</v>
      </c>
      <c r="K21" s="441">
        <v>12.2</v>
      </c>
      <c r="L21" s="441">
        <v>12.2</v>
      </c>
      <c r="M21" s="441">
        <v>12.2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>
      <c r="A22" s="1" t="s">
        <v>1338</v>
      </c>
      <c r="B22">
        <v>5</v>
      </c>
      <c r="C22" s="358">
        <v>5</v>
      </c>
      <c r="D22" s="358">
        <v>5</v>
      </c>
      <c r="E22" s="358">
        <v>5</v>
      </c>
      <c r="F22" s="358">
        <v>5</v>
      </c>
      <c r="G22" s="358">
        <v>5</v>
      </c>
      <c r="H22" s="358">
        <v>5</v>
      </c>
      <c r="I22" s="358">
        <v>5</v>
      </c>
      <c r="J22" s="358">
        <v>5</v>
      </c>
      <c r="K22" s="358">
        <v>5</v>
      </c>
      <c r="L22" s="358">
        <v>5</v>
      </c>
      <c r="M22" s="358">
        <v>5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</sheetData>
  <mergeCells count="1">
    <mergeCell ref="A1:P1"/>
  </mergeCells>
  <phoneticPr fontId="0" type="noConversion"/>
  <pageMargins left="0.75" right="0.75" top="1" bottom="1" header="0.5" footer="0.5"/>
  <pageSetup scale="90" orientation="landscape" horizontalDpi="4294967294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</sheetPr>
  <dimension ref="A1:S247"/>
  <sheetViews>
    <sheetView topLeftCell="A226" workbookViewId="0">
      <selection activeCell="C229" sqref="C229:Q229"/>
    </sheetView>
  </sheetViews>
  <sheetFormatPr defaultRowHeight="14"/>
  <cols>
    <col min="1" max="1" width="10.6328125" bestFit="1" customWidth="1"/>
    <col min="2" max="2" width="10" bestFit="1" customWidth="1"/>
    <col min="3" max="3" width="12" bestFit="1" customWidth="1"/>
    <col min="4" max="4" width="11.6328125" bestFit="1" customWidth="1"/>
    <col min="5" max="5" width="11.453125" bestFit="1" customWidth="1"/>
    <col min="6" max="6" width="14.90625" bestFit="1" customWidth="1"/>
    <col min="7" max="7" width="8.26953125" bestFit="1" customWidth="1"/>
    <col min="8" max="8" width="16.1796875" bestFit="1" customWidth="1"/>
    <col min="9" max="9" width="9.08984375" bestFit="1" customWidth="1"/>
    <col min="10" max="10" width="8.26953125" bestFit="1" customWidth="1"/>
    <col min="11" max="13" width="9.08984375" bestFit="1" customWidth="1"/>
    <col min="14" max="14" width="11.81640625" bestFit="1" customWidth="1"/>
    <col min="15" max="15" width="11.6328125" bestFit="1" customWidth="1"/>
    <col min="16" max="16" width="10.1796875" bestFit="1" customWidth="1"/>
    <col min="17" max="17" width="9.1796875" bestFit="1" customWidth="1"/>
    <col min="18" max="18" width="10" bestFit="1" customWidth="1"/>
    <col min="19" max="19" width="9.1796875" bestFit="1" customWidth="1"/>
    <col min="23" max="23" width="14.81640625" bestFit="1" customWidth="1"/>
  </cols>
  <sheetData>
    <row r="1" spans="1:19" ht="28">
      <c r="A1" s="627" t="s">
        <v>716</v>
      </c>
      <c r="B1" s="627"/>
      <c r="C1" s="628"/>
      <c r="D1" s="628"/>
      <c r="E1" s="627"/>
      <c r="F1" s="627"/>
      <c r="G1" s="627"/>
      <c r="H1" s="629"/>
      <c r="I1" s="630"/>
      <c r="J1" s="627"/>
      <c r="K1" s="627"/>
      <c r="L1" s="631"/>
      <c r="M1" s="631"/>
      <c r="N1" s="628"/>
      <c r="P1" t="s">
        <v>1335</v>
      </c>
    </row>
    <row r="2" spans="1:19">
      <c r="A2" s="1341" t="s">
        <v>1261</v>
      </c>
      <c r="B2" s="2409" t="s">
        <v>716</v>
      </c>
      <c r="C2" s="2409" t="s">
        <v>717</v>
      </c>
      <c r="D2" s="2410" t="s">
        <v>718</v>
      </c>
      <c r="E2" s="2410" t="s">
        <v>719</v>
      </c>
      <c r="F2" s="2409" t="s">
        <v>720</v>
      </c>
      <c r="G2" s="2409" t="s">
        <v>721</v>
      </c>
      <c r="H2" s="2409" t="s">
        <v>934</v>
      </c>
      <c r="I2" s="2411" t="s">
        <v>722</v>
      </c>
      <c r="J2" s="2412" t="s">
        <v>722</v>
      </c>
      <c r="K2" s="2409" t="s">
        <v>935</v>
      </c>
      <c r="L2" s="2409" t="s">
        <v>936</v>
      </c>
      <c r="M2" s="2413" t="s">
        <v>937</v>
      </c>
      <c r="N2" s="2413" t="s">
        <v>482</v>
      </c>
      <c r="O2" s="2410" t="s">
        <v>938</v>
      </c>
      <c r="P2" s="57">
        <v>43108</v>
      </c>
      <c r="Q2" s="441"/>
      <c r="R2" s="441"/>
      <c r="S2" s="441"/>
    </row>
    <row r="3" spans="1:19">
      <c r="A3" s="1341" t="s">
        <v>1261</v>
      </c>
      <c r="B3" s="733" t="s">
        <v>1469</v>
      </c>
      <c r="C3" s="72" t="s">
        <v>967</v>
      </c>
      <c r="D3" s="109">
        <v>43108</v>
      </c>
      <c r="E3" s="109">
        <v>43108</v>
      </c>
      <c r="F3" s="286" t="s">
        <v>181</v>
      </c>
      <c r="G3" s="531" t="s">
        <v>723</v>
      </c>
      <c r="H3" s="61" t="s">
        <v>940</v>
      </c>
      <c r="I3" s="287">
        <v>911</v>
      </c>
      <c r="J3" s="285">
        <v>911</v>
      </c>
      <c r="K3" s="531"/>
      <c r="L3" s="205" t="s">
        <v>941</v>
      </c>
      <c r="M3" s="218">
        <v>6</v>
      </c>
      <c r="N3" s="218">
        <v>42</v>
      </c>
      <c r="O3" s="219">
        <v>43117</v>
      </c>
      <c r="P3" s="57">
        <v>43143</v>
      </c>
      <c r="Q3" s="441"/>
      <c r="R3" s="441"/>
      <c r="S3" s="441"/>
    </row>
    <row r="4" spans="1:19">
      <c r="A4" s="1343" t="s">
        <v>1262</v>
      </c>
      <c r="B4" s="733" t="s">
        <v>1469</v>
      </c>
      <c r="C4" s="72" t="s">
        <v>967</v>
      </c>
      <c r="D4" s="109">
        <v>43108</v>
      </c>
      <c r="E4" s="109">
        <v>43108</v>
      </c>
      <c r="F4" s="531" t="s">
        <v>160</v>
      </c>
      <c r="G4" s="531" t="s">
        <v>723</v>
      </c>
      <c r="H4" s="61" t="s">
        <v>942</v>
      </c>
      <c r="I4" s="287">
        <v>16</v>
      </c>
      <c r="J4" s="285">
        <v>16</v>
      </c>
      <c r="K4" s="287"/>
      <c r="L4" s="531" t="s">
        <v>941</v>
      </c>
      <c r="M4" s="218">
        <v>2</v>
      </c>
      <c r="N4" s="218">
        <v>8</v>
      </c>
      <c r="O4" s="219">
        <v>43117</v>
      </c>
      <c r="P4" s="57">
        <v>43178</v>
      </c>
      <c r="Q4" s="441"/>
      <c r="R4" s="441"/>
      <c r="S4" s="441"/>
    </row>
    <row r="5" spans="1:19">
      <c r="A5" s="1341" t="s">
        <v>1262</v>
      </c>
      <c r="B5" s="530" t="s">
        <v>1470</v>
      </c>
      <c r="C5" s="72" t="s">
        <v>968</v>
      </c>
      <c r="D5" s="109">
        <v>43108</v>
      </c>
      <c r="E5" s="109">
        <v>43108</v>
      </c>
      <c r="F5" s="286" t="s">
        <v>181</v>
      </c>
      <c r="G5" s="531" t="s">
        <v>723</v>
      </c>
      <c r="H5" s="61" t="s">
        <v>940</v>
      </c>
      <c r="I5" s="287">
        <v>1252</v>
      </c>
      <c r="J5" s="285">
        <v>1252</v>
      </c>
      <c r="K5" s="531"/>
      <c r="L5" s="205" t="s">
        <v>941</v>
      </c>
      <c r="M5" s="218">
        <v>6</v>
      </c>
      <c r="N5" s="218">
        <v>42</v>
      </c>
      <c r="O5" s="219">
        <v>43117</v>
      </c>
      <c r="P5" s="57">
        <v>43199</v>
      </c>
      <c r="Q5" s="441"/>
      <c r="R5" s="441"/>
      <c r="S5" s="441"/>
    </row>
    <row r="6" spans="1:19">
      <c r="A6" s="1342" t="s">
        <v>1263</v>
      </c>
      <c r="B6" s="733" t="s">
        <v>1470</v>
      </c>
      <c r="C6" s="72" t="s">
        <v>968</v>
      </c>
      <c r="D6" s="109">
        <v>43108</v>
      </c>
      <c r="E6" s="109">
        <v>43108</v>
      </c>
      <c r="F6" s="531" t="s">
        <v>160</v>
      </c>
      <c r="G6" s="531" t="s">
        <v>723</v>
      </c>
      <c r="H6" s="61" t="s">
        <v>942</v>
      </c>
      <c r="I6" s="287">
        <v>32</v>
      </c>
      <c r="J6" s="285">
        <v>32</v>
      </c>
      <c r="K6" s="287"/>
      <c r="L6" s="531" t="s">
        <v>941</v>
      </c>
      <c r="M6" s="218">
        <v>2</v>
      </c>
      <c r="N6" s="218">
        <v>8</v>
      </c>
      <c r="O6" s="219">
        <v>43117</v>
      </c>
      <c r="P6" s="57">
        <v>43234</v>
      </c>
      <c r="Q6" s="441"/>
      <c r="R6" s="441"/>
      <c r="S6" s="441"/>
    </row>
    <row r="7" spans="1:19">
      <c r="A7" s="1343" t="s">
        <v>1263</v>
      </c>
      <c r="B7" s="531" t="s">
        <v>1471</v>
      </c>
      <c r="C7" s="72">
        <v>45</v>
      </c>
      <c r="D7" s="109">
        <v>43108</v>
      </c>
      <c r="E7" s="109">
        <v>43108</v>
      </c>
      <c r="F7" s="286" t="s">
        <v>181</v>
      </c>
      <c r="G7" s="531" t="s">
        <v>723</v>
      </c>
      <c r="H7" s="61" t="s">
        <v>940</v>
      </c>
      <c r="I7" s="287">
        <v>906</v>
      </c>
      <c r="J7" s="285">
        <v>906</v>
      </c>
      <c r="K7" s="531"/>
      <c r="L7" s="205" t="s">
        <v>941</v>
      </c>
      <c r="M7" s="218">
        <v>6</v>
      </c>
      <c r="N7" s="218">
        <v>42</v>
      </c>
      <c r="O7" s="219">
        <v>43117</v>
      </c>
      <c r="P7" s="57">
        <v>43262</v>
      </c>
      <c r="Q7" s="441"/>
      <c r="R7" s="441"/>
      <c r="S7" s="441"/>
    </row>
    <row r="8" spans="1:19">
      <c r="A8" s="1342" t="s">
        <v>1264</v>
      </c>
      <c r="B8" s="530" t="s">
        <v>1471</v>
      </c>
      <c r="C8" s="72">
        <v>45</v>
      </c>
      <c r="D8" s="109">
        <v>43108</v>
      </c>
      <c r="E8" s="109">
        <v>43108</v>
      </c>
      <c r="F8" s="531" t="s">
        <v>160</v>
      </c>
      <c r="G8" s="531" t="s">
        <v>723</v>
      </c>
      <c r="H8" s="61" t="s">
        <v>942</v>
      </c>
      <c r="I8" s="287">
        <v>16</v>
      </c>
      <c r="J8" s="285">
        <v>16</v>
      </c>
      <c r="K8" s="287"/>
      <c r="L8" s="531" t="s">
        <v>941</v>
      </c>
      <c r="M8" s="218">
        <v>2</v>
      </c>
      <c r="N8" s="218">
        <v>8</v>
      </c>
      <c r="O8" s="219">
        <v>43117</v>
      </c>
      <c r="P8" s="57">
        <v>43290</v>
      </c>
      <c r="Q8" s="441"/>
      <c r="R8" s="441"/>
      <c r="S8" s="441"/>
    </row>
    <row r="9" spans="1:19">
      <c r="A9" s="1342" t="s">
        <v>1264</v>
      </c>
      <c r="B9" s="531" t="s">
        <v>1472</v>
      </c>
      <c r="C9" s="72">
        <v>90</v>
      </c>
      <c r="D9" s="109">
        <v>43108</v>
      </c>
      <c r="E9" s="109">
        <v>43108</v>
      </c>
      <c r="F9" s="286" t="s">
        <v>181</v>
      </c>
      <c r="G9" s="531" t="s">
        <v>723</v>
      </c>
      <c r="H9" s="61" t="s">
        <v>940</v>
      </c>
      <c r="I9" s="287">
        <v>1037</v>
      </c>
      <c r="J9" s="285">
        <v>1037</v>
      </c>
      <c r="K9" s="531"/>
      <c r="L9" s="205" t="s">
        <v>941</v>
      </c>
      <c r="M9" s="218">
        <v>6</v>
      </c>
      <c r="N9" s="218">
        <v>42</v>
      </c>
      <c r="O9" s="219">
        <v>43117</v>
      </c>
      <c r="P9" s="57">
        <v>43297</v>
      </c>
      <c r="Q9" s="441"/>
      <c r="R9" s="441"/>
      <c r="S9" s="441"/>
    </row>
    <row r="10" spans="1:19">
      <c r="A10" s="1343" t="s">
        <v>1265</v>
      </c>
      <c r="B10" s="531" t="s">
        <v>1472</v>
      </c>
      <c r="C10" s="72">
        <v>90</v>
      </c>
      <c r="D10" s="109">
        <v>43108</v>
      </c>
      <c r="E10" s="109">
        <v>43108</v>
      </c>
      <c r="F10" s="531" t="s">
        <v>160</v>
      </c>
      <c r="G10" s="531" t="s">
        <v>723</v>
      </c>
      <c r="H10" s="61" t="s">
        <v>942</v>
      </c>
      <c r="I10" s="287">
        <v>17</v>
      </c>
      <c r="J10" s="285">
        <v>17</v>
      </c>
      <c r="K10" s="531"/>
      <c r="L10" s="531" t="s">
        <v>941</v>
      </c>
      <c r="M10" s="218">
        <v>2</v>
      </c>
      <c r="N10" s="218">
        <v>8</v>
      </c>
      <c r="O10" s="219">
        <v>43117</v>
      </c>
      <c r="P10" s="57">
        <v>43319</v>
      </c>
      <c r="Q10" s="441"/>
      <c r="R10" s="441"/>
      <c r="S10" s="441"/>
    </row>
    <row r="11" spans="1:19">
      <c r="A11" s="1343" t="s">
        <v>1265</v>
      </c>
      <c r="B11" s="530" t="s">
        <v>1473</v>
      </c>
      <c r="C11" s="1451" t="s">
        <v>969</v>
      </c>
      <c r="D11" s="109">
        <v>43108</v>
      </c>
      <c r="E11" s="109">
        <v>43108</v>
      </c>
      <c r="F11" s="286" t="s">
        <v>181</v>
      </c>
      <c r="G11" s="531" t="s">
        <v>723</v>
      </c>
      <c r="H11" s="61" t="s">
        <v>940</v>
      </c>
      <c r="I11" s="287">
        <v>1050</v>
      </c>
      <c r="J11" s="285">
        <v>1050</v>
      </c>
      <c r="K11" s="531"/>
      <c r="L11" s="205" t="s">
        <v>941</v>
      </c>
      <c r="M11" s="218">
        <v>6</v>
      </c>
      <c r="N11" s="218">
        <v>42</v>
      </c>
      <c r="O11" s="219">
        <v>43117</v>
      </c>
      <c r="P11" s="57">
        <v>43325</v>
      </c>
      <c r="Q11" s="441"/>
      <c r="R11" s="441"/>
      <c r="S11" s="441"/>
    </row>
    <row r="12" spans="1:19">
      <c r="A12" s="1343" t="s">
        <v>1265</v>
      </c>
      <c r="B12" s="530" t="s">
        <v>1473</v>
      </c>
      <c r="C12" s="1451" t="s">
        <v>969</v>
      </c>
      <c r="D12" s="109">
        <v>43108</v>
      </c>
      <c r="E12" s="109">
        <v>43108</v>
      </c>
      <c r="F12" s="531" t="s">
        <v>160</v>
      </c>
      <c r="G12" s="531" t="s">
        <v>723</v>
      </c>
      <c r="H12" s="61" t="s">
        <v>942</v>
      </c>
      <c r="I12" s="287">
        <v>13</v>
      </c>
      <c r="J12" s="285">
        <v>13</v>
      </c>
      <c r="K12" s="287"/>
      <c r="L12" s="531" t="s">
        <v>941</v>
      </c>
      <c r="M12" s="218">
        <v>2</v>
      </c>
      <c r="N12" s="218">
        <v>8</v>
      </c>
      <c r="O12" s="219">
        <v>43117</v>
      </c>
      <c r="P12" s="57">
        <v>43353</v>
      </c>
      <c r="Q12" s="441"/>
      <c r="R12" s="441"/>
      <c r="S12" s="441"/>
    </row>
    <row r="13" spans="1:19">
      <c r="A13" s="1343" t="s">
        <v>1265</v>
      </c>
      <c r="B13" s="530" t="s">
        <v>1473</v>
      </c>
      <c r="C13" s="72" t="s">
        <v>969</v>
      </c>
      <c r="D13" s="109">
        <v>43108</v>
      </c>
      <c r="E13" s="109">
        <v>43108</v>
      </c>
      <c r="F13" s="286" t="s">
        <v>161</v>
      </c>
      <c r="G13" s="530" t="s">
        <v>723</v>
      </c>
      <c r="H13" s="1774" t="s">
        <v>945</v>
      </c>
      <c r="I13" s="141">
        <v>0.7</v>
      </c>
      <c r="J13" s="222">
        <v>0.7</v>
      </c>
      <c r="K13" s="532"/>
      <c r="L13" s="531" t="s">
        <v>941</v>
      </c>
      <c r="M13" s="291">
        <v>0.1</v>
      </c>
      <c r="N13" s="291"/>
      <c r="O13" s="219">
        <v>43117</v>
      </c>
      <c r="P13" s="57">
        <v>43369</v>
      </c>
      <c r="Q13" s="441"/>
      <c r="R13" s="441"/>
      <c r="S13" s="441"/>
    </row>
    <row r="14" spans="1:19">
      <c r="A14" s="1342" t="s">
        <v>1266</v>
      </c>
      <c r="B14" s="530" t="s">
        <v>1473</v>
      </c>
      <c r="C14" s="72" t="s">
        <v>969</v>
      </c>
      <c r="D14" s="109">
        <v>43108</v>
      </c>
      <c r="E14" s="109">
        <v>43108</v>
      </c>
      <c r="F14" s="286" t="s">
        <v>161</v>
      </c>
      <c r="G14" s="530" t="s">
        <v>723</v>
      </c>
      <c r="H14" s="1774" t="s">
        <v>945</v>
      </c>
      <c r="I14" s="141">
        <v>1.8</v>
      </c>
      <c r="J14" s="222">
        <v>1.8</v>
      </c>
      <c r="K14" s="532"/>
      <c r="L14" s="531" t="s">
        <v>941</v>
      </c>
      <c r="M14" s="291">
        <v>0.1</v>
      </c>
      <c r="N14" s="291"/>
      <c r="O14" s="219">
        <v>43117</v>
      </c>
      <c r="P14" s="57">
        <v>43388</v>
      </c>
      <c r="Q14" s="441"/>
      <c r="R14" s="441"/>
      <c r="S14" s="441"/>
    </row>
    <row r="15" spans="1:19">
      <c r="A15" s="1342" t="s">
        <v>1266</v>
      </c>
      <c r="B15" s="531" t="s">
        <v>1474</v>
      </c>
      <c r="C15" s="72" t="s">
        <v>970</v>
      </c>
      <c r="D15" s="109">
        <v>43108</v>
      </c>
      <c r="E15" s="109">
        <v>43108</v>
      </c>
      <c r="F15" s="286" t="s">
        <v>181</v>
      </c>
      <c r="G15" s="531" t="s">
        <v>723</v>
      </c>
      <c r="H15" s="61" t="s">
        <v>940</v>
      </c>
      <c r="I15" s="287">
        <v>1046</v>
      </c>
      <c r="J15" s="285">
        <v>1046</v>
      </c>
      <c r="K15" s="531"/>
      <c r="L15" s="205" t="s">
        <v>941</v>
      </c>
      <c r="M15" s="218">
        <v>6</v>
      </c>
      <c r="N15" s="218">
        <v>42</v>
      </c>
      <c r="O15" s="219">
        <v>43117</v>
      </c>
      <c r="P15" s="57">
        <v>43409</v>
      </c>
      <c r="Q15" s="441"/>
      <c r="R15" s="441"/>
      <c r="S15" s="441"/>
    </row>
    <row r="16" spans="1:19">
      <c r="A16" s="1344" t="s">
        <v>1267</v>
      </c>
      <c r="B16" s="531" t="s">
        <v>1474</v>
      </c>
      <c r="C16" s="72" t="s">
        <v>970</v>
      </c>
      <c r="D16" s="109">
        <v>43108</v>
      </c>
      <c r="E16" s="109">
        <v>43108</v>
      </c>
      <c r="F16" s="531" t="s">
        <v>160</v>
      </c>
      <c r="G16" s="531" t="s">
        <v>723</v>
      </c>
      <c r="H16" s="61" t="s">
        <v>942</v>
      </c>
      <c r="I16" s="287">
        <v>14</v>
      </c>
      <c r="J16" s="285">
        <v>14</v>
      </c>
      <c r="K16" s="287"/>
      <c r="L16" s="531" t="s">
        <v>941</v>
      </c>
      <c r="M16" s="218">
        <v>2</v>
      </c>
      <c r="N16" s="218">
        <v>8</v>
      </c>
      <c r="O16" s="219">
        <v>43117</v>
      </c>
      <c r="P16" s="57">
        <v>43444</v>
      </c>
      <c r="Q16" s="441"/>
      <c r="R16" s="441"/>
      <c r="S16" s="441"/>
    </row>
    <row r="17" spans="1:15">
      <c r="A17" s="1344" t="s">
        <v>1267</v>
      </c>
    </row>
    <row r="18" spans="1:15">
      <c r="A18" s="1346" t="s">
        <v>1268</v>
      </c>
      <c r="B18" s="1932" t="s">
        <v>1478</v>
      </c>
      <c r="C18" s="1938" t="s">
        <v>967</v>
      </c>
      <c r="D18" s="1937" t="s">
        <v>1479</v>
      </c>
      <c r="E18" s="1937" t="s">
        <v>1479</v>
      </c>
      <c r="F18" s="1944" t="s">
        <v>181</v>
      </c>
      <c r="G18" s="1933" t="s">
        <v>723</v>
      </c>
      <c r="H18" s="1939" t="s">
        <v>940</v>
      </c>
      <c r="I18" s="1935">
        <v>769</v>
      </c>
      <c r="J18" s="1940">
        <v>769</v>
      </c>
      <c r="K18" s="1933"/>
      <c r="L18" s="1945" t="s">
        <v>941</v>
      </c>
      <c r="M18" s="1936">
        <v>6</v>
      </c>
      <c r="N18" s="1936">
        <v>42</v>
      </c>
      <c r="O18" s="1934">
        <v>43160</v>
      </c>
    </row>
    <row r="19" spans="1:15">
      <c r="A19" s="1344" t="s">
        <v>1268</v>
      </c>
      <c r="B19" s="1932" t="s">
        <v>1478</v>
      </c>
      <c r="C19" s="1938" t="s">
        <v>967</v>
      </c>
      <c r="D19" s="1937" t="s">
        <v>1479</v>
      </c>
      <c r="E19" s="1937" t="s">
        <v>1479</v>
      </c>
      <c r="F19" s="1933" t="s">
        <v>160</v>
      </c>
      <c r="G19" s="1933" t="s">
        <v>723</v>
      </c>
      <c r="H19" s="1939" t="s">
        <v>942</v>
      </c>
      <c r="I19" s="1935">
        <v>8</v>
      </c>
      <c r="J19" s="1940">
        <v>8</v>
      </c>
      <c r="K19" s="1935" t="s">
        <v>953</v>
      </c>
      <c r="L19" s="1933" t="s">
        <v>941</v>
      </c>
      <c r="M19" s="1936">
        <v>2</v>
      </c>
      <c r="N19" s="1936">
        <v>8</v>
      </c>
      <c r="O19" s="1934">
        <v>43160</v>
      </c>
    </row>
    <row r="20" spans="1:15">
      <c r="A20" s="1345" t="s">
        <v>1269</v>
      </c>
      <c r="B20" s="1942" t="s">
        <v>1480</v>
      </c>
      <c r="C20" s="1938" t="s">
        <v>968</v>
      </c>
      <c r="D20" s="1937" t="s">
        <v>1479</v>
      </c>
      <c r="E20" s="1937" t="s">
        <v>1479</v>
      </c>
      <c r="F20" s="1944" t="s">
        <v>181</v>
      </c>
      <c r="G20" s="1933" t="s">
        <v>723</v>
      </c>
      <c r="H20" s="1939" t="s">
        <v>940</v>
      </c>
      <c r="I20" s="1935">
        <v>1245</v>
      </c>
      <c r="J20" s="1940">
        <v>1245</v>
      </c>
      <c r="K20" s="1933"/>
      <c r="L20" s="1945" t="s">
        <v>941</v>
      </c>
      <c r="M20" s="1936">
        <v>6</v>
      </c>
      <c r="N20" s="1936">
        <v>42</v>
      </c>
      <c r="O20" s="1934">
        <v>43160</v>
      </c>
    </row>
    <row r="21" spans="1:15">
      <c r="A21" s="1346" t="s">
        <v>1269</v>
      </c>
      <c r="B21" s="1932" t="s">
        <v>1480</v>
      </c>
      <c r="C21" s="1938" t="s">
        <v>968</v>
      </c>
      <c r="D21" s="1937" t="s">
        <v>1479</v>
      </c>
      <c r="E21" s="1937" t="s">
        <v>1479</v>
      </c>
      <c r="F21" s="1933" t="s">
        <v>160</v>
      </c>
      <c r="G21" s="1933" t="s">
        <v>723</v>
      </c>
      <c r="H21" s="1939" t="s">
        <v>942</v>
      </c>
      <c r="I21" s="1935">
        <v>21</v>
      </c>
      <c r="J21" s="1940">
        <v>21</v>
      </c>
      <c r="K21" s="1935"/>
      <c r="L21" s="1933" t="s">
        <v>941</v>
      </c>
      <c r="M21" s="1936">
        <v>2</v>
      </c>
      <c r="N21" s="1936">
        <v>8</v>
      </c>
      <c r="O21" s="1934">
        <v>43160</v>
      </c>
    </row>
    <row r="22" spans="1:15">
      <c r="A22" s="1345" t="s">
        <v>1270</v>
      </c>
      <c r="B22" s="1933" t="s">
        <v>1481</v>
      </c>
      <c r="C22" s="1938">
        <v>45</v>
      </c>
      <c r="D22" s="1937" t="s">
        <v>1479</v>
      </c>
      <c r="E22" s="1937" t="s">
        <v>1479</v>
      </c>
      <c r="F22" s="1944" t="s">
        <v>181</v>
      </c>
      <c r="G22" s="1933" t="s">
        <v>723</v>
      </c>
      <c r="H22" s="1939" t="s">
        <v>940</v>
      </c>
      <c r="I22" s="1935">
        <v>1002</v>
      </c>
      <c r="J22" s="1940">
        <v>1002</v>
      </c>
      <c r="K22" s="1933"/>
      <c r="L22" s="1945" t="s">
        <v>941</v>
      </c>
      <c r="M22" s="1936">
        <v>6</v>
      </c>
      <c r="N22" s="1936">
        <v>42</v>
      </c>
      <c r="O22" s="1934">
        <v>43160</v>
      </c>
    </row>
    <row r="23" spans="1:15">
      <c r="A23" s="1345" t="s">
        <v>1270</v>
      </c>
      <c r="B23" s="1942" t="s">
        <v>1481</v>
      </c>
      <c r="C23" s="1938">
        <v>45</v>
      </c>
      <c r="D23" s="1937" t="s">
        <v>1479</v>
      </c>
      <c r="E23" s="1937" t="s">
        <v>1479</v>
      </c>
      <c r="F23" s="1933" t="s">
        <v>160</v>
      </c>
      <c r="G23" s="1933" t="s">
        <v>723</v>
      </c>
      <c r="H23" s="1939" t="s">
        <v>942</v>
      </c>
      <c r="I23" s="1935">
        <v>15</v>
      </c>
      <c r="J23" s="1940">
        <v>15</v>
      </c>
      <c r="K23" s="1935"/>
      <c r="L23" s="1933" t="s">
        <v>941</v>
      </c>
      <c r="M23" s="1936">
        <v>2</v>
      </c>
      <c r="N23" s="1936">
        <v>8</v>
      </c>
      <c r="O23" s="1934">
        <v>43160</v>
      </c>
    </row>
    <row r="24" spans="1:15">
      <c r="A24" s="1346" t="s">
        <v>1271</v>
      </c>
      <c r="B24" s="1933" t="s">
        <v>1482</v>
      </c>
      <c r="C24" s="1938">
        <v>90</v>
      </c>
      <c r="D24" s="1937" t="s">
        <v>1479</v>
      </c>
      <c r="E24" s="1937" t="s">
        <v>1479</v>
      </c>
      <c r="F24" s="1944" t="s">
        <v>181</v>
      </c>
      <c r="G24" s="1933" t="s">
        <v>723</v>
      </c>
      <c r="H24" s="1939" t="s">
        <v>940</v>
      </c>
      <c r="I24" s="1935">
        <v>1127</v>
      </c>
      <c r="J24" s="1940">
        <v>1127</v>
      </c>
      <c r="K24" s="1933"/>
      <c r="L24" s="1945" t="s">
        <v>941</v>
      </c>
      <c r="M24" s="1936">
        <v>6</v>
      </c>
      <c r="N24" s="1936">
        <v>42</v>
      </c>
      <c r="O24" s="1934">
        <v>43160</v>
      </c>
    </row>
    <row r="25" spans="1:15">
      <c r="A25" s="1346" t="s">
        <v>1271</v>
      </c>
      <c r="B25" s="1933" t="s">
        <v>1482</v>
      </c>
      <c r="C25" s="1938">
        <v>90</v>
      </c>
      <c r="D25" s="1937" t="s">
        <v>1479</v>
      </c>
      <c r="E25" s="1937" t="s">
        <v>1479</v>
      </c>
      <c r="F25" s="1933" t="s">
        <v>160</v>
      </c>
      <c r="G25" s="1933" t="s">
        <v>723</v>
      </c>
      <c r="H25" s="1939" t="s">
        <v>942</v>
      </c>
      <c r="I25" s="1935">
        <v>19</v>
      </c>
      <c r="J25" s="1940">
        <v>19</v>
      </c>
      <c r="K25" s="1933"/>
      <c r="L25" s="1933" t="s">
        <v>941</v>
      </c>
      <c r="M25" s="1936">
        <v>2</v>
      </c>
      <c r="N25" s="1936">
        <v>8</v>
      </c>
      <c r="O25" s="1934">
        <v>43160</v>
      </c>
    </row>
    <row r="26" spans="1:15">
      <c r="A26" s="1346" t="s">
        <v>1271</v>
      </c>
      <c r="B26" s="1942" t="s">
        <v>1483</v>
      </c>
      <c r="C26" s="1943" t="s">
        <v>969</v>
      </c>
      <c r="D26" s="1937" t="s">
        <v>1479</v>
      </c>
      <c r="E26" s="1937" t="s">
        <v>1479</v>
      </c>
      <c r="F26" s="1944" t="s">
        <v>181</v>
      </c>
      <c r="G26" s="1933" t="s">
        <v>723</v>
      </c>
      <c r="H26" s="1939" t="s">
        <v>940</v>
      </c>
      <c r="I26" s="1935">
        <v>1170</v>
      </c>
      <c r="J26" s="1940">
        <v>1170</v>
      </c>
      <c r="K26" s="1933"/>
      <c r="L26" s="1945" t="s">
        <v>941</v>
      </c>
      <c r="M26" s="1936">
        <v>6</v>
      </c>
      <c r="N26" s="1936">
        <v>42</v>
      </c>
      <c r="O26" s="1934">
        <v>43160</v>
      </c>
    </row>
    <row r="27" spans="1:15">
      <c r="A27" s="1346" t="s">
        <v>1271</v>
      </c>
      <c r="B27" s="1942" t="s">
        <v>1483</v>
      </c>
      <c r="C27" s="1943" t="s">
        <v>969</v>
      </c>
      <c r="D27" s="1937" t="s">
        <v>1479</v>
      </c>
      <c r="E27" s="1937" t="s">
        <v>1479</v>
      </c>
      <c r="F27" s="1933" t="s">
        <v>160</v>
      </c>
      <c r="G27" s="1933" t="s">
        <v>723</v>
      </c>
      <c r="H27" s="1939" t="s">
        <v>942</v>
      </c>
      <c r="I27" s="1935">
        <v>25</v>
      </c>
      <c r="J27" s="1940">
        <v>25</v>
      </c>
      <c r="K27" s="1935"/>
      <c r="L27" s="1933" t="s">
        <v>941</v>
      </c>
      <c r="M27" s="1936">
        <v>2</v>
      </c>
      <c r="N27" s="1936">
        <v>8</v>
      </c>
      <c r="O27" s="1934">
        <v>43160</v>
      </c>
    </row>
    <row r="28" spans="1:15">
      <c r="A28" s="1345" t="s">
        <v>1272</v>
      </c>
      <c r="B28" s="1942" t="s">
        <v>1483</v>
      </c>
      <c r="C28" s="1938" t="s">
        <v>969</v>
      </c>
      <c r="D28" s="1937" t="s">
        <v>1479</v>
      </c>
      <c r="E28" s="1937" t="s">
        <v>1479</v>
      </c>
      <c r="F28" s="1944" t="s">
        <v>161</v>
      </c>
      <c r="G28" s="1942" t="s">
        <v>723</v>
      </c>
      <c r="H28" s="1946" t="s">
        <v>945</v>
      </c>
      <c r="I28" s="1947">
        <v>15.8</v>
      </c>
      <c r="J28" s="1949">
        <v>15.8</v>
      </c>
      <c r="K28" s="1941"/>
      <c r="L28" s="1933" t="s">
        <v>941</v>
      </c>
      <c r="M28" s="1948">
        <v>0.1</v>
      </c>
      <c r="N28" s="1948"/>
      <c r="O28" s="1934">
        <v>43166</v>
      </c>
    </row>
    <row r="29" spans="1:15">
      <c r="A29" s="1345" t="s">
        <v>1272</v>
      </c>
      <c r="B29" s="1942" t="s">
        <v>1483</v>
      </c>
      <c r="C29" s="1938" t="s">
        <v>969</v>
      </c>
      <c r="D29" s="1937" t="s">
        <v>1479</v>
      </c>
      <c r="E29" s="1937" t="s">
        <v>1479</v>
      </c>
      <c r="F29" s="1944" t="s">
        <v>161</v>
      </c>
      <c r="G29" s="1942" t="s">
        <v>723</v>
      </c>
      <c r="H29" s="1946" t="s">
        <v>945</v>
      </c>
      <c r="I29" s="1947">
        <v>15.1</v>
      </c>
      <c r="J29" s="1949">
        <v>15.1</v>
      </c>
      <c r="K29" s="1941"/>
      <c r="L29" s="1933" t="s">
        <v>941</v>
      </c>
      <c r="M29" s="1948">
        <v>0.1</v>
      </c>
      <c r="N29" s="1948"/>
      <c r="O29" s="1934">
        <v>43166</v>
      </c>
    </row>
    <row r="30" spans="1:15">
      <c r="A30" s="1361" t="s">
        <v>1273</v>
      </c>
      <c r="B30" s="1933" t="s">
        <v>1484</v>
      </c>
      <c r="C30" s="1938" t="s">
        <v>970</v>
      </c>
      <c r="D30" s="1937" t="s">
        <v>1479</v>
      </c>
      <c r="E30" s="1937" t="s">
        <v>1479</v>
      </c>
      <c r="F30" s="1944" t="s">
        <v>181</v>
      </c>
      <c r="G30" s="1933" t="s">
        <v>723</v>
      </c>
      <c r="H30" s="1939" t="s">
        <v>940</v>
      </c>
      <c r="I30" s="1935">
        <v>1267</v>
      </c>
      <c r="J30" s="1940">
        <v>1267</v>
      </c>
      <c r="K30" s="1933"/>
      <c r="L30" s="1945" t="s">
        <v>941</v>
      </c>
      <c r="M30" s="1936">
        <v>6</v>
      </c>
      <c r="N30" s="1936">
        <v>42</v>
      </c>
      <c r="O30" s="1934">
        <v>43160</v>
      </c>
    </row>
    <row r="31" spans="1:15">
      <c r="A31" s="1361" t="s">
        <v>1273</v>
      </c>
      <c r="B31" s="1933" t="s">
        <v>1484</v>
      </c>
      <c r="C31" s="1938" t="s">
        <v>970</v>
      </c>
      <c r="D31" s="1937" t="s">
        <v>1479</v>
      </c>
      <c r="E31" s="1937" t="s">
        <v>1479</v>
      </c>
      <c r="F31" s="1933" t="s">
        <v>160</v>
      </c>
      <c r="G31" s="1933" t="s">
        <v>723</v>
      </c>
      <c r="H31" s="1939" t="s">
        <v>942</v>
      </c>
      <c r="I31" s="1935">
        <v>19</v>
      </c>
      <c r="J31" s="1940">
        <v>19</v>
      </c>
      <c r="K31" s="1935"/>
      <c r="L31" s="1933" t="s">
        <v>941</v>
      </c>
      <c r="M31" s="1936">
        <v>2</v>
      </c>
      <c r="N31" s="1936">
        <v>8</v>
      </c>
      <c r="O31" s="1934">
        <v>43160</v>
      </c>
    </row>
    <row r="32" spans="1:15">
      <c r="A32" s="1363" t="s">
        <v>1274</v>
      </c>
    </row>
    <row r="33" spans="1:15">
      <c r="A33" s="1361" t="s">
        <v>1274</v>
      </c>
      <c r="B33" s="1964" t="s">
        <v>1490</v>
      </c>
      <c r="C33" s="1970" t="s">
        <v>967</v>
      </c>
      <c r="D33" s="1969">
        <v>43178</v>
      </c>
      <c r="E33" s="1969">
        <v>43178</v>
      </c>
      <c r="F33" s="1976" t="s">
        <v>181</v>
      </c>
      <c r="G33" s="1965" t="s">
        <v>723</v>
      </c>
      <c r="H33" s="1971" t="s">
        <v>940</v>
      </c>
      <c r="I33" s="1967">
        <v>872</v>
      </c>
      <c r="J33" s="1972">
        <v>872</v>
      </c>
      <c r="K33" s="1965"/>
      <c r="L33" s="1977" t="s">
        <v>941</v>
      </c>
      <c r="M33" s="1968">
        <v>6</v>
      </c>
      <c r="N33" s="1968">
        <v>42</v>
      </c>
      <c r="O33" s="1966">
        <v>43193</v>
      </c>
    </row>
    <row r="34" spans="1:15">
      <c r="A34" s="1362" t="s">
        <v>1275</v>
      </c>
      <c r="B34" s="1964" t="s">
        <v>1490</v>
      </c>
      <c r="C34" s="1970" t="s">
        <v>967</v>
      </c>
      <c r="D34" s="1969">
        <v>43178</v>
      </c>
      <c r="E34" s="1969">
        <v>43178</v>
      </c>
      <c r="F34" s="1965" t="s">
        <v>160</v>
      </c>
      <c r="G34" s="1965" t="s">
        <v>723</v>
      </c>
      <c r="H34" s="1971" t="s">
        <v>942</v>
      </c>
      <c r="I34" s="1967">
        <v>8</v>
      </c>
      <c r="J34" s="1972">
        <v>8</v>
      </c>
      <c r="K34" s="1967" t="s">
        <v>953</v>
      </c>
      <c r="L34" s="1965" t="s">
        <v>941</v>
      </c>
      <c r="M34" s="1968">
        <v>2</v>
      </c>
      <c r="N34" s="1968">
        <v>8</v>
      </c>
      <c r="O34" s="1966">
        <v>43193</v>
      </c>
    </row>
    <row r="35" spans="1:15">
      <c r="A35" s="1363" t="s">
        <v>1275</v>
      </c>
      <c r="B35" s="1974" t="s">
        <v>1491</v>
      </c>
      <c r="C35" s="1970" t="s">
        <v>968</v>
      </c>
      <c r="D35" s="1969">
        <v>43178</v>
      </c>
      <c r="E35" s="1969">
        <v>43178</v>
      </c>
      <c r="F35" s="1976" t="s">
        <v>181</v>
      </c>
      <c r="G35" s="1965" t="s">
        <v>723</v>
      </c>
      <c r="H35" s="1971" t="s">
        <v>940</v>
      </c>
      <c r="I35" s="1967">
        <v>1333</v>
      </c>
      <c r="J35" s="1972">
        <v>1333</v>
      </c>
      <c r="K35" s="1965"/>
      <c r="L35" s="1977" t="s">
        <v>941</v>
      </c>
      <c r="M35" s="1968">
        <v>6</v>
      </c>
      <c r="N35" s="1968">
        <v>42</v>
      </c>
      <c r="O35" s="1966">
        <v>43193</v>
      </c>
    </row>
    <row r="36" spans="1:15">
      <c r="A36" s="1362" t="s">
        <v>1276</v>
      </c>
      <c r="B36" s="1964" t="s">
        <v>1491</v>
      </c>
      <c r="C36" s="1970" t="s">
        <v>968</v>
      </c>
      <c r="D36" s="1969">
        <v>43178</v>
      </c>
      <c r="E36" s="1969">
        <v>43178</v>
      </c>
      <c r="F36" s="1965" t="s">
        <v>160</v>
      </c>
      <c r="G36" s="1965" t="s">
        <v>723</v>
      </c>
      <c r="H36" s="1971" t="s">
        <v>942</v>
      </c>
      <c r="I36" s="1967">
        <v>56</v>
      </c>
      <c r="J36" s="1972">
        <v>56</v>
      </c>
      <c r="K36" s="1967"/>
      <c r="L36" s="1965" t="s">
        <v>941</v>
      </c>
      <c r="M36" s="1968">
        <v>2</v>
      </c>
      <c r="N36" s="1968">
        <v>8</v>
      </c>
      <c r="O36" s="1966">
        <v>43193</v>
      </c>
    </row>
    <row r="37" spans="1:15">
      <c r="A37" s="1362" t="s">
        <v>1276</v>
      </c>
      <c r="B37" s="1965" t="s">
        <v>1492</v>
      </c>
      <c r="C37" s="1970">
        <v>45</v>
      </c>
      <c r="D37" s="1969">
        <v>43178</v>
      </c>
      <c r="E37" s="1969">
        <v>43178</v>
      </c>
      <c r="F37" s="1976" t="s">
        <v>181</v>
      </c>
      <c r="G37" s="1965" t="s">
        <v>723</v>
      </c>
      <c r="H37" s="1971" t="s">
        <v>940</v>
      </c>
      <c r="I37" s="1967">
        <v>829</v>
      </c>
      <c r="J37" s="1972">
        <v>829</v>
      </c>
      <c r="K37" s="1965"/>
      <c r="L37" s="1977" t="s">
        <v>941</v>
      </c>
      <c r="M37" s="1968">
        <v>6</v>
      </c>
      <c r="N37" s="1968">
        <v>42</v>
      </c>
      <c r="O37" s="1966">
        <v>43193</v>
      </c>
    </row>
    <row r="38" spans="1:15">
      <c r="A38" s="1363" t="s">
        <v>1277</v>
      </c>
      <c r="B38" s="1974" t="s">
        <v>1492</v>
      </c>
      <c r="C38" s="1970">
        <v>45</v>
      </c>
      <c r="D38" s="1969">
        <v>43178</v>
      </c>
      <c r="E38" s="1969">
        <v>43178</v>
      </c>
      <c r="F38" s="1965" t="s">
        <v>160</v>
      </c>
      <c r="G38" s="1965" t="s">
        <v>723</v>
      </c>
      <c r="H38" s="1971" t="s">
        <v>942</v>
      </c>
      <c r="I38" s="1967">
        <v>12</v>
      </c>
      <c r="J38" s="1972">
        <v>12</v>
      </c>
      <c r="K38" s="1967"/>
      <c r="L38" s="1965" t="s">
        <v>941</v>
      </c>
      <c r="M38" s="1968">
        <v>2</v>
      </c>
      <c r="N38" s="1968">
        <v>8</v>
      </c>
      <c r="O38" s="1966">
        <v>43193</v>
      </c>
    </row>
    <row r="39" spans="1:15">
      <c r="A39" s="1363" t="s">
        <v>1277</v>
      </c>
      <c r="B39" s="1965" t="s">
        <v>1493</v>
      </c>
      <c r="C39" s="1970">
        <v>90</v>
      </c>
      <c r="D39" s="1969">
        <v>43178</v>
      </c>
      <c r="E39" s="1969">
        <v>43178</v>
      </c>
      <c r="F39" s="1976" t="s">
        <v>181</v>
      </c>
      <c r="G39" s="1965" t="s">
        <v>723</v>
      </c>
      <c r="H39" s="1971" t="s">
        <v>940</v>
      </c>
      <c r="I39" s="1967">
        <v>1015</v>
      </c>
      <c r="J39" s="1972">
        <v>1015</v>
      </c>
      <c r="K39" s="1965"/>
      <c r="L39" s="1977" t="s">
        <v>941</v>
      </c>
      <c r="M39" s="1968">
        <v>6</v>
      </c>
      <c r="N39" s="1968">
        <v>42</v>
      </c>
      <c r="O39" s="1966">
        <v>43193</v>
      </c>
    </row>
    <row r="40" spans="1:15">
      <c r="A40" s="1363" t="s">
        <v>1277</v>
      </c>
      <c r="B40" s="1965" t="s">
        <v>1493</v>
      </c>
      <c r="C40" s="1970">
        <v>90</v>
      </c>
      <c r="D40" s="1969">
        <v>43178</v>
      </c>
      <c r="E40" s="1969">
        <v>43178</v>
      </c>
      <c r="F40" s="1965" t="s">
        <v>160</v>
      </c>
      <c r="G40" s="1965" t="s">
        <v>723</v>
      </c>
      <c r="H40" s="1971" t="s">
        <v>942</v>
      </c>
      <c r="I40" s="1967">
        <v>18</v>
      </c>
      <c r="J40" s="1972">
        <v>18</v>
      </c>
      <c r="K40" s="1965"/>
      <c r="L40" s="1965" t="s">
        <v>941</v>
      </c>
      <c r="M40" s="1968">
        <v>2</v>
      </c>
      <c r="N40" s="1968">
        <v>8</v>
      </c>
      <c r="O40" s="1966">
        <v>43193</v>
      </c>
    </row>
    <row r="41" spans="1:15">
      <c r="A41" s="1363" t="s">
        <v>1277</v>
      </c>
      <c r="B41" s="1974" t="s">
        <v>1494</v>
      </c>
      <c r="C41" s="1975" t="s">
        <v>969</v>
      </c>
      <c r="D41" s="1969">
        <v>43178</v>
      </c>
      <c r="E41" s="1969">
        <v>43178</v>
      </c>
      <c r="F41" s="1976" t="s">
        <v>181</v>
      </c>
      <c r="G41" s="1965" t="s">
        <v>723</v>
      </c>
      <c r="H41" s="1971" t="s">
        <v>940</v>
      </c>
      <c r="I41" s="1967">
        <v>906</v>
      </c>
      <c r="J41" s="1972">
        <v>906</v>
      </c>
      <c r="K41" s="1965"/>
      <c r="L41" s="1977" t="s">
        <v>941</v>
      </c>
      <c r="M41" s="1968">
        <v>6</v>
      </c>
      <c r="N41" s="1968">
        <v>42</v>
      </c>
      <c r="O41" s="1966">
        <v>43193</v>
      </c>
    </row>
    <row r="42" spans="1:15">
      <c r="A42" s="1362" t="s">
        <v>1278</v>
      </c>
      <c r="B42" s="1974" t="s">
        <v>1494</v>
      </c>
      <c r="C42" s="1975" t="s">
        <v>969</v>
      </c>
      <c r="D42" s="1969">
        <v>43178</v>
      </c>
      <c r="E42" s="1969">
        <v>43178</v>
      </c>
      <c r="F42" s="1965" t="s">
        <v>160</v>
      </c>
      <c r="G42" s="1965" t="s">
        <v>723</v>
      </c>
      <c r="H42" s="1971" t="s">
        <v>942</v>
      </c>
      <c r="I42" s="1967">
        <v>15</v>
      </c>
      <c r="J42" s="1972">
        <v>15</v>
      </c>
      <c r="K42" s="1967"/>
      <c r="L42" s="1965" t="s">
        <v>941</v>
      </c>
      <c r="M42" s="1968">
        <v>2</v>
      </c>
      <c r="N42" s="1968">
        <v>8</v>
      </c>
      <c r="O42" s="1966">
        <v>43193</v>
      </c>
    </row>
    <row r="43" spans="1:15">
      <c r="A43" s="1362" t="s">
        <v>1278</v>
      </c>
      <c r="B43" s="1974" t="s">
        <v>1494</v>
      </c>
      <c r="C43" s="1970" t="s">
        <v>969</v>
      </c>
      <c r="D43" s="1969">
        <v>43178</v>
      </c>
      <c r="E43" s="1969">
        <v>43178</v>
      </c>
      <c r="F43" s="1976" t="s">
        <v>161</v>
      </c>
      <c r="G43" s="1974" t="s">
        <v>723</v>
      </c>
      <c r="H43" s="1978" t="s">
        <v>945</v>
      </c>
      <c r="I43" s="1979">
        <v>5.9</v>
      </c>
      <c r="J43" s="1981">
        <v>5.9</v>
      </c>
      <c r="K43" s="1973"/>
      <c r="L43" s="1965" t="s">
        <v>941</v>
      </c>
      <c r="M43" s="1980">
        <v>0.1</v>
      </c>
      <c r="N43" s="1980"/>
      <c r="O43" s="1966">
        <v>43188</v>
      </c>
    </row>
    <row r="44" spans="1:15">
      <c r="A44" s="1397" t="s">
        <v>1280</v>
      </c>
      <c r="B44" s="1974" t="s">
        <v>1494</v>
      </c>
      <c r="C44" s="1970" t="s">
        <v>969</v>
      </c>
      <c r="D44" s="1969">
        <v>43178</v>
      </c>
      <c r="E44" s="1969">
        <v>43178</v>
      </c>
      <c r="F44" s="1976" t="s">
        <v>161</v>
      </c>
      <c r="G44" s="1974" t="s">
        <v>723</v>
      </c>
      <c r="H44" s="1978" t="s">
        <v>945</v>
      </c>
      <c r="I44" s="1979">
        <v>5.9</v>
      </c>
      <c r="J44" s="1981">
        <v>5.9</v>
      </c>
      <c r="K44" s="1973"/>
      <c r="L44" s="1965" t="s">
        <v>941</v>
      </c>
      <c r="M44" s="1980">
        <v>0.1</v>
      </c>
      <c r="N44" s="1980"/>
      <c r="O44" s="1966">
        <v>43188</v>
      </c>
    </row>
    <row r="45" spans="1:15">
      <c r="A45" s="1397" t="s">
        <v>1280</v>
      </c>
      <c r="B45" s="1965" t="s">
        <v>1495</v>
      </c>
      <c r="C45" s="1970" t="s">
        <v>970</v>
      </c>
      <c r="D45" s="1969">
        <v>43178</v>
      </c>
      <c r="E45" s="1969">
        <v>43178</v>
      </c>
      <c r="F45" s="1976" t="s">
        <v>181</v>
      </c>
      <c r="G45" s="1965" t="s">
        <v>723</v>
      </c>
      <c r="H45" s="1971" t="s">
        <v>940</v>
      </c>
      <c r="I45" s="1967">
        <v>1149</v>
      </c>
      <c r="J45" s="1972">
        <v>1149</v>
      </c>
      <c r="K45" s="1965"/>
      <c r="L45" s="1977" t="s">
        <v>941</v>
      </c>
      <c r="M45" s="1968">
        <v>6</v>
      </c>
      <c r="N45" s="1968">
        <v>42</v>
      </c>
      <c r="O45" s="1966">
        <v>43193</v>
      </c>
    </row>
    <row r="46" spans="1:15">
      <c r="A46" s="1406" t="s">
        <v>1281</v>
      </c>
      <c r="B46" s="1965" t="s">
        <v>1495</v>
      </c>
      <c r="C46" s="1970" t="s">
        <v>970</v>
      </c>
      <c r="D46" s="1969">
        <v>43178</v>
      </c>
      <c r="E46" s="1969">
        <v>43178</v>
      </c>
      <c r="F46" s="1965" t="s">
        <v>160</v>
      </c>
      <c r="G46" s="1965" t="s">
        <v>723</v>
      </c>
      <c r="H46" s="1971" t="s">
        <v>942</v>
      </c>
      <c r="I46" s="1967">
        <v>38</v>
      </c>
      <c r="J46" s="1972">
        <v>38</v>
      </c>
      <c r="K46" s="1967"/>
      <c r="L46" s="1965" t="s">
        <v>941</v>
      </c>
      <c r="M46" s="1968">
        <v>2</v>
      </c>
      <c r="N46" s="1968">
        <v>8</v>
      </c>
      <c r="O46" s="1966">
        <v>43193</v>
      </c>
    </row>
    <row r="47" spans="1:15">
      <c r="A47" s="1397" t="s">
        <v>1281</v>
      </c>
      <c r="B47" s="1403"/>
      <c r="C47" s="1402"/>
      <c r="D47" s="1402"/>
      <c r="E47" s="1398"/>
      <c r="F47" s="1398"/>
      <c r="G47" s="1404"/>
      <c r="H47" s="1400"/>
      <c r="I47" s="1405"/>
      <c r="J47" s="1400"/>
      <c r="K47" s="1398"/>
      <c r="L47" s="1401"/>
      <c r="M47" s="1401"/>
      <c r="N47" s="1399"/>
    </row>
    <row r="48" spans="1:15">
      <c r="A48" s="1398" t="s">
        <v>1282</v>
      </c>
      <c r="B48" s="1994" t="s">
        <v>1499</v>
      </c>
      <c r="C48" s="2000" t="s">
        <v>967</v>
      </c>
      <c r="D48" s="1999">
        <v>43199</v>
      </c>
      <c r="E48" s="1999">
        <v>43199</v>
      </c>
      <c r="F48" s="2006" t="s">
        <v>181</v>
      </c>
      <c r="G48" s="1995" t="s">
        <v>723</v>
      </c>
      <c r="H48" s="2001" t="s">
        <v>940</v>
      </c>
      <c r="I48" s="1997">
        <v>662</v>
      </c>
      <c r="J48" s="2002">
        <v>662</v>
      </c>
      <c r="K48" s="1995"/>
      <c r="L48" s="2007" t="s">
        <v>941</v>
      </c>
      <c r="M48" s="1998">
        <v>6</v>
      </c>
      <c r="N48" s="1998">
        <v>42</v>
      </c>
      <c r="O48" s="1996">
        <v>43216</v>
      </c>
    </row>
    <row r="49" spans="1:15">
      <c r="A49" s="1406" t="s">
        <v>1282</v>
      </c>
      <c r="B49" s="1994" t="s">
        <v>1499</v>
      </c>
      <c r="C49" s="2000" t="s">
        <v>967</v>
      </c>
      <c r="D49" s="1999">
        <v>43199</v>
      </c>
      <c r="E49" s="1999">
        <v>43199</v>
      </c>
      <c r="F49" s="1995" t="s">
        <v>160</v>
      </c>
      <c r="G49" s="1995" t="s">
        <v>723</v>
      </c>
      <c r="H49" s="2001" t="s">
        <v>942</v>
      </c>
      <c r="I49" s="1997">
        <v>21</v>
      </c>
      <c r="J49" s="2002">
        <v>21</v>
      </c>
      <c r="K49" s="1997"/>
      <c r="L49" s="1995" t="s">
        <v>941</v>
      </c>
      <c r="M49" s="1998">
        <v>2</v>
      </c>
      <c r="N49" s="1998">
        <v>8</v>
      </c>
      <c r="O49" s="1996">
        <v>43216</v>
      </c>
    </row>
    <row r="50" spans="1:15">
      <c r="A50" s="1398" t="s">
        <v>1283</v>
      </c>
      <c r="B50" s="2004" t="s">
        <v>1500</v>
      </c>
      <c r="C50" s="2000" t="s">
        <v>968</v>
      </c>
      <c r="D50" s="1999">
        <v>43199</v>
      </c>
      <c r="E50" s="1999">
        <v>43199</v>
      </c>
      <c r="F50" s="2006" t="s">
        <v>181</v>
      </c>
      <c r="G50" s="1995" t="s">
        <v>723</v>
      </c>
      <c r="H50" s="2001" t="s">
        <v>940</v>
      </c>
      <c r="I50" s="1997">
        <v>1143</v>
      </c>
      <c r="J50" s="2002">
        <v>1143</v>
      </c>
      <c r="K50" s="1995"/>
      <c r="L50" s="2007" t="s">
        <v>941</v>
      </c>
      <c r="M50" s="1998">
        <v>6</v>
      </c>
      <c r="N50" s="1998">
        <v>42</v>
      </c>
      <c r="O50" s="1996">
        <v>43216</v>
      </c>
    </row>
    <row r="51" spans="1:15">
      <c r="A51" s="1398" t="s">
        <v>1283</v>
      </c>
      <c r="B51" s="1994" t="s">
        <v>1500</v>
      </c>
      <c r="C51" s="2000" t="s">
        <v>968</v>
      </c>
      <c r="D51" s="1999">
        <v>43199</v>
      </c>
      <c r="E51" s="1999">
        <v>43199</v>
      </c>
      <c r="F51" s="1995" t="s">
        <v>160</v>
      </c>
      <c r="G51" s="1995" t="s">
        <v>723</v>
      </c>
      <c r="H51" s="2001" t="s">
        <v>942</v>
      </c>
      <c r="I51" s="1997">
        <v>17</v>
      </c>
      <c r="J51" s="2002">
        <v>17</v>
      </c>
      <c r="K51" s="1997"/>
      <c r="L51" s="1995" t="s">
        <v>941</v>
      </c>
      <c r="M51" s="1998">
        <v>2</v>
      </c>
      <c r="N51" s="1998">
        <v>8</v>
      </c>
      <c r="O51" s="1996">
        <v>43216</v>
      </c>
    </row>
    <row r="52" spans="1:15">
      <c r="A52" s="1406" t="s">
        <v>1284</v>
      </c>
      <c r="B52" s="1995" t="s">
        <v>1501</v>
      </c>
      <c r="C52" s="2000">
        <v>45</v>
      </c>
      <c r="D52" s="1999">
        <v>43199</v>
      </c>
      <c r="E52" s="1999">
        <v>43199</v>
      </c>
      <c r="F52" s="2006" t="s">
        <v>181</v>
      </c>
      <c r="G52" s="1995" t="s">
        <v>723</v>
      </c>
      <c r="H52" s="2001" t="s">
        <v>940</v>
      </c>
      <c r="I52" s="1997">
        <v>874</v>
      </c>
      <c r="J52" s="2002">
        <v>874</v>
      </c>
      <c r="K52" s="1995"/>
      <c r="L52" s="2007" t="s">
        <v>941</v>
      </c>
      <c r="M52" s="1998">
        <v>6</v>
      </c>
      <c r="N52" s="1998">
        <v>42</v>
      </c>
      <c r="O52" s="1996">
        <v>43216</v>
      </c>
    </row>
    <row r="53" spans="1:15">
      <c r="A53" s="1406" t="s">
        <v>1284</v>
      </c>
      <c r="B53" s="2004" t="s">
        <v>1501</v>
      </c>
      <c r="C53" s="2000">
        <v>45</v>
      </c>
      <c r="D53" s="1999">
        <v>43199</v>
      </c>
      <c r="E53" s="1999">
        <v>43199</v>
      </c>
      <c r="F53" s="1995" t="s">
        <v>160</v>
      </c>
      <c r="G53" s="1995" t="s">
        <v>723</v>
      </c>
      <c r="H53" s="2001" t="s">
        <v>942</v>
      </c>
      <c r="I53" s="1997">
        <v>16</v>
      </c>
      <c r="J53" s="2002">
        <v>16</v>
      </c>
      <c r="K53" s="1997"/>
      <c r="L53" s="1995" t="s">
        <v>941</v>
      </c>
      <c r="M53" s="1998">
        <v>2</v>
      </c>
      <c r="N53" s="1998">
        <v>8</v>
      </c>
      <c r="O53" s="1996">
        <v>43216</v>
      </c>
    </row>
    <row r="54" spans="1:15">
      <c r="A54" s="1406" t="s">
        <v>1284</v>
      </c>
      <c r="B54" s="1995" t="s">
        <v>1502</v>
      </c>
      <c r="C54" s="2000">
        <v>90</v>
      </c>
      <c r="D54" s="1999">
        <v>43199</v>
      </c>
      <c r="E54" s="1999">
        <v>43199</v>
      </c>
      <c r="F54" s="2006" t="s">
        <v>181</v>
      </c>
      <c r="G54" s="1995" t="s">
        <v>723</v>
      </c>
      <c r="H54" s="2001" t="s">
        <v>940</v>
      </c>
      <c r="I54" s="1997">
        <v>987</v>
      </c>
      <c r="J54" s="2002">
        <v>987</v>
      </c>
      <c r="K54" s="1995"/>
      <c r="L54" s="2007" t="s">
        <v>941</v>
      </c>
      <c r="M54" s="1998">
        <v>6</v>
      </c>
      <c r="N54" s="1998">
        <v>42</v>
      </c>
      <c r="O54" s="1996">
        <v>43216</v>
      </c>
    </row>
    <row r="55" spans="1:15">
      <c r="A55" s="1406" t="s">
        <v>1284</v>
      </c>
      <c r="B55" s="1995" t="s">
        <v>1502</v>
      </c>
      <c r="C55" s="2000">
        <v>90</v>
      </c>
      <c r="D55" s="1999">
        <v>43199</v>
      </c>
      <c r="E55" s="1999">
        <v>43199</v>
      </c>
      <c r="F55" s="1995" t="s">
        <v>160</v>
      </c>
      <c r="G55" s="1995" t="s">
        <v>723</v>
      </c>
      <c r="H55" s="2001" t="s">
        <v>942</v>
      </c>
      <c r="I55" s="1997">
        <v>27</v>
      </c>
      <c r="J55" s="2002">
        <v>27</v>
      </c>
      <c r="K55" s="1995"/>
      <c r="L55" s="1995" t="s">
        <v>941</v>
      </c>
      <c r="M55" s="1998">
        <v>2</v>
      </c>
      <c r="N55" s="1998">
        <v>8</v>
      </c>
      <c r="O55" s="1996">
        <v>43216</v>
      </c>
    </row>
    <row r="56" spans="1:15">
      <c r="A56" s="1398" t="s">
        <v>1285</v>
      </c>
      <c r="B56" s="2004" t="s">
        <v>1503</v>
      </c>
      <c r="C56" s="2005" t="s">
        <v>969</v>
      </c>
      <c r="D56" s="1999">
        <v>43199</v>
      </c>
      <c r="E56" s="1999">
        <v>43199</v>
      </c>
      <c r="F56" s="2006" t="s">
        <v>181</v>
      </c>
      <c r="G56" s="1995" t="s">
        <v>723</v>
      </c>
      <c r="H56" s="2001" t="s">
        <v>940</v>
      </c>
      <c r="I56" s="1997">
        <v>882</v>
      </c>
      <c r="J56" s="2002">
        <v>882</v>
      </c>
      <c r="K56" s="1995"/>
      <c r="L56" s="2007" t="s">
        <v>941</v>
      </c>
      <c r="M56" s="1998">
        <v>6</v>
      </c>
      <c r="N56" s="1998">
        <v>42</v>
      </c>
      <c r="O56" s="1996">
        <v>43216</v>
      </c>
    </row>
    <row r="57" spans="1:15">
      <c r="A57" s="1398" t="s">
        <v>1285</v>
      </c>
      <c r="B57" s="2004" t="s">
        <v>1503</v>
      </c>
      <c r="C57" s="2005" t="s">
        <v>969</v>
      </c>
      <c r="D57" s="1999">
        <v>43199</v>
      </c>
      <c r="E57" s="1999">
        <v>43199</v>
      </c>
      <c r="F57" s="1995" t="s">
        <v>160</v>
      </c>
      <c r="G57" s="1995" t="s">
        <v>723</v>
      </c>
      <c r="H57" s="2001" t="s">
        <v>942</v>
      </c>
      <c r="I57" s="1997">
        <v>16</v>
      </c>
      <c r="J57" s="2002">
        <v>16</v>
      </c>
      <c r="K57" s="1997"/>
      <c r="L57" s="1995" t="s">
        <v>941</v>
      </c>
      <c r="M57" s="1998">
        <v>2</v>
      </c>
      <c r="N57" s="1998">
        <v>8</v>
      </c>
      <c r="O57" s="1996">
        <v>43216</v>
      </c>
    </row>
    <row r="58" spans="1:15">
      <c r="A58" s="1385" t="s">
        <v>1286</v>
      </c>
      <c r="B58" s="2004" t="s">
        <v>1503</v>
      </c>
      <c r="C58" s="2000" t="s">
        <v>969</v>
      </c>
      <c r="D58" s="1999">
        <v>43199</v>
      </c>
      <c r="E58" s="1999">
        <v>43199</v>
      </c>
      <c r="F58" s="2006" t="s">
        <v>161</v>
      </c>
      <c r="G58" s="2004" t="s">
        <v>723</v>
      </c>
      <c r="H58" s="2008" t="s">
        <v>945</v>
      </c>
      <c r="I58" s="2009">
        <v>1.5</v>
      </c>
      <c r="J58" s="2011">
        <v>1.5</v>
      </c>
      <c r="K58" s="2003"/>
      <c r="L58" s="1995" t="s">
        <v>941</v>
      </c>
      <c r="M58" s="2010">
        <v>0.1</v>
      </c>
      <c r="N58" s="2010"/>
      <c r="O58" s="1996">
        <v>43207</v>
      </c>
    </row>
    <row r="59" spans="1:15">
      <c r="A59" s="1385" t="s">
        <v>1286</v>
      </c>
      <c r="B59" s="2004" t="s">
        <v>1503</v>
      </c>
      <c r="C59" s="2000" t="s">
        <v>969</v>
      </c>
      <c r="D59" s="1999">
        <v>43199</v>
      </c>
      <c r="E59" s="1999">
        <v>43199</v>
      </c>
      <c r="F59" s="2006" t="s">
        <v>161</v>
      </c>
      <c r="G59" s="2004" t="s">
        <v>723</v>
      </c>
      <c r="H59" s="2008" t="s">
        <v>945</v>
      </c>
      <c r="I59" s="2009">
        <v>1.5</v>
      </c>
      <c r="J59" s="2011">
        <v>1.5</v>
      </c>
      <c r="K59" s="2003"/>
      <c r="L59" s="1995" t="s">
        <v>941</v>
      </c>
      <c r="M59" s="2010">
        <v>0.1</v>
      </c>
      <c r="N59" s="2010"/>
      <c r="O59" s="1996">
        <v>43207</v>
      </c>
    </row>
    <row r="60" spans="1:15">
      <c r="A60" s="1394" t="s">
        <v>1287</v>
      </c>
      <c r="B60" s="1995" t="s">
        <v>1504</v>
      </c>
      <c r="C60" s="2000" t="s">
        <v>970</v>
      </c>
      <c r="D60" s="1999">
        <v>43199</v>
      </c>
      <c r="E60" s="1999">
        <v>43199</v>
      </c>
      <c r="F60" s="2006" t="s">
        <v>181</v>
      </c>
      <c r="G60" s="1995" t="s">
        <v>723</v>
      </c>
      <c r="H60" s="2001" t="s">
        <v>940</v>
      </c>
      <c r="I60" s="1997">
        <v>866</v>
      </c>
      <c r="J60" s="2002">
        <v>866</v>
      </c>
      <c r="K60" s="1995"/>
      <c r="L60" s="2007" t="s">
        <v>941</v>
      </c>
      <c r="M60" s="1998">
        <v>6</v>
      </c>
      <c r="N60" s="1998">
        <v>42</v>
      </c>
      <c r="O60" s="1996">
        <v>43216</v>
      </c>
    </row>
    <row r="61" spans="1:15">
      <c r="A61" s="1385" t="s">
        <v>1287</v>
      </c>
      <c r="B61" s="1995" t="s">
        <v>1504</v>
      </c>
      <c r="C61" s="2000" t="s">
        <v>970</v>
      </c>
      <c r="D61" s="1999">
        <v>43199</v>
      </c>
      <c r="E61" s="1999">
        <v>43199</v>
      </c>
      <c r="F61" s="1995" t="s">
        <v>160</v>
      </c>
      <c r="G61" s="1995" t="s">
        <v>723</v>
      </c>
      <c r="H61" s="2001" t="s">
        <v>942</v>
      </c>
      <c r="I61" s="1997">
        <v>24</v>
      </c>
      <c r="J61" s="2002">
        <v>24</v>
      </c>
      <c r="K61" s="1997"/>
      <c r="L61" s="1995" t="s">
        <v>941</v>
      </c>
      <c r="M61" s="1998">
        <v>2</v>
      </c>
      <c r="N61" s="1998">
        <v>8</v>
      </c>
      <c r="O61" s="1996">
        <v>43216</v>
      </c>
    </row>
    <row r="62" spans="1:15">
      <c r="A62" s="1386" t="s">
        <v>1288</v>
      </c>
      <c r="B62" s="1391"/>
      <c r="C62" s="1390"/>
      <c r="D62" s="1390"/>
      <c r="E62" s="1395"/>
      <c r="F62" s="1386"/>
      <c r="G62" s="1392"/>
      <c r="H62" s="1388"/>
      <c r="I62" s="1393"/>
      <c r="J62" s="1386"/>
      <c r="K62" s="1396"/>
      <c r="L62" s="1389"/>
      <c r="M62" s="1389"/>
      <c r="N62" s="1387"/>
    </row>
    <row r="63" spans="1:15">
      <c r="A63" s="1394" t="s">
        <v>1288</v>
      </c>
      <c r="B63" s="2034" t="s">
        <v>1510</v>
      </c>
      <c r="C63" s="2040" t="s">
        <v>967</v>
      </c>
      <c r="D63" s="2039">
        <v>43234</v>
      </c>
      <c r="E63" s="2039">
        <v>43234</v>
      </c>
      <c r="F63" s="2046" t="s">
        <v>181</v>
      </c>
      <c r="G63" s="2035" t="s">
        <v>723</v>
      </c>
      <c r="H63" s="2041" t="s">
        <v>940</v>
      </c>
      <c r="I63" s="2037">
        <v>554</v>
      </c>
      <c r="J63" s="2042">
        <v>554</v>
      </c>
      <c r="K63" s="2035"/>
      <c r="L63" s="2047" t="s">
        <v>941</v>
      </c>
      <c r="M63" s="2038">
        <v>6</v>
      </c>
      <c r="N63" s="2038">
        <v>42</v>
      </c>
      <c r="O63" s="2036">
        <v>43259</v>
      </c>
    </row>
    <row r="64" spans="1:15">
      <c r="A64" s="1386" t="s">
        <v>1289</v>
      </c>
      <c r="B64" s="2034" t="s">
        <v>1510</v>
      </c>
      <c r="C64" s="2040" t="s">
        <v>967</v>
      </c>
      <c r="D64" s="2039">
        <v>43234</v>
      </c>
      <c r="E64" s="2039">
        <v>43234</v>
      </c>
      <c r="F64" s="2035" t="s">
        <v>160</v>
      </c>
      <c r="G64" s="2035" t="s">
        <v>723</v>
      </c>
      <c r="H64" s="2041" t="s">
        <v>942</v>
      </c>
      <c r="I64" s="2037">
        <v>18</v>
      </c>
      <c r="J64" s="2042">
        <v>18</v>
      </c>
      <c r="K64" s="2037"/>
      <c r="L64" s="2035" t="s">
        <v>941</v>
      </c>
      <c r="M64" s="2038">
        <v>2</v>
      </c>
      <c r="N64" s="2038">
        <v>8</v>
      </c>
      <c r="O64" s="2036">
        <v>43259</v>
      </c>
    </row>
    <row r="65" spans="1:15">
      <c r="A65" s="1386" t="s">
        <v>1289</v>
      </c>
      <c r="B65" s="2044" t="s">
        <v>1511</v>
      </c>
      <c r="C65" s="2040" t="s">
        <v>968</v>
      </c>
      <c r="D65" s="2039">
        <v>43234</v>
      </c>
      <c r="E65" s="2039">
        <v>43234</v>
      </c>
      <c r="F65" s="2046" t="s">
        <v>181</v>
      </c>
      <c r="G65" s="2035" t="s">
        <v>723</v>
      </c>
      <c r="H65" s="2041" t="s">
        <v>940</v>
      </c>
      <c r="I65" s="2037">
        <v>769</v>
      </c>
      <c r="J65" s="2042">
        <v>769</v>
      </c>
      <c r="K65" s="2035"/>
      <c r="L65" s="2047" t="s">
        <v>941</v>
      </c>
      <c r="M65" s="2038">
        <v>6</v>
      </c>
      <c r="N65" s="2038">
        <v>42</v>
      </c>
      <c r="O65" s="2036">
        <v>43259</v>
      </c>
    </row>
    <row r="66" spans="1:15">
      <c r="A66" s="1394" t="s">
        <v>1290</v>
      </c>
      <c r="B66" s="2034" t="s">
        <v>1511</v>
      </c>
      <c r="C66" s="2040" t="s">
        <v>968</v>
      </c>
      <c r="D66" s="2039">
        <v>43234</v>
      </c>
      <c r="E66" s="2039">
        <v>43234</v>
      </c>
      <c r="F66" s="2035" t="s">
        <v>160</v>
      </c>
      <c r="G66" s="2035" t="s">
        <v>723</v>
      </c>
      <c r="H66" s="2041" t="s">
        <v>942</v>
      </c>
      <c r="I66" s="2037">
        <v>30</v>
      </c>
      <c r="J66" s="2042">
        <v>30</v>
      </c>
      <c r="K66" s="2037"/>
      <c r="L66" s="2035" t="s">
        <v>941</v>
      </c>
      <c r="M66" s="2038">
        <v>2</v>
      </c>
      <c r="N66" s="2038">
        <v>8</v>
      </c>
      <c r="O66" s="2036">
        <v>43259</v>
      </c>
    </row>
    <row r="67" spans="1:15">
      <c r="A67" s="1394" t="s">
        <v>1290</v>
      </c>
      <c r="B67" s="2035" t="s">
        <v>1512</v>
      </c>
      <c r="C67" s="2040">
        <v>45</v>
      </c>
      <c r="D67" s="2039">
        <v>43234</v>
      </c>
      <c r="E67" s="2039">
        <v>43234</v>
      </c>
      <c r="F67" s="2046" t="s">
        <v>181</v>
      </c>
      <c r="G67" s="2035" t="s">
        <v>723</v>
      </c>
      <c r="H67" s="2041" t="s">
        <v>940</v>
      </c>
      <c r="I67" s="2037">
        <v>653</v>
      </c>
      <c r="J67" s="2042">
        <v>653</v>
      </c>
      <c r="K67" s="2035"/>
      <c r="L67" s="2047" t="s">
        <v>941</v>
      </c>
      <c r="M67" s="2038">
        <v>6</v>
      </c>
      <c r="N67" s="2038">
        <v>42</v>
      </c>
      <c r="O67" s="2036">
        <v>43259</v>
      </c>
    </row>
    <row r="68" spans="1:15">
      <c r="A68" s="1394" t="s">
        <v>1290</v>
      </c>
      <c r="B68" s="2044" t="s">
        <v>1512</v>
      </c>
      <c r="C68" s="2040">
        <v>45</v>
      </c>
      <c r="D68" s="2039">
        <v>43234</v>
      </c>
      <c r="E68" s="2039">
        <v>43234</v>
      </c>
      <c r="F68" s="2035" t="s">
        <v>160</v>
      </c>
      <c r="G68" s="2035" t="s">
        <v>723</v>
      </c>
      <c r="H68" s="2041" t="s">
        <v>942</v>
      </c>
      <c r="I68" s="2037">
        <v>14</v>
      </c>
      <c r="J68" s="2042">
        <v>14</v>
      </c>
      <c r="K68" s="2037"/>
      <c r="L68" s="2035" t="s">
        <v>941</v>
      </c>
      <c r="M68" s="2038">
        <v>2</v>
      </c>
      <c r="N68" s="2038">
        <v>8</v>
      </c>
      <c r="O68" s="2036">
        <v>43259</v>
      </c>
    </row>
    <row r="69" spans="1:15">
      <c r="A69" s="1386" t="s">
        <v>1291</v>
      </c>
      <c r="B69" s="2035" t="s">
        <v>1516</v>
      </c>
      <c r="C69" s="2040">
        <v>90</v>
      </c>
      <c r="D69" s="2039">
        <v>43234</v>
      </c>
      <c r="E69" s="2039">
        <v>43234</v>
      </c>
      <c r="F69" s="2046" t="s">
        <v>181</v>
      </c>
      <c r="G69" s="2035" t="s">
        <v>723</v>
      </c>
      <c r="H69" s="2041" t="s">
        <v>940</v>
      </c>
      <c r="I69" s="2037">
        <v>823</v>
      </c>
      <c r="J69" s="2042">
        <v>823</v>
      </c>
      <c r="K69" s="2035"/>
      <c r="L69" s="2047" t="s">
        <v>941</v>
      </c>
      <c r="M69" s="2038">
        <v>6</v>
      </c>
      <c r="N69" s="2038">
        <v>42</v>
      </c>
      <c r="O69" s="2036">
        <v>43259</v>
      </c>
    </row>
    <row r="70" spans="1:15">
      <c r="A70" s="1386" t="s">
        <v>1291</v>
      </c>
      <c r="B70" s="2035" t="s">
        <v>1516</v>
      </c>
      <c r="C70" s="2040">
        <v>90</v>
      </c>
      <c r="D70" s="2039">
        <v>43234</v>
      </c>
      <c r="E70" s="2039">
        <v>43234</v>
      </c>
      <c r="F70" s="2035" t="s">
        <v>160</v>
      </c>
      <c r="G70" s="2035" t="s">
        <v>723</v>
      </c>
      <c r="H70" s="2041" t="s">
        <v>942</v>
      </c>
      <c r="I70" s="2037">
        <v>30</v>
      </c>
      <c r="J70" s="2042">
        <v>30</v>
      </c>
      <c r="K70" s="2035"/>
      <c r="L70" s="2035" t="s">
        <v>941</v>
      </c>
      <c r="M70" s="2038">
        <v>2</v>
      </c>
      <c r="N70" s="2038">
        <v>8</v>
      </c>
      <c r="O70" s="2036">
        <v>43259</v>
      </c>
    </row>
    <row r="71" spans="1:15">
      <c r="A71" s="1418" t="s">
        <v>1292</v>
      </c>
      <c r="B71" s="2044" t="s">
        <v>1517</v>
      </c>
      <c r="C71" s="2045" t="s">
        <v>969</v>
      </c>
      <c r="D71" s="2039">
        <v>43234</v>
      </c>
      <c r="E71" s="2039">
        <v>43234</v>
      </c>
      <c r="F71" s="2046" t="s">
        <v>181</v>
      </c>
      <c r="G71" s="2035" t="s">
        <v>723</v>
      </c>
      <c r="H71" s="2041" t="s">
        <v>940</v>
      </c>
      <c r="I71" s="2037">
        <v>679</v>
      </c>
      <c r="J71" s="2042">
        <v>679</v>
      </c>
      <c r="K71" s="2035"/>
      <c r="L71" s="2047" t="s">
        <v>941</v>
      </c>
      <c r="M71" s="2038">
        <v>6</v>
      </c>
      <c r="N71" s="2038">
        <v>42</v>
      </c>
      <c r="O71" s="2036">
        <v>43259</v>
      </c>
    </row>
    <row r="72" spans="1:15">
      <c r="A72" s="1418" t="s">
        <v>1292</v>
      </c>
      <c r="B72" s="2044" t="s">
        <v>1517</v>
      </c>
      <c r="C72" s="2045" t="s">
        <v>969</v>
      </c>
      <c r="D72" s="2039">
        <v>43234</v>
      </c>
      <c r="E72" s="2039">
        <v>43234</v>
      </c>
      <c r="F72" s="2035" t="s">
        <v>160</v>
      </c>
      <c r="G72" s="2035" t="s">
        <v>723</v>
      </c>
      <c r="H72" s="2041" t="s">
        <v>942</v>
      </c>
      <c r="I72" s="2037">
        <v>16</v>
      </c>
      <c r="J72" s="2042">
        <v>16</v>
      </c>
      <c r="K72" s="2037"/>
      <c r="L72" s="2035" t="s">
        <v>941</v>
      </c>
      <c r="M72" s="2038">
        <v>2</v>
      </c>
      <c r="N72" s="2038">
        <v>8</v>
      </c>
      <c r="O72" s="2036">
        <v>43259</v>
      </c>
    </row>
    <row r="73" spans="1:15">
      <c r="A73" s="1420" t="s">
        <v>1293</v>
      </c>
      <c r="B73" s="2044" t="s">
        <v>1517</v>
      </c>
      <c r="C73" s="2040" t="s">
        <v>969</v>
      </c>
      <c r="D73" s="2039">
        <v>43234</v>
      </c>
      <c r="E73" s="2039">
        <v>43234</v>
      </c>
      <c r="F73" s="2046" t="s">
        <v>161</v>
      </c>
      <c r="G73" s="2044" t="s">
        <v>723</v>
      </c>
      <c r="H73" s="2048" t="s">
        <v>945</v>
      </c>
      <c r="I73" s="2049">
        <v>8.3000000000000007</v>
      </c>
      <c r="J73" s="2051">
        <v>8.3000000000000007</v>
      </c>
      <c r="K73" s="2043"/>
      <c r="L73" s="2035" t="s">
        <v>941</v>
      </c>
      <c r="M73" s="2050">
        <v>0.1</v>
      </c>
      <c r="N73" s="2050"/>
      <c r="O73" s="2036">
        <v>43244</v>
      </c>
    </row>
    <row r="74" spans="1:15">
      <c r="A74" s="1418" t="s">
        <v>1293</v>
      </c>
      <c r="B74" s="2044" t="s">
        <v>1517</v>
      </c>
      <c r="C74" s="2040" t="s">
        <v>969</v>
      </c>
      <c r="D74" s="2039">
        <v>43234</v>
      </c>
      <c r="E74" s="2039">
        <v>43234</v>
      </c>
      <c r="F74" s="2046" t="s">
        <v>161</v>
      </c>
      <c r="G74" s="2044" t="s">
        <v>723</v>
      </c>
      <c r="H74" s="2048" t="s">
        <v>945</v>
      </c>
      <c r="I74" s="2049">
        <v>8</v>
      </c>
      <c r="J74" s="2051">
        <v>8</v>
      </c>
      <c r="K74" s="2043"/>
      <c r="L74" s="2035" t="s">
        <v>941</v>
      </c>
      <c r="M74" s="2050">
        <v>0.1</v>
      </c>
      <c r="N74" s="2050"/>
      <c r="O74" s="2036">
        <v>43244</v>
      </c>
    </row>
    <row r="75" spans="1:15">
      <c r="A75" s="1419" t="s">
        <v>1294</v>
      </c>
      <c r="B75" s="2035" t="s">
        <v>1518</v>
      </c>
      <c r="C75" s="2040" t="s">
        <v>970</v>
      </c>
      <c r="D75" s="2039">
        <v>43234</v>
      </c>
      <c r="E75" s="2039">
        <v>43234</v>
      </c>
      <c r="F75" s="2046" t="s">
        <v>181</v>
      </c>
      <c r="G75" s="2035" t="s">
        <v>723</v>
      </c>
      <c r="H75" s="2041" t="s">
        <v>940</v>
      </c>
      <c r="I75" s="2037">
        <v>930</v>
      </c>
      <c r="J75" s="2042">
        <v>930</v>
      </c>
      <c r="K75" s="2035"/>
      <c r="L75" s="2047" t="s">
        <v>941</v>
      </c>
      <c r="M75" s="2038">
        <v>6</v>
      </c>
      <c r="N75" s="2038">
        <v>42</v>
      </c>
      <c r="O75" s="2036">
        <v>43259</v>
      </c>
    </row>
    <row r="76" spans="1:15">
      <c r="A76" s="1420" t="s">
        <v>1294</v>
      </c>
      <c r="B76" s="2035" t="s">
        <v>1518</v>
      </c>
      <c r="C76" s="2040" t="s">
        <v>970</v>
      </c>
      <c r="D76" s="2039">
        <v>43234</v>
      </c>
      <c r="E76" s="2039">
        <v>43234</v>
      </c>
      <c r="F76" s="2035" t="s">
        <v>160</v>
      </c>
      <c r="G76" s="2035" t="s">
        <v>723</v>
      </c>
      <c r="H76" s="2041" t="s">
        <v>942</v>
      </c>
      <c r="I76" s="2037">
        <v>15</v>
      </c>
      <c r="J76" s="2042">
        <v>15</v>
      </c>
      <c r="K76" s="2037"/>
      <c r="L76" s="2035" t="s">
        <v>941</v>
      </c>
      <c r="M76" s="2038">
        <v>2</v>
      </c>
      <c r="N76" s="2038">
        <v>8</v>
      </c>
      <c r="O76" s="2036">
        <v>43259</v>
      </c>
    </row>
    <row r="77" spans="1:15">
      <c r="A77" s="1419" t="s">
        <v>1295</v>
      </c>
    </row>
    <row r="78" spans="1:15">
      <c r="A78" s="1419" t="s">
        <v>1295</v>
      </c>
      <c r="B78" s="2075" t="s">
        <v>1523</v>
      </c>
      <c r="C78" s="2081" t="s">
        <v>967</v>
      </c>
      <c r="D78" s="2080">
        <v>43262</v>
      </c>
      <c r="E78" s="2080">
        <v>43262</v>
      </c>
      <c r="F78" s="2087" t="s">
        <v>181</v>
      </c>
      <c r="G78" s="2076" t="s">
        <v>723</v>
      </c>
      <c r="H78" s="2082" t="s">
        <v>940</v>
      </c>
      <c r="I78" s="2078">
        <v>617</v>
      </c>
      <c r="J78" s="2083">
        <v>617</v>
      </c>
      <c r="K78" s="2076"/>
      <c r="L78" s="2088" t="s">
        <v>941</v>
      </c>
      <c r="M78" s="2079">
        <v>6</v>
      </c>
      <c r="N78" s="2079">
        <v>42</v>
      </c>
      <c r="O78" s="2077">
        <v>43272</v>
      </c>
    </row>
    <row r="79" spans="1:15">
      <c r="A79" s="1420" t="s">
        <v>1296</v>
      </c>
      <c r="B79" s="2075" t="s">
        <v>1523</v>
      </c>
      <c r="C79" s="2081" t="s">
        <v>967</v>
      </c>
      <c r="D79" s="2080">
        <v>43262</v>
      </c>
      <c r="E79" s="2080">
        <v>43262</v>
      </c>
      <c r="F79" s="2076" t="s">
        <v>160</v>
      </c>
      <c r="G79" s="2076" t="s">
        <v>723</v>
      </c>
      <c r="H79" s="2082" t="s">
        <v>942</v>
      </c>
      <c r="I79" s="2078">
        <v>53</v>
      </c>
      <c r="J79" s="2083">
        <v>53</v>
      </c>
      <c r="K79" s="2078"/>
      <c r="L79" s="2076" t="s">
        <v>941</v>
      </c>
      <c r="M79" s="2079">
        <v>2</v>
      </c>
      <c r="N79" s="2079">
        <v>8</v>
      </c>
      <c r="O79" s="2077">
        <v>43272</v>
      </c>
    </row>
    <row r="80" spans="1:15">
      <c r="A80" s="1420" t="s">
        <v>1296</v>
      </c>
      <c r="B80" s="2085" t="s">
        <v>1524</v>
      </c>
      <c r="C80" s="2081" t="s">
        <v>968</v>
      </c>
      <c r="D80" s="2080">
        <v>43262</v>
      </c>
      <c r="E80" s="2080">
        <v>43262</v>
      </c>
      <c r="F80" s="2087" t="s">
        <v>181</v>
      </c>
      <c r="G80" s="2076" t="s">
        <v>723</v>
      </c>
      <c r="H80" s="2082" t="s">
        <v>940</v>
      </c>
      <c r="I80" s="2078">
        <v>833</v>
      </c>
      <c r="J80" s="2083">
        <v>833</v>
      </c>
      <c r="K80" s="2076"/>
      <c r="L80" s="2088" t="s">
        <v>941</v>
      </c>
      <c r="M80" s="2079">
        <v>6</v>
      </c>
      <c r="N80" s="2079">
        <v>42</v>
      </c>
      <c r="O80" s="2077">
        <v>43272</v>
      </c>
    </row>
    <row r="81" spans="1:15">
      <c r="A81" s="1420" t="s">
        <v>1296</v>
      </c>
      <c r="B81" s="2075" t="s">
        <v>1524</v>
      </c>
      <c r="C81" s="2081" t="s">
        <v>968</v>
      </c>
      <c r="D81" s="2080">
        <v>43262</v>
      </c>
      <c r="E81" s="2080">
        <v>43262</v>
      </c>
      <c r="F81" s="2076" t="s">
        <v>160</v>
      </c>
      <c r="G81" s="2076" t="s">
        <v>723</v>
      </c>
      <c r="H81" s="2082" t="s">
        <v>942</v>
      </c>
      <c r="I81" s="2078">
        <v>62</v>
      </c>
      <c r="J81" s="2083">
        <v>62</v>
      </c>
      <c r="K81" s="2078"/>
      <c r="L81" s="2076" t="s">
        <v>941</v>
      </c>
      <c r="M81" s="2079">
        <v>2</v>
      </c>
      <c r="N81" s="2079">
        <v>8</v>
      </c>
      <c r="O81" s="2077">
        <v>43272</v>
      </c>
    </row>
    <row r="82" spans="1:15">
      <c r="A82" s="1420" t="s">
        <v>1296</v>
      </c>
      <c r="B82" s="2076" t="s">
        <v>1525</v>
      </c>
      <c r="C82" s="2081">
        <v>45</v>
      </c>
      <c r="D82" s="2080">
        <v>43262</v>
      </c>
      <c r="E82" s="2080">
        <v>43262</v>
      </c>
      <c r="F82" s="2087" t="s">
        <v>181</v>
      </c>
      <c r="G82" s="2076" t="s">
        <v>723</v>
      </c>
      <c r="H82" s="2082" t="s">
        <v>940</v>
      </c>
      <c r="I82" s="2078">
        <v>693</v>
      </c>
      <c r="J82" s="2083">
        <v>693</v>
      </c>
      <c r="K82" s="2076"/>
      <c r="L82" s="2088" t="s">
        <v>941</v>
      </c>
      <c r="M82" s="2079">
        <v>6</v>
      </c>
      <c r="N82" s="2079">
        <v>42</v>
      </c>
      <c r="O82" s="2077">
        <v>43272</v>
      </c>
    </row>
    <row r="83" spans="1:15">
      <c r="A83" s="1419" t="s">
        <v>1297</v>
      </c>
      <c r="B83" s="2085" t="s">
        <v>1525</v>
      </c>
      <c r="C83" s="2081">
        <v>45</v>
      </c>
      <c r="D83" s="2080">
        <v>43262</v>
      </c>
      <c r="E83" s="2080">
        <v>43262</v>
      </c>
      <c r="F83" s="2076" t="s">
        <v>160</v>
      </c>
      <c r="G83" s="2076" t="s">
        <v>723</v>
      </c>
      <c r="H83" s="2082" t="s">
        <v>942</v>
      </c>
      <c r="I83" s="2078">
        <v>44</v>
      </c>
      <c r="J83" s="2083">
        <v>44</v>
      </c>
      <c r="K83" s="2078"/>
      <c r="L83" s="2076" t="s">
        <v>941</v>
      </c>
      <c r="M83" s="2079">
        <v>2</v>
      </c>
      <c r="N83" s="2079">
        <v>8</v>
      </c>
      <c r="O83" s="2077">
        <v>43272</v>
      </c>
    </row>
    <row r="84" spans="1:15">
      <c r="A84" s="1439" t="s">
        <v>1298</v>
      </c>
      <c r="B84" s="2076" t="s">
        <v>1526</v>
      </c>
      <c r="C84" s="2081">
        <v>90</v>
      </c>
      <c r="D84" s="2080">
        <v>43262</v>
      </c>
      <c r="E84" s="2080">
        <v>43262</v>
      </c>
      <c r="F84" s="2087" t="s">
        <v>181</v>
      </c>
      <c r="G84" s="2076" t="s">
        <v>723</v>
      </c>
      <c r="H84" s="2082" t="s">
        <v>940</v>
      </c>
      <c r="I84" s="2078">
        <v>811</v>
      </c>
      <c r="J84" s="2083">
        <v>811</v>
      </c>
      <c r="K84" s="2076"/>
      <c r="L84" s="2088" t="s">
        <v>941</v>
      </c>
      <c r="M84" s="2079">
        <v>6</v>
      </c>
      <c r="N84" s="2079">
        <v>42</v>
      </c>
      <c r="O84" s="2077">
        <v>43272</v>
      </c>
    </row>
    <row r="85" spans="1:15">
      <c r="A85" s="1439" t="s">
        <v>1298</v>
      </c>
      <c r="B85" s="2076" t="s">
        <v>1526</v>
      </c>
      <c r="C85" s="2081">
        <v>90</v>
      </c>
      <c r="D85" s="2080">
        <v>43262</v>
      </c>
      <c r="E85" s="2080">
        <v>43262</v>
      </c>
      <c r="F85" s="2076" t="s">
        <v>160</v>
      </c>
      <c r="G85" s="2076" t="s">
        <v>723</v>
      </c>
      <c r="H85" s="2082" t="s">
        <v>942</v>
      </c>
      <c r="I85" s="2078">
        <v>46</v>
      </c>
      <c r="J85" s="2083">
        <v>46</v>
      </c>
      <c r="K85" s="2076"/>
      <c r="L85" s="2076" t="s">
        <v>941</v>
      </c>
      <c r="M85" s="2079">
        <v>2</v>
      </c>
      <c r="N85" s="2079">
        <v>8</v>
      </c>
      <c r="O85" s="2077">
        <v>43272</v>
      </c>
    </row>
    <row r="86" spans="1:15">
      <c r="A86" s="1439" t="s">
        <v>1299</v>
      </c>
      <c r="B86" s="2085" t="s">
        <v>1527</v>
      </c>
      <c r="C86" s="2086" t="s">
        <v>969</v>
      </c>
      <c r="D86" s="2080">
        <v>43262</v>
      </c>
      <c r="E86" s="2080">
        <v>43262</v>
      </c>
      <c r="F86" s="2087" t="s">
        <v>181</v>
      </c>
      <c r="G86" s="2076" t="s">
        <v>723</v>
      </c>
      <c r="H86" s="2082" t="s">
        <v>940</v>
      </c>
      <c r="I86" s="2078">
        <v>627</v>
      </c>
      <c r="J86" s="2083">
        <v>627</v>
      </c>
      <c r="K86" s="2076"/>
      <c r="L86" s="2088" t="s">
        <v>941</v>
      </c>
      <c r="M86" s="2079">
        <v>6</v>
      </c>
      <c r="N86" s="2079">
        <v>42</v>
      </c>
      <c r="O86" s="2077">
        <v>43272</v>
      </c>
    </row>
    <row r="87" spans="1:15">
      <c r="A87" s="1440" t="s">
        <v>1300</v>
      </c>
      <c r="B87" s="2085" t="s">
        <v>1527</v>
      </c>
      <c r="C87" s="2086" t="s">
        <v>969</v>
      </c>
      <c r="D87" s="2080">
        <v>43262</v>
      </c>
      <c r="E87" s="2080">
        <v>43262</v>
      </c>
      <c r="F87" s="2076" t="s">
        <v>160</v>
      </c>
      <c r="G87" s="2076" t="s">
        <v>723</v>
      </c>
      <c r="H87" s="2082" t="s">
        <v>942</v>
      </c>
      <c r="I87" s="2078">
        <v>39</v>
      </c>
      <c r="J87" s="2083">
        <v>39</v>
      </c>
      <c r="K87" s="2078"/>
      <c r="L87" s="2076" t="s">
        <v>941</v>
      </c>
      <c r="M87" s="2079">
        <v>2</v>
      </c>
      <c r="N87" s="2079">
        <v>8</v>
      </c>
      <c r="O87" s="2077">
        <v>43272</v>
      </c>
    </row>
    <row r="88" spans="1:15">
      <c r="A88" s="1445" t="s">
        <v>1300</v>
      </c>
      <c r="B88" s="2085" t="s">
        <v>1527</v>
      </c>
      <c r="C88" s="2081" t="s">
        <v>969</v>
      </c>
      <c r="D88" s="2080">
        <v>43262</v>
      </c>
      <c r="E88" s="2080">
        <v>43262</v>
      </c>
      <c r="F88" s="2087" t="s">
        <v>161</v>
      </c>
      <c r="G88" s="2085" t="s">
        <v>723</v>
      </c>
      <c r="H88" s="2089" t="s">
        <v>945</v>
      </c>
      <c r="I88" s="2090">
        <v>2.4</v>
      </c>
      <c r="J88" s="2092">
        <v>2.4</v>
      </c>
      <c r="K88" s="2084"/>
      <c r="L88" s="2076" t="s">
        <v>941</v>
      </c>
      <c r="M88" s="2091">
        <v>0.1</v>
      </c>
      <c r="N88" s="2091"/>
      <c r="O88" s="2077">
        <v>43266</v>
      </c>
    </row>
    <row r="89" spans="1:15">
      <c r="A89" s="1440" t="s">
        <v>1301</v>
      </c>
      <c r="B89" s="2085" t="s">
        <v>1527</v>
      </c>
      <c r="C89" s="2081" t="s">
        <v>969</v>
      </c>
      <c r="D89" s="2080">
        <v>43262</v>
      </c>
      <c r="E89" s="2080">
        <v>43262</v>
      </c>
      <c r="F89" s="2087" t="s">
        <v>161</v>
      </c>
      <c r="G89" s="2085" t="s">
        <v>723</v>
      </c>
      <c r="H89" s="2089" t="s">
        <v>945</v>
      </c>
      <c r="I89" s="2090">
        <v>2.4</v>
      </c>
      <c r="J89" s="2092">
        <v>2.4</v>
      </c>
      <c r="K89" s="2084"/>
      <c r="L89" s="2076" t="s">
        <v>941</v>
      </c>
      <c r="M89" s="2091">
        <v>0.1</v>
      </c>
      <c r="N89" s="2091"/>
      <c r="O89" s="2077">
        <v>43266</v>
      </c>
    </row>
    <row r="90" spans="1:15">
      <c r="A90" s="1440" t="s">
        <v>1301</v>
      </c>
      <c r="B90" s="2076" t="s">
        <v>1528</v>
      </c>
      <c r="C90" s="2081" t="s">
        <v>970</v>
      </c>
      <c r="D90" s="2080">
        <v>43262</v>
      </c>
      <c r="E90" s="2080">
        <v>43262</v>
      </c>
      <c r="F90" s="2087" t="s">
        <v>181</v>
      </c>
      <c r="G90" s="2076" t="s">
        <v>723</v>
      </c>
      <c r="H90" s="2082" t="s">
        <v>940</v>
      </c>
      <c r="I90" s="2078">
        <v>758</v>
      </c>
      <c r="J90" s="2083">
        <v>758</v>
      </c>
      <c r="K90" s="2076"/>
      <c r="L90" s="2088" t="s">
        <v>941</v>
      </c>
      <c r="M90" s="2079">
        <v>6</v>
      </c>
      <c r="N90" s="2079">
        <v>42</v>
      </c>
      <c r="O90" s="2077">
        <v>43272</v>
      </c>
    </row>
    <row r="91" spans="1:15">
      <c r="A91" s="1445" t="s">
        <v>1302</v>
      </c>
      <c r="B91" s="2093" t="s">
        <v>1528</v>
      </c>
      <c r="C91" s="2098" t="s">
        <v>970</v>
      </c>
      <c r="D91" s="2097">
        <v>43262</v>
      </c>
      <c r="E91" s="2097">
        <v>43262</v>
      </c>
      <c r="F91" s="2093" t="s">
        <v>160</v>
      </c>
      <c r="G91" s="2093" t="s">
        <v>723</v>
      </c>
      <c r="H91" s="2099" t="s">
        <v>942</v>
      </c>
      <c r="I91" s="2095">
        <v>50</v>
      </c>
      <c r="J91" s="2100">
        <v>50</v>
      </c>
      <c r="K91" s="2095"/>
      <c r="L91" s="2093" t="s">
        <v>941</v>
      </c>
      <c r="M91" s="2096">
        <v>2</v>
      </c>
      <c r="N91" s="2096">
        <v>8</v>
      </c>
      <c r="O91" s="2094">
        <v>43272</v>
      </c>
    </row>
    <row r="92" spans="1:15" s="358" customFormat="1">
      <c r="A92" s="2331"/>
      <c r="B92" s="2322"/>
      <c r="C92" s="2327"/>
      <c r="D92" s="2326"/>
      <c r="E92" s="2326"/>
      <c r="F92" s="2322"/>
      <c r="G92" s="2322"/>
      <c r="H92" s="2328"/>
      <c r="I92" s="2324"/>
      <c r="J92" s="2329"/>
      <c r="K92" s="2324"/>
      <c r="L92" s="2322"/>
      <c r="M92" s="2325"/>
      <c r="N92" s="2325"/>
      <c r="O92" s="2323"/>
    </row>
    <row r="93" spans="1:15" s="358" customFormat="1">
      <c r="A93" s="2331"/>
      <c r="B93" s="2322"/>
      <c r="C93" s="2327" t="s">
        <v>967</v>
      </c>
      <c r="D93" s="2326">
        <v>43290</v>
      </c>
      <c r="E93" s="2326">
        <v>43290</v>
      </c>
      <c r="F93" s="2333" t="s">
        <v>181</v>
      </c>
      <c r="G93" s="2322" t="s">
        <v>723</v>
      </c>
      <c r="H93" s="2328" t="s">
        <v>940</v>
      </c>
      <c r="I93" s="2324">
        <v>1759</v>
      </c>
      <c r="J93" s="2329"/>
      <c r="K93" s="2324"/>
      <c r="L93" s="2334" t="s">
        <v>941</v>
      </c>
      <c r="M93" s="2325">
        <v>6</v>
      </c>
      <c r="N93" s="2325">
        <v>42</v>
      </c>
      <c r="O93" s="2323"/>
    </row>
    <row r="94" spans="1:15" s="358" customFormat="1">
      <c r="A94" s="2331"/>
      <c r="B94" s="2322"/>
      <c r="C94" s="2327" t="s">
        <v>967</v>
      </c>
      <c r="D94" s="2326">
        <v>43290</v>
      </c>
      <c r="E94" s="2326">
        <v>43290</v>
      </c>
      <c r="F94" s="2322" t="s">
        <v>160</v>
      </c>
      <c r="G94" s="2322" t="s">
        <v>723</v>
      </c>
      <c r="H94" s="2328" t="s">
        <v>942</v>
      </c>
      <c r="I94" s="2324">
        <v>35</v>
      </c>
      <c r="J94" s="2329"/>
      <c r="K94" s="2324"/>
      <c r="L94" s="2322" t="s">
        <v>941</v>
      </c>
      <c r="M94" s="2325">
        <v>2</v>
      </c>
      <c r="N94" s="2325">
        <v>8</v>
      </c>
      <c r="O94" s="2323"/>
    </row>
    <row r="95" spans="1:15" s="358" customFormat="1">
      <c r="A95" s="2331"/>
      <c r="B95" s="2322"/>
      <c r="C95" s="2327" t="s">
        <v>968</v>
      </c>
      <c r="D95" s="2326">
        <v>43290</v>
      </c>
      <c r="E95" s="2326">
        <v>43290</v>
      </c>
      <c r="F95" s="2333" t="s">
        <v>181</v>
      </c>
      <c r="G95" s="2322" t="s">
        <v>723</v>
      </c>
      <c r="H95" s="2328" t="s">
        <v>940</v>
      </c>
      <c r="I95" s="2324">
        <v>704</v>
      </c>
      <c r="J95" s="2329"/>
      <c r="K95" s="2324"/>
      <c r="L95" s="2334" t="s">
        <v>941</v>
      </c>
      <c r="M95" s="2325">
        <v>6</v>
      </c>
      <c r="N95" s="2325">
        <v>42</v>
      </c>
      <c r="O95" s="2323"/>
    </row>
    <row r="96" spans="1:15" s="358" customFormat="1">
      <c r="A96" s="2331"/>
      <c r="B96" s="2322"/>
      <c r="C96" s="2327" t="s">
        <v>968</v>
      </c>
      <c r="D96" s="2326">
        <v>43290</v>
      </c>
      <c r="E96" s="2326">
        <v>43290</v>
      </c>
      <c r="F96" s="2322" t="s">
        <v>160</v>
      </c>
      <c r="G96" s="2322" t="s">
        <v>723</v>
      </c>
      <c r="H96" s="2328" t="s">
        <v>942</v>
      </c>
      <c r="I96" s="2324">
        <v>35</v>
      </c>
      <c r="J96" s="2329"/>
      <c r="K96" s="2324"/>
      <c r="L96" s="2322" t="s">
        <v>941</v>
      </c>
      <c r="M96" s="2325">
        <v>2</v>
      </c>
      <c r="N96" s="2325">
        <v>8</v>
      </c>
      <c r="O96" s="2323"/>
    </row>
    <row r="97" spans="1:15" s="358" customFormat="1">
      <c r="A97" s="2331"/>
      <c r="B97" s="2322"/>
      <c r="C97" s="2327">
        <v>45</v>
      </c>
      <c r="D97" s="2326">
        <v>43290</v>
      </c>
      <c r="E97" s="2326">
        <v>43290</v>
      </c>
      <c r="F97" s="2333" t="s">
        <v>181</v>
      </c>
      <c r="G97" s="2322" t="s">
        <v>723</v>
      </c>
      <c r="H97" s="2328" t="s">
        <v>940</v>
      </c>
      <c r="I97" s="2324">
        <v>444</v>
      </c>
      <c r="J97" s="2329"/>
      <c r="K97" s="2324"/>
      <c r="L97" s="2334" t="s">
        <v>941</v>
      </c>
      <c r="M97" s="2325">
        <v>6</v>
      </c>
      <c r="N97" s="2325">
        <v>42</v>
      </c>
      <c r="O97" s="2323"/>
    </row>
    <row r="98" spans="1:15" s="358" customFormat="1">
      <c r="A98" s="2331"/>
      <c r="B98" s="2322"/>
      <c r="C98" s="2327">
        <v>45</v>
      </c>
      <c r="D98" s="2326">
        <v>43290</v>
      </c>
      <c r="E98" s="2326">
        <v>43290</v>
      </c>
      <c r="F98" s="2322" t="s">
        <v>160</v>
      </c>
      <c r="G98" s="2322" t="s">
        <v>723</v>
      </c>
      <c r="H98" s="2328" t="s">
        <v>942</v>
      </c>
      <c r="I98" s="2324">
        <v>19</v>
      </c>
      <c r="J98" s="2329"/>
      <c r="K98" s="2324"/>
      <c r="L98" s="2322" t="s">
        <v>941</v>
      </c>
      <c r="M98" s="2325">
        <v>2</v>
      </c>
      <c r="N98" s="2325">
        <v>8</v>
      </c>
      <c r="O98" s="2323"/>
    </row>
    <row r="99" spans="1:15" s="358" customFormat="1">
      <c r="A99" s="2331"/>
      <c r="B99" s="2322"/>
      <c r="C99" s="2327">
        <v>90</v>
      </c>
      <c r="D99" s="2326">
        <v>43290</v>
      </c>
      <c r="E99" s="2326">
        <v>43290</v>
      </c>
      <c r="F99" s="2333" t="s">
        <v>181</v>
      </c>
      <c r="G99" s="2322" t="s">
        <v>723</v>
      </c>
      <c r="H99" s="2328" t="s">
        <v>940</v>
      </c>
      <c r="I99" s="2324">
        <v>742</v>
      </c>
      <c r="J99" s="2329"/>
      <c r="K99" s="2324"/>
      <c r="L99" s="2334" t="s">
        <v>941</v>
      </c>
      <c r="M99" s="2325">
        <v>6</v>
      </c>
      <c r="N99" s="2325">
        <v>42</v>
      </c>
      <c r="O99" s="2323"/>
    </row>
    <row r="100" spans="1:15" s="358" customFormat="1">
      <c r="A100" s="2331"/>
      <c r="B100" s="2322"/>
      <c r="C100" s="2327">
        <v>90</v>
      </c>
      <c r="D100" s="2326">
        <v>43290</v>
      </c>
      <c r="E100" s="2326">
        <v>43290</v>
      </c>
      <c r="F100" s="2322" t="s">
        <v>160</v>
      </c>
      <c r="G100" s="2322" t="s">
        <v>723</v>
      </c>
      <c r="H100" s="2328" t="s">
        <v>942</v>
      </c>
      <c r="I100" s="2324">
        <v>20</v>
      </c>
      <c r="J100" s="2329"/>
      <c r="K100" s="2324"/>
      <c r="L100" s="2322" t="s">
        <v>941</v>
      </c>
      <c r="M100" s="2325">
        <v>2</v>
      </c>
      <c r="N100" s="2325">
        <v>8</v>
      </c>
      <c r="O100" s="2323"/>
    </row>
    <row r="101" spans="1:15" s="358" customFormat="1">
      <c r="A101" s="2331"/>
      <c r="B101" s="2322"/>
      <c r="C101" s="2332" t="s">
        <v>969</v>
      </c>
      <c r="D101" s="2326">
        <v>43290</v>
      </c>
      <c r="E101" s="2326">
        <v>43290</v>
      </c>
      <c r="F101" s="2333" t="s">
        <v>181</v>
      </c>
      <c r="G101" s="2322" t="s">
        <v>723</v>
      </c>
      <c r="H101" s="2328" t="s">
        <v>940</v>
      </c>
      <c r="I101" s="2324">
        <v>831</v>
      </c>
      <c r="J101" s="2329"/>
      <c r="K101" s="2324"/>
      <c r="L101" s="2334" t="s">
        <v>941</v>
      </c>
      <c r="M101" s="2325">
        <v>6</v>
      </c>
      <c r="N101" s="2325">
        <v>42</v>
      </c>
      <c r="O101" s="2323"/>
    </row>
    <row r="102" spans="1:15" s="358" customFormat="1">
      <c r="A102" s="2331"/>
      <c r="B102" s="2322"/>
      <c r="C102" s="2332" t="s">
        <v>969</v>
      </c>
      <c r="D102" s="2326">
        <v>43290</v>
      </c>
      <c r="E102" s="2326">
        <v>43290</v>
      </c>
      <c r="F102" s="2322" t="s">
        <v>160</v>
      </c>
      <c r="G102" s="2322" t="s">
        <v>723</v>
      </c>
      <c r="H102" s="2328" t="s">
        <v>942</v>
      </c>
      <c r="I102" s="2324">
        <v>64</v>
      </c>
      <c r="J102" s="2329"/>
      <c r="K102" s="2324"/>
      <c r="L102" s="2322" t="s">
        <v>941</v>
      </c>
      <c r="M102" s="2325">
        <v>2</v>
      </c>
      <c r="N102" s="2325">
        <v>8</v>
      </c>
      <c r="O102" s="2323"/>
    </row>
    <row r="103" spans="1:15" s="358" customFormat="1">
      <c r="A103" s="2331"/>
      <c r="B103" s="2322"/>
      <c r="C103" s="2327" t="s">
        <v>969</v>
      </c>
      <c r="D103" s="2326">
        <v>43290</v>
      </c>
      <c r="E103" s="2326">
        <v>43290</v>
      </c>
      <c r="F103" s="2333" t="s">
        <v>161</v>
      </c>
      <c r="G103" s="2331" t="s">
        <v>723</v>
      </c>
      <c r="H103" s="2479" t="s">
        <v>945</v>
      </c>
      <c r="I103" s="2324">
        <v>4.7</v>
      </c>
      <c r="J103" s="2329"/>
      <c r="K103" s="2324"/>
      <c r="L103" s="2322" t="s">
        <v>941</v>
      </c>
      <c r="M103" s="2337">
        <v>0.1</v>
      </c>
      <c r="N103" s="2337"/>
      <c r="O103" s="2323"/>
    </row>
    <row r="104" spans="1:15" s="358" customFormat="1" ht="11.5" customHeight="1">
      <c r="A104" s="2331"/>
      <c r="B104" s="2322"/>
      <c r="C104" s="2327" t="s">
        <v>969</v>
      </c>
      <c r="D104" s="2326">
        <v>43290</v>
      </c>
      <c r="E104" s="2326">
        <v>43290</v>
      </c>
      <c r="F104" s="2333" t="s">
        <v>161</v>
      </c>
      <c r="G104" s="2331" t="s">
        <v>723</v>
      </c>
      <c r="H104" s="2479" t="s">
        <v>945</v>
      </c>
      <c r="I104" s="2324">
        <v>6.8</v>
      </c>
      <c r="J104" s="2329"/>
      <c r="K104" s="2324"/>
      <c r="L104" s="2322" t="s">
        <v>941</v>
      </c>
      <c r="M104" s="2337">
        <v>0.1</v>
      </c>
      <c r="N104" s="2337"/>
      <c r="O104" s="2323"/>
    </row>
    <row r="105" spans="1:15" s="358" customFormat="1" ht="11.5" customHeight="1">
      <c r="A105" s="2331"/>
      <c r="B105" s="2322"/>
      <c r="C105" s="2327" t="s">
        <v>970</v>
      </c>
      <c r="D105" s="2326">
        <v>43290</v>
      </c>
      <c r="E105" s="2326">
        <v>43290</v>
      </c>
      <c r="F105" s="2333" t="s">
        <v>181</v>
      </c>
      <c r="G105" s="2322" t="s">
        <v>723</v>
      </c>
      <c r="H105" s="2328" t="s">
        <v>940</v>
      </c>
      <c r="I105" s="2324">
        <v>836</v>
      </c>
      <c r="J105" s="2329"/>
      <c r="K105" s="2324"/>
      <c r="L105" s="2334" t="s">
        <v>941</v>
      </c>
      <c r="M105" s="2325">
        <v>6</v>
      </c>
      <c r="N105" s="2325">
        <v>42</v>
      </c>
      <c r="O105" s="2323"/>
    </row>
    <row r="106" spans="1:15" s="358" customFormat="1">
      <c r="A106" s="2331"/>
      <c r="B106" s="2322"/>
      <c r="C106" s="2327" t="s">
        <v>970</v>
      </c>
      <c r="D106" s="2326">
        <v>43290</v>
      </c>
      <c r="E106" s="2326">
        <v>43290</v>
      </c>
      <c r="F106" s="2322" t="s">
        <v>160</v>
      </c>
      <c r="G106" s="2322" t="s">
        <v>723</v>
      </c>
      <c r="H106" s="2328" t="s">
        <v>942</v>
      </c>
      <c r="I106" s="2324">
        <v>45</v>
      </c>
      <c r="J106" s="2329"/>
      <c r="K106" s="2324"/>
      <c r="L106" s="2322" t="s">
        <v>941</v>
      </c>
      <c r="M106" s="2325">
        <v>2</v>
      </c>
      <c r="N106" s="2325">
        <v>8</v>
      </c>
      <c r="O106" s="2323"/>
    </row>
    <row r="107" spans="1:15">
      <c r="A107" s="1445" t="s">
        <v>1302</v>
      </c>
      <c r="B107" s="1443"/>
      <c r="C107" s="1442"/>
      <c r="D107" s="1442"/>
      <c r="E107" s="1446"/>
      <c r="F107" s="1445"/>
      <c r="G107" s="1447"/>
      <c r="H107" s="1448"/>
      <c r="I107" s="1450"/>
      <c r="J107" s="1444"/>
      <c r="K107" s="1440"/>
      <c r="L107" s="1449"/>
      <c r="M107" s="1449"/>
      <c r="N107" s="1441"/>
    </row>
    <row r="108" spans="1:15">
      <c r="A108" s="1440" t="s">
        <v>1303</v>
      </c>
      <c r="B108" s="2125" t="s">
        <v>1534</v>
      </c>
      <c r="C108" s="2131" t="s">
        <v>967</v>
      </c>
      <c r="D108" s="2130">
        <v>43297</v>
      </c>
      <c r="E108" s="2130">
        <v>43297</v>
      </c>
      <c r="F108" s="2137" t="s">
        <v>181</v>
      </c>
      <c r="G108" s="2126" t="s">
        <v>723</v>
      </c>
      <c r="H108" s="2132" t="s">
        <v>940</v>
      </c>
      <c r="I108" s="2128">
        <v>539</v>
      </c>
      <c r="J108" s="2133">
        <v>539</v>
      </c>
      <c r="K108" s="2126"/>
      <c r="L108" s="2138" t="s">
        <v>941</v>
      </c>
      <c r="M108" s="2129">
        <v>6</v>
      </c>
      <c r="N108" s="2129">
        <v>42</v>
      </c>
      <c r="O108" s="2127">
        <v>43320</v>
      </c>
    </row>
    <row r="109" spans="1:15">
      <c r="A109" s="1440" t="s">
        <v>1303</v>
      </c>
      <c r="B109" s="2125" t="s">
        <v>1534</v>
      </c>
      <c r="C109" s="2131" t="s">
        <v>967</v>
      </c>
      <c r="D109" s="2130">
        <v>43297</v>
      </c>
      <c r="E109" s="2130">
        <v>43297</v>
      </c>
      <c r="F109" s="2126" t="s">
        <v>160</v>
      </c>
      <c r="G109" s="2126" t="s">
        <v>723</v>
      </c>
      <c r="H109" s="2132" t="s">
        <v>942</v>
      </c>
      <c r="I109" s="2128">
        <v>24</v>
      </c>
      <c r="J109" s="2133">
        <v>24</v>
      </c>
      <c r="K109" s="2128"/>
      <c r="L109" s="2126" t="s">
        <v>941</v>
      </c>
      <c r="M109" s="2129">
        <v>2</v>
      </c>
      <c r="N109" s="2129">
        <v>8</v>
      </c>
      <c r="O109" s="2127">
        <v>43320</v>
      </c>
    </row>
    <row r="110" spans="1:15" s="358" customFormat="1">
      <c r="A110" s="1498" t="s">
        <v>1333</v>
      </c>
      <c r="B110" s="2135" t="s">
        <v>1535</v>
      </c>
      <c r="C110" s="2131" t="s">
        <v>968</v>
      </c>
      <c r="D110" s="2130">
        <v>43297</v>
      </c>
      <c r="E110" s="2130">
        <v>43297</v>
      </c>
      <c r="F110" s="2137" t="s">
        <v>181</v>
      </c>
      <c r="G110" s="2126" t="s">
        <v>723</v>
      </c>
      <c r="H110" s="2132" t="s">
        <v>940</v>
      </c>
      <c r="I110" s="2128">
        <v>1209</v>
      </c>
      <c r="J110" s="2133">
        <v>1209</v>
      </c>
      <c r="K110" s="2126"/>
      <c r="L110" s="2138" t="s">
        <v>941</v>
      </c>
      <c r="M110" s="2129">
        <v>6</v>
      </c>
      <c r="N110" s="2129">
        <v>42</v>
      </c>
      <c r="O110" s="2127">
        <v>43320</v>
      </c>
    </row>
    <row r="111" spans="1:15" s="358" customFormat="1">
      <c r="A111" s="1498" t="s">
        <v>1333</v>
      </c>
      <c r="B111" s="2125" t="s">
        <v>1535</v>
      </c>
      <c r="C111" s="2131" t="s">
        <v>968</v>
      </c>
      <c r="D111" s="2130">
        <v>43297</v>
      </c>
      <c r="E111" s="2130">
        <v>43297</v>
      </c>
      <c r="F111" s="2126" t="s">
        <v>160</v>
      </c>
      <c r="G111" s="2126" t="s">
        <v>723</v>
      </c>
      <c r="H111" s="2132" t="s">
        <v>942</v>
      </c>
      <c r="I111" s="2128">
        <v>110</v>
      </c>
      <c r="J111" s="2133">
        <v>110</v>
      </c>
      <c r="K111" s="2128"/>
      <c r="L111" s="2126" t="s">
        <v>941</v>
      </c>
      <c r="M111" s="2129">
        <v>2</v>
      </c>
      <c r="N111" s="2129">
        <v>8</v>
      </c>
      <c r="O111" s="2127">
        <v>43320</v>
      </c>
    </row>
    <row r="112" spans="1:15" s="358" customFormat="1">
      <c r="A112" s="1498" t="s">
        <v>1334</v>
      </c>
      <c r="B112" s="2126" t="s">
        <v>1536</v>
      </c>
      <c r="C112" s="2131">
        <v>45</v>
      </c>
      <c r="D112" s="2130">
        <v>43297</v>
      </c>
      <c r="E112" s="2130">
        <v>43297</v>
      </c>
      <c r="F112" s="2137" t="s">
        <v>181</v>
      </c>
      <c r="G112" s="2126" t="s">
        <v>723</v>
      </c>
      <c r="H112" s="2132" t="s">
        <v>940</v>
      </c>
      <c r="I112" s="2128">
        <v>734</v>
      </c>
      <c r="J112" s="2133">
        <v>734</v>
      </c>
      <c r="K112" s="2126"/>
      <c r="L112" s="2138" t="s">
        <v>941</v>
      </c>
      <c r="M112" s="2129">
        <v>6</v>
      </c>
      <c r="N112" s="2129">
        <v>42</v>
      </c>
      <c r="O112" s="2127">
        <v>43320</v>
      </c>
    </row>
    <row r="113" spans="1:15" s="358" customFormat="1">
      <c r="A113" s="1498" t="s">
        <v>1334</v>
      </c>
      <c r="B113" s="2135" t="s">
        <v>1536</v>
      </c>
      <c r="C113" s="2131">
        <v>45</v>
      </c>
      <c r="D113" s="2130">
        <v>43297</v>
      </c>
      <c r="E113" s="2130">
        <v>43297</v>
      </c>
      <c r="F113" s="2126" t="s">
        <v>160</v>
      </c>
      <c r="G113" s="2126" t="s">
        <v>723</v>
      </c>
      <c r="H113" s="2132" t="s">
        <v>942</v>
      </c>
      <c r="I113" s="2128">
        <v>33</v>
      </c>
      <c r="J113" s="2133">
        <v>33</v>
      </c>
      <c r="K113" s="2128"/>
      <c r="L113" s="2126" t="s">
        <v>941</v>
      </c>
      <c r="M113" s="2129">
        <v>2</v>
      </c>
      <c r="N113" s="2129">
        <v>8</v>
      </c>
      <c r="O113" s="2127">
        <v>43320</v>
      </c>
    </row>
    <row r="114" spans="1:15" s="358" customFormat="1">
      <c r="A114" s="1498"/>
      <c r="B114" s="2126" t="s">
        <v>1537</v>
      </c>
      <c r="C114" s="2131">
        <v>90</v>
      </c>
      <c r="D114" s="2130">
        <v>43297</v>
      </c>
      <c r="E114" s="2130">
        <v>43297</v>
      </c>
      <c r="F114" s="2137" t="s">
        <v>181</v>
      </c>
      <c r="G114" s="2126" t="s">
        <v>723</v>
      </c>
      <c r="H114" s="2132" t="s">
        <v>940</v>
      </c>
      <c r="I114" s="2128">
        <v>1130</v>
      </c>
      <c r="J114" s="2133">
        <v>1130</v>
      </c>
      <c r="K114" s="2126"/>
      <c r="L114" s="2138" t="s">
        <v>941</v>
      </c>
      <c r="M114" s="2129">
        <v>6</v>
      </c>
      <c r="N114" s="2129">
        <v>42</v>
      </c>
      <c r="O114" s="2127">
        <v>43320</v>
      </c>
    </row>
    <row r="115" spans="1:15" s="358" customFormat="1">
      <c r="A115" s="1498"/>
      <c r="B115" s="2126" t="s">
        <v>1537</v>
      </c>
      <c r="C115" s="2131">
        <v>90</v>
      </c>
      <c r="D115" s="2130">
        <v>43297</v>
      </c>
      <c r="E115" s="2130">
        <v>43297</v>
      </c>
      <c r="F115" s="2126" t="s">
        <v>160</v>
      </c>
      <c r="G115" s="2126" t="s">
        <v>723</v>
      </c>
      <c r="H115" s="2132" t="s">
        <v>942</v>
      </c>
      <c r="I115" s="2128">
        <v>41</v>
      </c>
      <c r="J115" s="2133">
        <v>41</v>
      </c>
      <c r="K115" s="2126"/>
      <c r="L115" s="2126" t="s">
        <v>941</v>
      </c>
      <c r="M115" s="2129">
        <v>2</v>
      </c>
      <c r="N115" s="2129">
        <v>8</v>
      </c>
      <c r="O115" s="2127">
        <v>43320</v>
      </c>
    </row>
    <row r="116" spans="1:15" s="358" customFormat="1">
      <c r="A116" s="1498"/>
      <c r="B116" s="2135" t="s">
        <v>1538</v>
      </c>
      <c r="C116" s="2136" t="s">
        <v>969</v>
      </c>
      <c r="D116" s="2130">
        <v>43297</v>
      </c>
      <c r="E116" s="2130">
        <v>43297</v>
      </c>
      <c r="F116" s="2137" t="s">
        <v>181</v>
      </c>
      <c r="G116" s="2126" t="s">
        <v>723</v>
      </c>
      <c r="H116" s="2132" t="s">
        <v>940</v>
      </c>
      <c r="I116" s="2128">
        <v>865</v>
      </c>
      <c r="J116" s="2133">
        <v>865</v>
      </c>
      <c r="K116" s="2126"/>
      <c r="L116" s="2138" t="s">
        <v>941</v>
      </c>
      <c r="M116" s="2129">
        <v>6</v>
      </c>
      <c r="N116" s="2129">
        <v>42</v>
      </c>
      <c r="O116" s="2127">
        <v>43320</v>
      </c>
    </row>
    <row r="117" spans="1:15" s="358" customFormat="1">
      <c r="A117" s="1498"/>
      <c r="B117" s="2135" t="s">
        <v>1538</v>
      </c>
      <c r="C117" s="2136" t="s">
        <v>969</v>
      </c>
      <c r="D117" s="2130">
        <v>43297</v>
      </c>
      <c r="E117" s="2130">
        <v>43297</v>
      </c>
      <c r="F117" s="2126" t="s">
        <v>160</v>
      </c>
      <c r="G117" s="2126" t="s">
        <v>723</v>
      </c>
      <c r="H117" s="2132" t="s">
        <v>942</v>
      </c>
      <c r="I117" s="2128">
        <v>35</v>
      </c>
      <c r="J117" s="2133">
        <v>35</v>
      </c>
      <c r="K117" s="2128"/>
      <c r="L117" s="2126" t="s">
        <v>941</v>
      </c>
      <c r="M117" s="2129">
        <v>2</v>
      </c>
      <c r="N117" s="2129">
        <v>8</v>
      </c>
      <c r="O117" s="2127">
        <v>43320</v>
      </c>
    </row>
    <row r="118" spans="1:15" s="358" customFormat="1">
      <c r="A118" s="1498"/>
      <c r="B118" s="2135" t="s">
        <v>1538</v>
      </c>
      <c r="C118" s="2131" t="s">
        <v>969</v>
      </c>
      <c r="D118" s="2130">
        <v>43297</v>
      </c>
      <c r="E118" s="2130">
        <v>43297</v>
      </c>
      <c r="F118" s="2137" t="s">
        <v>161</v>
      </c>
      <c r="G118" s="2135" t="s">
        <v>723</v>
      </c>
      <c r="H118" s="2139" t="s">
        <v>945</v>
      </c>
      <c r="I118" s="2140">
        <v>12.1</v>
      </c>
      <c r="J118" s="2142">
        <v>12.1</v>
      </c>
      <c r="K118" s="2134"/>
      <c r="L118" s="2126" t="s">
        <v>941</v>
      </c>
      <c r="M118" s="2141">
        <v>0.1</v>
      </c>
      <c r="N118" s="2141"/>
      <c r="O118" s="2127">
        <v>43312</v>
      </c>
    </row>
    <row r="119" spans="1:15" s="358" customFormat="1">
      <c r="A119" s="1498"/>
      <c r="B119" s="2135" t="s">
        <v>1538</v>
      </c>
      <c r="C119" s="2131" t="s">
        <v>969</v>
      </c>
      <c r="D119" s="2130">
        <v>43297</v>
      </c>
      <c r="E119" s="2130">
        <v>43297</v>
      </c>
      <c r="F119" s="2137" t="s">
        <v>161</v>
      </c>
      <c r="G119" s="2135" t="s">
        <v>723</v>
      </c>
      <c r="H119" s="2139" t="s">
        <v>945</v>
      </c>
      <c r="I119" s="2140">
        <v>12.1</v>
      </c>
      <c r="J119" s="2142">
        <v>12.1</v>
      </c>
      <c r="K119" s="2134"/>
      <c r="L119" s="2126" t="s">
        <v>941</v>
      </c>
      <c r="M119" s="2141">
        <v>0.1</v>
      </c>
      <c r="N119" s="2141"/>
      <c r="O119" s="2127">
        <v>43312</v>
      </c>
    </row>
    <row r="120" spans="1:15" s="358" customFormat="1">
      <c r="A120" s="1498"/>
      <c r="B120" s="2126" t="s">
        <v>1539</v>
      </c>
      <c r="C120" s="2131" t="s">
        <v>970</v>
      </c>
      <c r="D120" s="2130">
        <v>43297</v>
      </c>
      <c r="E120" s="2130">
        <v>43297</v>
      </c>
      <c r="F120" s="2137" t="s">
        <v>181</v>
      </c>
      <c r="G120" s="2126" t="s">
        <v>723</v>
      </c>
      <c r="H120" s="2132" t="s">
        <v>940</v>
      </c>
      <c r="I120" s="2128">
        <v>868</v>
      </c>
      <c r="J120" s="2133">
        <v>868</v>
      </c>
      <c r="K120" s="2126"/>
      <c r="L120" s="2138" t="s">
        <v>941</v>
      </c>
      <c r="M120" s="2129">
        <v>6</v>
      </c>
      <c r="N120" s="2129">
        <v>42</v>
      </c>
      <c r="O120" s="2127">
        <v>43320</v>
      </c>
    </row>
    <row r="121" spans="1:15" s="358" customFormat="1">
      <c r="A121" s="1498"/>
      <c r="B121" s="2126" t="s">
        <v>1539</v>
      </c>
      <c r="C121" s="2131" t="s">
        <v>970</v>
      </c>
      <c r="D121" s="2130">
        <v>43297</v>
      </c>
      <c r="E121" s="2130">
        <v>43297</v>
      </c>
      <c r="F121" s="2126" t="s">
        <v>160</v>
      </c>
      <c r="G121" s="2126" t="s">
        <v>723</v>
      </c>
      <c r="H121" s="2132" t="s">
        <v>942</v>
      </c>
      <c r="I121" s="2128">
        <v>72</v>
      </c>
      <c r="J121" s="2133">
        <v>72</v>
      </c>
      <c r="K121" s="2128"/>
      <c r="L121" s="2126" t="s">
        <v>941</v>
      </c>
      <c r="M121" s="2129">
        <v>2</v>
      </c>
      <c r="N121" s="2129">
        <v>8</v>
      </c>
      <c r="O121" s="2127">
        <v>43320</v>
      </c>
    </row>
    <row r="122" spans="1:15" s="358" customFormat="1">
      <c r="A122" s="1498"/>
      <c r="B122" s="1503"/>
      <c r="C122" s="1502"/>
      <c r="D122" s="1502"/>
      <c r="E122" s="1506"/>
      <c r="F122" s="1498"/>
      <c r="G122" s="1504"/>
      <c r="H122" s="1500"/>
      <c r="I122" s="1500"/>
      <c r="J122" s="1500"/>
      <c r="K122" s="1507"/>
      <c r="L122" s="1501"/>
      <c r="M122" s="1501"/>
      <c r="N122" s="1499"/>
    </row>
    <row r="123" spans="1:15">
      <c r="A123" s="684" t="s">
        <v>1304</v>
      </c>
      <c r="B123" s="2161" t="s">
        <v>1546</v>
      </c>
      <c r="C123" s="2167" t="s">
        <v>967</v>
      </c>
      <c r="D123" s="2166">
        <v>43319</v>
      </c>
      <c r="E123" s="2166">
        <v>43319</v>
      </c>
      <c r="F123" s="2173" t="s">
        <v>181</v>
      </c>
      <c r="G123" s="2162" t="s">
        <v>723</v>
      </c>
      <c r="H123" s="2168" t="s">
        <v>940</v>
      </c>
      <c r="I123" s="2164">
        <v>664</v>
      </c>
      <c r="J123" s="2169">
        <v>664</v>
      </c>
      <c r="K123" s="2162"/>
      <c r="L123" s="2174" t="s">
        <v>941</v>
      </c>
      <c r="M123" s="2165">
        <v>6</v>
      </c>
      <c r="N123" s="2165">
        <v>42</v>
      </c>
      <c r="O123" s="2163">
        <v>43328</v>
      </c>
    </row>
    <row r="124" spans="1:15">
      <c r="A124" s="683" t="s">
        <v>1304</v>
      </c>
      <c r="B124" s="2161" t="s">
        <v>1546</v>
      </c>
      <c r="C124" s="2167" t="s">
        <v>967</v>
      </c>
      <c r="D124" s="2166">
        <v>43319</v>
      </c>
      <c r="E124" s="2166">
        <v>43319</v>
      </c>
      <c r="F124" s="2162" t="s">
        <v>160</v>
      </c>
      <c r="G124" s="2162" t="s">
        <v>723</v>
      </c>
      <c r="H124" s="2168" t="s">
        <v>942</v>
      </c>
      <c r="I124" s="2164">
        <v>11</v>
      </c>
      <c r="J124" s="2169">
        <v>11</v>
      </c>
      <c r="K124" s="2164"/>
      <c r="L124" s="2162" t="s">
        <v>941</v>
      </c>
      <c r="M124" s="2165">
        <v>2</v>
      </c>
      <c r="N124" s="2165">
        <v>8</v>
      </c>
      <c r="O124" s="2163">
        <v>43328</v>
      </c>
    </row>
    <row r="125" spans="1:15">
      <c r="A125" s="683" t="s">
        <v>1305</v>
      </c>
      <c r="B125" s="2171" t="s">
        <v>1547</v>
      </c>
      <c r="C125" s="2167" t="s">
        <v>968</v>
      </c>
      <c r="D125" s="2166">
        <v>43319</v>
      </c>
      <c r="E125" s="2166">
        <v>43319</v>
      </c>
      <c r="F125" s="2173" t="s">
        <v>181</v>
      </c>
      <c r="G125" s="2162" t="s">
        <v>723</v>
      </c>
      <c r="H125" s="2168" t="s">
        <v>940</v>
      </c>
      <c r="I125" s="2164">
        <v>1170</v>
      </c>
      <c r="J125" s="2169">
        <v>1170</v>
      </c>
      <c r="K125" s="2162"/>
      <c r="L125" s="2174" t="s">
        <v>941</v>
      </c>
      <c r="M125" s="2165">
        <v>6</v>
      </c>
      <c r="N125" s="2165">
        <v>42</v>
      </c>
      <c r="O125" s="2163">
        <v>43328</v>
      </c>
    </row>
    <row r="126" spans="1:15">
      <c r="A126" s="685" t="s">
        <v>1305</v>
      </c>
      <c r="B126" s="2161" t="s">
        <v>1547</v>
      </c>
      <c r="C126" s="2167" t="s">
        <v>968</v>
      </c>
      <c r="D126" s="2166">
        <v>43319</v>
      </c>
      <c r="E126" s="2166">
        <v>43319</v>
      </c>
      <c r="F126" s="2162" t="s">
        <v>160</v>
      </c>
      <c r="G126" s="2162" t="s">
        <v>723</v>
      </c>
      <c r="H126" s="2168" t="s">
        <v>942</v>
      </c>
      <c r="I126" s="2164">
        <v>27</v>
      </c>
      <c r="J126" s="2169">
        <v>27</v>
      </c>
      <c r="K126" s="2164"/>
      <c r="L126" s="2162" t="s">
        <v>941</v>
      </c>
      <c r="M126" s="2165">
        <v>2</v>
      </c>
      <c r="N126" s="2165">
        <v>8</v>
      </c>
      <c r="O126" s="2163">
        <v>43328</v>
      </c>
    </row>
    <row r="127" spans="1:15">
      <c r="A127" s="685" t="s">
        <v>1306</v>
      </c>
      <c r="B127" s="2162" t="s">
        <v>1548</v>
      </c>
      <c r="C127" s="2167">
        <v>45</v>
      </c>
      <c r="D127" s="2166">
        <v>43319</v>
      </c>
      <c r="E127" s="2166">
        <v>43319</v>
      </c>
      <c r="F127" s="2173" t="s">
        <v>181</v>
      </c>
      <c r="G127" s="2162" t="s">
        <v>723</v>
      </c>
      <c r="H127" s="2168" t="s">
        <v>940</v>
      </c>
      <c r="I127" s="2164">
        <v>581</v>
      </c>
      <c r="J127" s="2169">
        <v>581</v>
      </c>
      <c r="K127" s="2162"/>
      <c r="L127" s="2174" t="s">
        <v>941</v>
      </c>
      <c r="M127" s="2165">
        <v>6</v>
      </c>
      <c r="N127" s="2165">
        <v>42</v>
      </c>
      <c r="O127" s="2163">
        <v>43328</v>
      </c>
    </row>
    <row r="128" spans="1:15">
      <c r="A128" s="687" t="s">
        <v>1306</v>
      </c>
      <c r="B128" s="2171" t="s">
        <v>1548</v>
      </c>
      <c r="C128" s="2167">
        <v>45</v>
      </c>
      <c r="D128" s="2166">
        <v>43319</v>
      </c>
      <c r="E128" s="2166">
        <v>43319</v>
      </c>
      <c r="F128" s="2162" t="s">
        <v>160</v>
      </c>
      <c r="G128" s="2162" t="s">
        <v>723</v>
      </c>
      <c r="H128" s="2168" t="s">
        <v>942</v>
      </c>
      <c r="I128" s="2164">
        <v>46</v>
      </c>
      <c r="J128" s="2169">
        <v>46</v>
      </c>
      <c r="K128" s="2164"/>
      <c r="L128" s="2162" t="s">
        <v>941</v>
      </c>
      <c r="M128" s="2165">
        <v>2</v>
      </c>
      <c r="N128" s="2165">
        <v>8</v>
      </c>
      <c r="O128" s="2163">
        <v>43328</v>
      </c>
    </row>
    <row r="129" spans="1:15">
      <c r="A129" s="686" t="s">
        <v>1307</v>
      </c>
      <c r="B129" s="2162" t="s">
        <v>1549</v>
      </c>
      <c r="C129" s="2167">
        <v>90</v>
      </c>
      <c r="D129" s="2166">
        <v>43319</v>
      </c>
      <c r="E129" s="2166">
        <v>43319</v>
      </c>
      <c r="F129" s="2173" t="s">
        <v>181</v>
      </c>
      <c r="G129" s="2162" t="s">
        <v>723</v>
      </c>
      <c r="H129" s="2168" t="s">
        <v>940</v>
      </c>
      <c r="I129" s="2164">
        <v>652</v>
      </c>
      <c r="J129" s="2169">
        <v>652</v>
      </c>
      <c r="K129" s="2162"/>
      <c r="L129" s="2174" t="s">
        <v>941</v>
      </c>
      <c r="M129" s="2165">
        <v>6</v>
      </c>
      <c r="N129" s="2165">
        <v>42</v>
      </c>
      <c r="O129" s="2163">
        <v>43328</v>
      </c>
    </row>
    <row r="130" spans="1:15">
      <c r="A130" s="687" t="s">
        <v>1308</v>
      </c>
      <c r="B130" s="2162" t="s">
        <v>1549</v>
      </c>
      <c r="C130" s="2167">
        <v>90</v>
      </c>
      <c r="D130" s="2166">
        <v>43319</v>
      </c>
      <c r="E130" s="2166">
        <v>43319</v>
      </c>
      <c r="F130" s="2162" t="s">
        <v>160</v>
      </c>
      <c r="G130" s="2162" t="s">
        <v>723</v>
      </c>
      <c r="H130" s="2168" t="s">
        <v>942</v>
      </c>
      <c r="I130" s="2164">
        <v>25</v>
      </c>
      <c r="J130" s="2169">
        <v>25</v>
      </c>
      <c r="K130" s="2162"/>
      <c r="L130" s="2162" t="s">
        <v>941</v>
      </c>
      <c r="M130" s="2165">
        <v>2</v>
      </c>
      <c r="N130" s="2165">
        <v>8</v>
      </c>
      <c r="O130" s="2163">
        <v>43328</v>
      </c>
    </row>
    <row r="131" spans="1:15">
      <c r="A131" s="685" t="s">
        <v>1308</v>
      </c>
      <c r="B131" s="2171" t="s">
        <v>1550</v>
      </c>
      <c r="C131" s="2172" t="s">
        <v>969</v>
      </c>
      <c r="D131" s="2166">
        <v>43319</v>
      </c>
      <c r="E131" s="2166">
        <v>43319</v>
      </c>
      <c r="F131" s="2173" t="s">
        <v>181</v>
      </c>
      <c r="G131" s="2162" t="s">
        <v>723</v>
      </c>
      <c r="H131" s="2168" t="s">
        <v>940</v>
      </c>
      <c r="I131" s="2164">
        <v>632</v>
      </c>
      <c r="J131" s="2169">
        <v>632</v>
      </c>
      <c r="K131" s="2162"/>
      <c r="L131" s="2174" t="s">
        <v>941</v>
      </c>
      <c r="M131" s="2165">
        <v>6</v>
      </c>
      <c r="N131" s="2165">
        <v>42</v>
      </c>
      <c r="O131" s="2163">
        <v>43328</v>
      </c>
    </row>
    <row r="132" spans="1:15">
      <c r="A132" s="687" t="s">
        <v>1308</v>
      </c>
      <c r="B132" s="2171" t="s">
        <v>1550</v>
      </c>
      <c r="C132" s="2172" t="s">
        <v>969</v>
      </c>
      <c r="D132" s="2166">
        <v>43319</v>
      </c>
      <c r="E132" s="2166">
        <v>43319</v>
      </c>
      <c r="F132" s="2162" t="s">
        <v>160</v>
      </c>
      <c r="G132" s="2162" t="s">
        <v>723</v>
      </c>
      <c r="H132" s="2168" t="s">
        <v>942</v>
      </c>
      <c r="I132" s="2164">
        <v>50</v>
      </c>
      <c r="J132" s="2169">
        <v>50</v>
      </c>
      <c r="K132" s="2164"/>
      <c r="L132" s="2162" t="s">
        <v>941</v>
      </c>
      <c r="M132" s="2165">
        <v>2</v>
      </c>
      <c r="N132" s="2165">
        <v>8</v>
      </c>
      <c r="O132" s="2163">
        <v>43328</v>
      </c>
    </row>
    <row r="133" spans="1:15">
      <c r="A133" s="686" t="s">
        <v>1309</v>
      </c>
      <c r="B133" s="2171" t="s">
        <v>1550</v>
      </c>
      <c r="C133" s="2167" t="s">
        <v>969</v>
      </c>
      <c r="D133" s="2166">
        <v>43319</v>
      </c>
      <c r="E133" s="2166">
        <v>43319</v>
      </c>
      <c r="F133" s="2173" t="s">
        <v>161</v>
      </c>
      <c r="G133" s="2171" t="s">
        <v>723</v>
      </c>
      <c r="H133" s="2175" t="s">
        <v>945</v>
      </c>
      <c r="I133" s="2176">
        <v>18.3</v>
      </c>
      <c r="J133" s="2178">
        <v>18.3</v>
      </c>
      <c r="K133" s="2170"/>
      <c r="L133" s="2162" t="s">
        <v>941</v>
      </c>
      <c r="M133" s="2177">
        <v>0.1</v>
      </c>
      <c r="N133" s="2177"/>
      <c r="O133" s="2163">
        <v>43328</v>
      </c>
    </row>
    <row r="134" spans="1:15">
      <c r="A134" s="687" t="s">
        <v>1309</v>
      </c>
      <c r="B134" s="2171" t="s">
        <v>1550</v>
      </c>
      <c r="C134" s="2167" t="s">
        <v>969</v>
      </c>
      <c r="D134" s="2166">
        <v>43319</v>
      </c>
      <c r="E134" s="2166">
        <v>43319</v>
      </c>
      <c r="F134" s="2173" t="s">
        <v>161</v>
      </c>
      <c r="G134" s="2171" t="s">
        <v>723</v>
      </c>
      <c r="H134" s="2175" t="s">
        <v>945</v>
      </c>
      <c r="I134" s="2176">
        <v>17.399999999999999</v>
      </c>
      <c r="J134" s="2178">
        <v>17.399999999999999</v>
      </c>
      <c r="K134" s="2170"/>
      <c r="L134" s="2162" t="s">
        <v>941</v>
      </c>
      <c r="M134" s="2177">
        <v>0.1</v>
      </c>
      <c r="N134" s="2177"/>
      <c r="O134" s="2163">
        <v>43328</v>
      </c>
    </row>
    <row r="135" spans="1:15">
      <c r="A135" s="733" t="s">
        <v>1310</v>
      </c>
      <c r="B135" s="2162" t="s">
        <v>1551</v>
      </c>
      <c r="C135" s="2167" t="s">
        <v>970</v>
      </c>
      <c r="D135" s="2166">
        <v>43319</v>
      </c>
      <c r="E135" s="2166">
        <v>43319</v>
      </c>
      <c r="F135" s="2173" t="s">
        <v>181</v>
      </c>
      <c r="G135" s="2162" t="s">
        <v>723</v>
      </c>
      <c r="H135" s="2168" t="s">
        <v>940</v>
      </c>
      <c r="I135" s="2164">
        <v>720</v>
      </c>
      <c r="J135" s="2169">
        <v>720</v>
      </c>
      <c r="K135" s="2162"/>
      <c r="L135" s="2174" t="s">
        <v>941</v>
      </c>
      <c r="M135" s="2165">
        <v>6</v>
      </c>
      <c r="N135" s="2165">
        <v>42</v>
      </c>
      <c r="O135" s="2163">
        <v>43328</v>
      </c>
    </row>
    <row r="136" spans="1:15">
      <c r="A136" s="733" t="s">
        <v>1310</v>
      </c>
      <c r="B136" s="2162" t="s">
        <v>1551</v>
      </c>
      <c r="C136" s="2167" t="s">
        <v>970</v>
      </c>
      <c r="D136" s="2166">
        <v>43319</v>
      </c>
      <c r="E136" s="2166">
        <v>43319</v>
      </c>
      <c r="F136" s="2162" t="s">
        <v>160</v>
      </c>
      <c r="G136" s="2162" t="s">
        <v>723</v>
      </c>
      <c r="H136" s="2168" t="s">
        <v>942</v>
      </c>
      <c r="I136" s="2164">
        <v>83</v>
      </c>
      <c r="J136" s="2169">
        <v>83</v>
      </c>
      <c r="K136" s="2164"/>
      <c r="L136" s="2162" t="s">
        <v>941</v>
      </c>
      <c r="M136" s="2165">
        <v>2</v>
      </c>
      <c r="N136" s="2165">
        <v>8</v>
      </c>
      <c r="O136" s="2163">
        <v>43328</v>
      </c>
    </row>
    <row r="137" spans="1:15">
      <c r="A137" s="530" t="s">
        <v>1311</v>
      </c>
      <c r="B137" s="72"/>
      <c r="C137" s="109"/>
      <c r="D137" s="109"/>
      <c r="E137" s="286"/>
      <c r="F137" s="531"/>
      <c r="G137" s="61"/>
      <c r="H137" s="287"/>
      <c r="I137" s="285"/>
      <c r="J137" s="531"/>
      <c r="K137" s="205"/>
      <c r="L137" s="218"/>
      <c r="M137" s="218"/>
      <c r="N137" s="219"/>
    </row>
    <row r="138" spans="1:15">
      <c r="A138" s="733" t="s">
        <v>1311</v>
      </c>
      <c r="B138" s="2143" t="s">
        <v>1540</v>
      </c>
      <c r="C138" s="2149" t="s">
        <v>967</v>
      </c>
      <c r="D138" s="2148">
        <v>43325</v>
      </c>
      <c r="E138" s="2148">
        <v>43325</v>
      </c>
      <c r="F138" s="2155" t="s">
        <v>181</v>
      </c>
      <c r="G138" s="2144" t="s">
        <v>723</v>
      </c>
      <c r="H138" s="2150" t="s">
        <v>940</v>
      </c>
      <c r="I138" s="2146">
        <v>744</v>
      </c>
      <c r="J138" s="2151">
        <v>744</v>
      </c>
      <c r="K138" s="2144"/>
      <c r="L138" s="2156" t="s">
        <v>941</v>
      </c>
      <c r="M138" s="2147">
        <v>6</v>
      </c>
      <c r="N138" s="2147">
        <v>42</v>
      </c>
      <c r="O138" s="2145">
        <v>43334</v>
      </c>
    </row>
    <row r="139" spans="1:15">
      <c r="A139" s="531" t="s">
        <v>1312</v>
      </c>
      <c r="B139" s="2143" t="s">
        <v>1540</v>
      </c>
      <c r="C139" s="2149" t="s">
        <v>967</v>
      </c>
      <c r="D139" s="2148">
        <v>43325</v>
      </c>
      <c r="E139" s="2148">
        <v>43325</v>
      </c>
      <c r="F139" s="2144" t="s">
        <v>160</v>
      </c>
      <c r="G139" s="2144" t="s">
        <v>723</v>
      </c>
      <c r="H139" s="2150" t="s">
        <v>942</v>
      </c>
      <c r="I139" s="2146">
        <v>87</v>
      </c>
      <c r="J139" s="2151">
        <v>87</v>
      </c>
      <c r="K139" s="2146"/>
      <c r="L139" s="2144" t="s">
        <v>941</v>
      </c>
      <c r="M139" s="2147">
        <v>2</v>
      </c>
      <c r="N139" s="2147">
        <v>8</v>
      </c>
      <c r="O139" s="2145">
        <v>43334</v>
      </c>
    </row>
    <row r="140" spans="1:15">
      <c r="A140" s="530" t="s">
        <v>1312</v>
      </c>
      <c r="B140" s="2153" t="s">
        <v>1541</v>
      </c>
      <c r="C140" s="2149" t="s">
        <v>968</v>
      </c>
      <c r="D140" s="2148">
        <v>43325</v>
      </c>
      <c r="E140" s="2148">
        <v>43325</v>
      </c>
      <c r="F140" s="2155" t="s">
        <v>181</v>
      </c>
      <c r="G140" s="2144" t="s">
        <v>723</v>
      </c>
      <c r="H140" s="2150" t="s">
        <v>940</v>
      </c>
      <c r="I140" s="2146">
        <v>1271</v>
      </c>
      <c r="J140" s="2151">
        <v>1271</v>
      </c>
      <c r="K140" s="2144"/>
      <c r="L140" s="2156" t="s">
        <v>941</v>
      </c>
      <c r="M140" s="2147">
        <v>6</v>
      </c>
      <c r="N140" s="2147">
        <v>42</v>
      </c>
      <c r="O140" s="2145">
        <v>43334</v>
      </c>
    </row>
    <row r="141" spans="1:15">
      <c r="A141" s="531" t="s">
        <v>1313</v>
      </c>
      <c r="B141" s="2143" t="s">
        <v>1541</v>
      </c>
      <c r="C141" s="2149" t="s">
        <v>968</v>
      </c>
      <c r="D141" s="2148">
        <v>43325</v>
      </c>
      <c r="E141" s="2148">
        <v>43325</v>
      </c>
      <c r="F141" s="2144" t="s">
        <v>160</v>
      </c>
      <c r="G141" s="2144" t="s">
        <v>723</v>
      </c>
      <c r="H141" s="2150" t="s">
        <v>942</v>
      </c>
      <c r="I141" s="2146">
        <v>32</v>
      </c>
      <c r="J141" s="2151">
        <v>32</v>
      </c>
      <c r="K141" s="2146"/>
      <c r="L141" s="2144" t="s">
        <v>941</v>
      </c>
      <c r="M141" s="2147">
        <v>2</v>
      </c>
      <c r="N141" s="2147">
        <v>8</v>
      </c>
      <c r="O141" s="2145">
        <v>43334</v>
      </c>
    </row>
    <row r="142" spans="1:15">
      <c r="A142" s="531" t="s">
        <v>1313</v>
      </c>
      <c r="B142" s="2144" t="s">
        <v>1542</v>
      </c>
      <c r="C142" s="2149">
        <v>45</v>
      </c>
      <c r="D142" s="2148">
        <v>43325</v>
      </c>
      <c r="E142" s="2148">
        <v>43325</v>
      </c>
      <c r="F142" s="2155" t="s">
        <v>181</v>
      </c>
      <c r="G142" s="2144" t="s">
        <v>723</v>
      </c>
      <c r="H142" s="2150" t="s">
        <v>940</v>
      </c>
      <c r="I142" s="2146">
        <v>589</v>
      </c>
      <c r="J142" s="2151">
        <v>589</v>
      </c>
      <c r="K142" s="2144"/>
      <c r="L142" s="2156" t="s">
        <v>941</v>
      </c>
      <c r="M142" s="2147">
        <v>6</v>
      </c>
      <c r="N142" s="2147">
        <v>42</v>
      </c>
      <c r="O142" s="2145">
        <v>43334</v>
      </c>
    </row>
    <row r="143" spans="1:15">
      <c r="A143" s="530" t="s">
        <v>1314</v>
      </c>
      <c r="B143" s="2153" t="s">
        <v>1542</v>
      </c>
      <c r="C143" s="2149">
        <v>45</v>
      </c>
      <c r="D143" s="2148">
        <v>43325</v>
      </c>
      <c r="E143" s="2148">
        <v>43325</v>
      </c>
      <c r="F143" s="2144" t="s">
        <v>160</v>
      </c>
      <c r="G143" s="2144" t="s">
        <v>723</v>
      </c>
      <c r="H143" s="2150" t="s">
        <v>942</v>
      </c>
      <c r="I143" s="2146">
        <v>46</v>
      </c>
      <c r="J143" s="2151">
        <v>46</v>
      </c>
      <c r="K143" s="2146"/>
      <c r="L143" s="2144" t="s">
        <v>941</v>
      </c>
      <c r="M143" s="2147">
        <v>2</v>
      </c>
      <c r="N143" s="2147">
        <v>8</v>
      </c>
      <c r="O143" s="2145">
        <v>43334</v>
      </c>
    </row>
    <row r="144" spans="1:15">
      <c r="A144" s="530" t="s">
        <v>1314</v>
      </c>
      <c r="B144" s="2144" t="s">
        <v>1543</v>
      </c>
      <c r="C144" s="2149">
        <v>90</v>
      </c>
      <c r="D144" s="2148">
        <v>43325</v>
      </c>
      <c r="E144" s="2148">
        <v>43325</v>
      </c>
      <c r="F144" s="2155" t="s">
        <v>181</v>
      </c>
      <c r="G144" s="2144" t="s">
        <v>723</v>
      </c>
      <c r="H144" s="2150" t="s">
        <v>940</v>
      </c>
      <c r="I144" s="2146">
        <v>864</v>
      </c>
      <c r="J144" s="2151">
        <v>864</v>
      </c>
      <c r="K144" s="2144"/>
      <c r="L144" s="2156" t="s">
        <v>941</v>
      </c>
      <c r="M144" s="2147">
        <v>6</v>
      </c>
      <c r="N144" s="2147">
        <v>42</v>
      </c>
      <c r="O144" s="2145">
        <v>43334</v>
      </c>
    </row>
    <row r="145" spans="1:15">
      <c r="A145" s="530" t="s">
        <v>1314</v>
      </c>
      <c r="B145" s="2144" t="s">
        <v>1543</v>
      </c>
      <c r="C145" s="2149">
        <v>90</v>
      </c>
      <c r="D145" s="2148">
        <v>43325</v>
      </c>
      <c r="E145" s="2148">
        <v>43325</v>
      </c>
      <c r="F145" s="2144" t="s">
        <v>160</v>
      </c>
      <c r="G145" s="2144" t="s">
        <v>723</v>
      </c>
      <c r="H145" s="2150" t="s">
        <v>942</v>
      </c>
      <c r="I145" s="2146">
        <v>26</v>
      </c>
      <c r="J145" s="2151">
        <v>26</v>
      </c>
      <c r="K145" s="2144"/>
      <c r="L145" s="2144" t="s">
        <v>941</v>
      </c>
      <c r="M145" s="2147">
        <v>2</v>
      </c>
      <c r="N145" s="2147">
        <v>8</v>
      </c>
      <c r="O145" s="2145">
        <v>43334</v>
      </c>
    </row>
    <row r="146" spans="1:15">
      <c r="A146" s="530" t="s">
        <v>1314</v>
      </c>
      <c r="B146" s="2153" t="s">
        <v>1544</v>
      </c>
      <c r="C146" s="2154" t="s">
        <v>969</v>
      </c>
      <c r="D146" s="2148">
        <v>43325</v>
      </c>
      <c r="E146" s="2148">
        <v>43325</v>
      </c>
      <c r="F146" s="2155" t="s">
        <v>181</v>
      </c>
      <c r="G146" s="2144" t="s">
        <v>723</v>
      </c>
      <c r="H146" s="2150" t="s">
        <v>940</v>
      </c>
      <c r="I146" s="2146">
        <v>606</v>
      </c>
      <c r="J146" s="2151">
        <v>606</v>
      </c>
      <c r="K146" s="2144"/>
      <c r="L146" s="2156" t="s">
        <v>941</v>
      </c>
      <c r="M146" s="2147">
        <v>6</v>
      </c>
      <c r="N146" s="2147">
        <v>42</v>
      </c>
      <c r="O146" s="2145">
        <v>43334</v>
      </c>
    </row>
    <row r="147" spans="1:15">
      <c r="A147" s="531" t="s">
        <v>1315</v>
      </c>
      <c r="B147" s="2153" t="s">
        <v>1544</v>
      </c>
      <c r="C147" s="2154" t="s">
        <v>969</v>
      </c>
      <c r="D147" s="2148">
        <v>43325</v>
      </c>
      <c r="E147" s="2148">
        <v>43325</v>
      </c>
      <c r="F147" s="2144" t="s">
        <v>160</v>
      </c>
      <c r="G147" s="2144" t="s">
        <v>723</v>
      </c>
      <c r="H147" s="2150" t="s">
        <v>942</v>
      </c>
      <c r="I147" s="2146">
        <v>48</v>
      </c>
      <c r="J147" s="2151">
        <v>48</v>
      </c>
      <c r="K147" s="2146"/>
      <c r="L147" s="2144" t="s">
        <v>941</v>
      </c>
      <c r="M147" s="2147">
        <v>2</v>
      </c>
      <c r="N147" s="2147">
        <v>8</v>
      </c>
      <c r="O147" s="2145">
        <v>43334</v>
      </c>
    </row>
    <row r="148" spans="1:15">
      <c r="A148" s="531" t="s">
        <v>1315</v>
      </c>
      <c r="B148" s="2153" t="s">
        <v>1544</v>
      </c>
      <c r="C148" s="2149" t="s">
        <v>969</v>
      </c>
      <c r="D148" s="2148">
        <v>43325</v>
      </c>
      <c r="E148" s="2148">
        <v>43325</v>
      </c>
      <c r="F148" s="2155" t="s">
        <v>161</v>
      </c>
      <c r="G148" s="2153" t="s">
        <v>723</v>
      </c>
      <c r="H148" s="2157" t="s">
        <v>945</v>
      </c>
      <c r="I148" s="2158">
        <v>19.5</v>
      </c>
      <c r="J148" s="2160">
        <v>19.5</v>
      </c>
      <c r="K148" s="2152"/>
      <c r="L148" s="2144" t="s">
        <v>941</v>
      </c>
      <c r="M148" s="2159">
        <v>0.1</v>
      </c>
      <c r="N148" s="2159"/>
      <c r="O148" s="2145">
        <v>43343</v>
      </c>
    </row>
    <row r="149" spans="1:15">
      <c r="A149" s="1464" t="s">
        <v>1316</v>
      </c>
      <c r="B149" s="2153" t="s">
        <v>1544</v>
      </c>
      <c r="C149" s="2149" t="s">
        <v>969</v>
      </c>
      <c r="D149" s="2148">
        <v>43325</v>
      </c>
      <c r="E149" s="2148">
        <v>43325</v>
      </c>
      <c r="F149" s="2155" t="s">
        <v>161</v>
      </c>
      <c r="G149" s="2153" t="s">
        <v>723</v>
      </c>
      <c r="H149" s="2157" t="s">
        <v>945</v>
      </c>
      <c r="I149" s="2158">
        <v>20.9</v>
      </c>
      <c r="J149" s="2160">
        <v>20.9</v>
      </c>
      <c r="K149" s="2152"/>
      <c r="L149" s="2144" t="s">
        <v>941</v>
      </c>
      <c r="M149" s="2159">
        <v>0.1</v>
      </c>
      <c r="N149" s="2159"/>
      <c r="O149" s="2145">
        <v>43343</v>
      </c>
    </row>
    <row r="150" spans="1:15">
      <c r="A150" s="1464" t="s">
        <v>1316</v>
      </c>
      <c r="B150" s="2144" t="s">
        <v>1545</v>
      </c>
      <c r="C150" s="2149" t="s">
        <v>970</v>
      </c>
      <c r="D150" s="2148">
        <v>43325</v>
      </c>
      <c r="E150" s="2148">
        <v>43325</v>
      </c>
      <c r="F150" s="2155" t="s">
        <v>181</v>
      </c>
      <c r="G150" s="2144" t="s">
        <v>723</v>
      </c>
      <c r="H150" s="2150" t="s">
        <v>940</v>
      </c>
      <c r="I150" s="2146">
        <v>650</v>
      </c>
      <c r="J150" s="2151">
        <v>650</v>
      </c>
      <c r="K150" s="2144"/>
      <c r="L150" s="2156" t="s">
        <v>941</v>
      </c>
      <c r="M150" s="2147">
        <v>6</v>
      </c>
      <c r="N150" s="2147">
        <v>42</v>
      </c>
      <c r="O150" s="2145">
        <v>43334</v>
      </c>
    </row>
    <row r="151" spans="1:15">
      <c r="A151" s="1473" t="s">
        <v>1317</v>
      </c>
      <c r="B151" s="2144" t="s">
        <v>1545</v>
      </c>
      <c r="C151" s="2149" t="s">
        <v>970</v>
      </c>
      <c r="D151" s="2148">
        <v>43325</v>
      </c>
      <c r="E151" s="2148">
        <v>43325</v>
      </c>
      <c r="F151" s="2144" t="s">
        <v>160</v>
      </c>
      <c r="G151" s="2144" t="s">
        <v>723</v>
      </c>
      <c r="H151" s="2150" t="s">
        <v>942</v>
      </c>
      <c r="I151" s="2146">
        <v>69</v>
      </c>
      <c r="J151" s="2151">
        <v>69</v>
      </c>
      <c r="K151" s="2146"/>
      <c r="L151" s="2144" t="s">
        <v>941</v>
      </c>
      <c r="M151" s="2147">
        <v>2</v>
      </c>
      <c r="N151" s="2147">
        <v>8</v>
      </c>
      <c r="O151" s="2145">
        <v>43334</v>
      </c>
    </row>
    <row r="152" spans="1:15">
      <c r="A152" s="1464" t="s">
        <v>1317</v>
      </c>
      <c r="B152" s="1470"/>
      <c r="C152" s="1469"/>
      <c r="D152" s="1469"/>
      <c r="E152" s="1465"/>
      <c r="F152" s="1465"/>
      <c r="G152" s="1471"/>
      <c r="H152" s="1467"/>
      <c r="I152" s="1472"/>
      <c r="J152" s="1467"/>
      <c r="K152" s="1465"/>
      <c r="L152" s="1468"/>
      <c r="M152" s="1468"/>
      <c r="N152" s="1466"/>
    </row>
    <row r="153" spans="1:15">
      <c r="A153" s="1465" t="s">
        <v>1318</v>
      </c>
      <c r="B153" s="2253" t="s">
        <v>1557</v>
      </c>
      <c r="C153" s="2259" t="s">
        <v>967</v>
      </c>
      <c r="D153" s="2258">
        <v>43353</v>
      </c>
      <c r="E153" s="2258">
        <v>43353</v>
      </c>
      <c r="F153" s="2265" t="s">
        <v>181</v>
      </c>
      <c r="G153" s="2254" t="s">
        <v>723</v>
      </c>
      <c r="H153" s="2260" t="s">
        <v>940</v>
      </c>
      <c r="I153" s="2256">
        <v>783</v>
      </c>
      <c r="J153" s="2261">
        <v>783</v>
      </c>
      <c r="K153" s="2254"/>
      <c r="L153" s="2266" t="s">
        <v>941</v>
      </c>
      <c r="M153" s="2257">
        <v>6</v>
      </c>
      <c r="N153" s="2257">
        <v>42</v>
      </c>
      <c r="O153" s="2255">
        <v>43376</v>
      </c>
    </row>
    <row r="154" spans="1:15">
      <c r="A154" s="1473" t="s">
        <v>1318</v>
      </c>
      <c r="B154" s="2253" t="s">
        <v>1557</v>
      </c>
      <c r="C154" s="2259" t="s">
        <v>967</v>
      </c>
      <c r="D154" s="2258">
        <v>43353</v>
      </c>
      <c r="E154" s="2258">
        <v>43353</v>
      </c>
      <c r="F154" s="2254" t="s">
        <v>160</v>
      </c>
      <c r="G154" s="2254" t="s">
        <v>723</v>
      </c>
      <c r="H154" s="2260" t="s">
        <v>942</v>
      </c>
      <c r="I154" s="2256">
        <v>5</v>
      </c>
      <c r="J154" s="2261">
        <v>5</v>
      </c>
      <c r="K154" s="2256" t="s">
        <v>953</v>
      </c>
      <c r="L154" s="2254" t="s">
        <v>941</v>
      </c>
      <c r="M154" s="2257">
        <v>2</v>
      </c>
      <c r="N154" s="2257">
        <v>8</v>
      </c>
      <c r="O154" s="2255">
        <v>43376</v>
      </c>
    </row>
    <row r="155" spans="1:15">
      <c r="A155" s="1465" t="s">
        <v>1319</v>
      </c>
      <c r="B155" s="2263" t="s">
        <v>1558</v>
      </c>
      <c r="C155" s="2259" t="s">
        <v>968</v>
      </c>
      <c r="D155" s="2258">
        <v>43353</v>
      </c>
      <c r="E155" s="2258">
        <v>43353</v>
      </c>
      <c r="F155" s="2265" t="s">
        <v>181</v>
      </c>
      <c r="G155" s="2254" t="s">
        <v>723</v>
      </c>
      <c r="H155" s="2260" t="s">
        <v>940</v>
      </c>
      <c r="I155" s="2256">
        <v>965</v>
      </c>
      <c r="J155" s="2261">
        <v>965</v>
      </c>
      <c r="K155" s="2254"/>
      <c r="L155" s="2266" t="s">
        <v>941</v>
      </c>
      <c r="M155" s="2257">
        <v>6</v>
      </c>
      <c r="N155" s="2257">
        <v>42</v>
      </c>
      <c r="O155" s="2255">
        <v>43376</v>
      </c>
    </row>
    <row r="156" spans="1:15">
      <c r="A156" s="1465" t="s">
        <v>1319</v>
      </c>
      <c r="B156" s="2253" t="s">
        <v>1558</v>
      </c>
      <c r="C156" s="2259" t="s">
        <v>968</v>
      </c>
      <c r="D156" s="2258">
        <v>43353</v>
      </c>
      <c r="E156" s="2258">
        <v>43353</v>
      </c>
      <c r="F156" s="2254" t="s">
        <v>160</v>
      </c>
      <c r="G156" s="2254" t="s">
        <v>723</v>
      </c>
      <c r="H156" s="2260" t="s">
        <v>942</v>
      </c>
      <c r="I156" s="2256">
        <v>103</v>
      </c>
      <c r="J156" s="2261">
        <v>103</v>
      </c>
      <c r="K156" s="2256"/>
      <c r="L156" s="2254" t="s">
        <v>941</v>
      </c>
      <c r="M156" s="2257">
        <v>2</v>
      </c>
      <c r="N156" s="2257">
        <v>8</v>
      </c>
      <c r="O156" s="2255">
        <v>43376</v>
      </c>
    </row>
    <row r="157" spans="1:15">
      <c r="A157" s="1473" t="s">
        <v>1320</v>
      </c>
      <c r="B157" s="2254" t="s">
        <v>1559</v>
      </c>
      <c r="C157" s="2259">
        <v>45</v>
      </c>
      <c r="D157" s="2258">
        <v>43353</v>
      </c>
      <c r="E157" s="2258">
        <v>43353</v>
      </c>
      <c r="F157" s="2265" t="s">
        <v>181</v>
      </c>
      <c r="G157" s="2254" t="s">
        <v>723</v>
      </c>
      <c r="H157" s="2260" t="s">
        <v>940</v>
      </c>
      <c r="I157" s="2256">
        <v>715</v>
      </c>
      <c r="J157" s="2261">
        <v>715</v>
      </c>
      <c r="K157" s="2254"/>
      <c r="L157" s="2266" t="s">
        <v>941</v>
      </c>
      <c r="M157" s="2257">
        <v>6</v>
      </c>
      <c r="N157" s="2257">
        <v>42</v>
      </c>
      <c r="O157" s="2255">
        <v>43376</v>
      </c>
    </row>
    <row r="158" spans="1:15">
      <c r="A158" s="1473" t="s">
        <v>1320</v>
      </c>
      <c r="B158" s="2263" t="s">
        <v>1559</v>
      </c>
      <c r="C158" s="2259">
        <v>45</v>
      </c>
      <c r="D158" s="2258">
        <v>43353</v>
      </c>
      <c r="E158" s="2258">
        <v>43353</v>
      </c>
      <c r="F158" s="2254" t="s">
        <v>160</v>
      </c>
      <c r="G158" s="2254" t="s">
        <v>723</v>
      </c>
      <c r="H158" s="2260" t="s">
        <v>942</v>
      </c>
      <c r="I158" s="2256">
        <v>62</v>
      </c>
      <c r="J158" s="2261">
        <v>62</v>
      </c>
      <c r="K158" s="2256"/>
      <c r="L158" s="2254" t="s">
        <v>941</v>
      </c>
      <c r="M158" s="2257">
        <v>2</v>
      </c>
      <c r="N158" s="2257">
        <v>8</v>
      </c>
      <c r="O158" s="2255">
        <v>43376</v>
      </c>
    </row>
    <row r="159" spans="1:15">
      <c r="A159" s="1473" t="s">
        <v>1320</v>
      </c>
      <c r="B159" s="2254" t="s">
        <v>1560</v>
      </c>
      <c r="C159" s="2259">
        <v>90</v>
      </c>
      <c r="D159" s="2258">
        <v>43353</v>
      </c>
      <c r="E159" s="2258">
        <v>43353</v>
      </c>
      <c r="F159" s="2265" t="s">
        <v>181</v>
      </c>
      <c r="G159" s="2254" t="s">
        <v>723</v>
      </c>
      <c r="H159" s="2260" t="s">
        <v>940</v>
      </c>
      <c r="I159" s="2256">
        <v>859</v>
      </c>
      <c r="J159" s="2261">
        <v>859</v>
      </c>
      <c r="K159" s="2254"/>
      <c r="L159" s="2266" t="s">
        <v>941</v>
      </c>
      <c r="M159" s="2257">
        <v>6</v>
      </c>
      <c r="N159" s="2257">
        <v>42</v>
      </c>
      <c r="O159" s="2255">
        <v>43376</v>
      </c>
    </row>
    <row r="160" spans="1:15">
      <c r="A160" s="1465" t="s">
        <v>1321</v>
      </c>
      <c r="B160" s="2254" t="s">
        <v>1560</v>
      </c>
      <c r="C160" s="2259">
        <v>90</v>
      </c>
      <c r="D160" s="2258">
        <v>43353</v>
      </c>
      <c r="E160" s="2258">
        <v>43353</v>
      </c>
      <c r="F160" s="2254" t="s">
        <v>160</v>
      </c>
      <c r="G160" s="2254" t="s">
        <v>723</v>
      </c>
      <c r="H160" s="2260" t="s">
        <v>942</v>
      </c>
      <c r="I160" s="2256">
        <v>26</v>
      </c>
      <c r="J160" s="2261">
        <v>26</v>
      </c>
      <c r="K160" s="2254"/>
      <c r="L160" s="2254" t="s">
        <v>941</v>
      </c>
      <c r="M160" s="2257">
        <v>2</v>
      </c>
      <c r="N160" s="2257">
        <v>8</v>
      </c>
      <c r="O160" s="2255">
        <v>43376</v>
      </c>
    </row>
    <row r="161" spans="1:15">
      <c r="A161" s="1464" t="s">
        <v>1316</v>
      </c>
      <c r="B161" s="2263" t="s">
        <v>1561</v>
      </c>
      <c r="C161" s="2264" t="s">
        <v>969</v>
      </c>
      <c r="D161" s="2258">
        <v>43353</v>
      </c>
      <c r="E161" s="2258">
        <v>43353</v>
      </c>
      <c r="F161" s="2265" t="s">
        <v>181</v>
      </c>
      <c r="G161" s="2254" t="s">
        <v>723</v>
      </c>
      <c r="H161" s="2260" t="s">
        <v>940</v>
      </c>
      <c r="I161" s="2256">
        <v>903</v>
      </c>
      <c r="J161" s="2261">
        <v>903</v>
      </c>
      <c r="K161" s="2254"/>
      <c r="L161" s="2266" t="s">
        <v>941</v>
      </c>
      <c r="M161" s="2257">
        <v>6</v>
      </c>
      <c r="N161" s="2257">
        <v>42</v>
      </c>
      <c r="O161" s="2255">
        <v>43376</v>
      </c>
    </row>
    <row r="162" spans="1:15">
      <c r="A162" s="1464" t="s">
        <v>1316</v>
      </c>
      <c r="B162" s="2263" t="s">
        <v>1561</v>
      </c>
      <c r="C162" s="2264" t="s">
        <v>969</v>
      </c>
      <c r="D162" s="2258">
        <v>43353</v>
      </c>
      <c r="E162" s="2258">
        <v>43353</v>
      </c>
      <c r="F162" s="2254" t="s">
        <v>160</v>
      </c>
      <c r="G162" s="2254" t="s">
        <v>723</v>
      </c>
      <c r="H162" s="2260" t="s">
        <v>942</v>
      </c>
      <c r="I162" s="2256">
        <v>94</v>
      </c>
      <c r="J162" s="2261">
        <v>94</v>
      </c>
      <c r="K162" s="2256"/>
      <c r="L162" s="2254" t="s">
        <v>941</v>
      </c>
      <c r="M162" s="2257">
        <v>2</v>
      </c>
      <c r="N162" s="2257">
        <v>8</v>
      </c>
      <c r="O162" s="2255">
        <v>43376</v>
      </c>
    </row>
    <row r="163" spans="1:15">
      <c r="A163" s="1473" t="s">
        <v>1317</v>
      </c>
      <c r="B163" s="2263" t="s">
        <v>1561</v>
      </c>
      <c r="C163" s="2259" t="s">
        <v>969</v>
      </c>
      <c r="D163" s="2258">
        <v>43353</v>
      </c>
      <c r="E163" s="2258">
        <v>43353</v>
      </c>
      <c r="F163" s="2265" t="s">
        <v>161</v>
      </c>
      <c r="G163" s="2263" t="s">
        <v>723</v>
      </c>
      <c r="H163" s="2267" t="s">
        <v>945</v>
      </c>
      <c r="I163" s="2268">
        <v>21.6</v>
      </c>
      <c r="J163" s="2270">
        <v>21.6</v>
      </c>
      <c r="K163" s="2262"/>
      <c r="L163" s="2254" t="s">
        <v>941</v>
      </c>
      <c r="M163" s="2269">
        <v>0.1</v>
      </c>
      <c r="N163" s="2269"/>
      <c r="O163" s="2255">
        <v>43363</v>
      </c>
    </row>
    <row r="164" spans="1:15">
      <c r="A164" s="1464" t="s">
        <v>1317</v>
      </c>
      <c r="B164" s="2263" t="s">
        <v>1561</v>
      </c>
      <c r="C164" s="2259" t="s">
        <v>969</v>
      </c>
      <c r="D164" s="2258">
        <v>43353</v>
      </c>
      <c r="E164" s="2258">
        <v>43353</v>
      </c>
      <c r="F164" s="2265" t="s">
        <v>161</v>
      </c>
      <c r="G164" s="2263" t="s">
        <v>723</v>
      </c>
      <c r="H164" s="2267" t="s">
        <v>945</v>
      </c>
      <c r="I164" s="2268">
        <v>22.6</v>
      </c>
      <c r="J164" s="2270">
        <v>22.6</v>
      </c>
      <c r="K164" s="2262"/>
      <c r="L164" s="2254" t="s">
        <v>941</v>
      </c>
      <c r="M164" s="2269">
        <v>0.1</v>
      </c>
      <c r="N164" s="2269"/>
      <c r="O164" s="2255">
        <v>43363</v>
      </c>
    </row>
    <row r="165" spans="1:15">
      <c r="A165" s="1465" t="s">
        <v>1318</v>
      </c>
      <c r="B165" s="2254" t="s">
        <v>1562</v>
      </c>
      <c r="C165" s="2259" t="s">
        <v>970</v>
      </c>
      <c r="D165" s="2258">
        <v>43353</v>
      </c>
      <c r="E165" s="2258">
        <v>43353</v>
      </c>
      <c r="F165" s="2265" t="s">
        <v>181</v>
      </c>
      <c r="G165" s="2254" t="s">
        <v>723</v>
      </c>
      <c r="H165" s="2260" t="s">
        <v>940</v>
      </c>
      <c r="I165" s="2256">
        <v>757</v>
      </c>
      <c r="J165" s="2261">
        <v>757</v>
      </c>
      <c r="K165" s="2254"/>
      <c r="L165" s="2266" t="s">
        <v>941</v>
      </c>
      <c r="M165" s="2257">
        <v>6</v>
      </c>
      <c r="N165" s="2257">
        <v>42</v>
      </c>
      <c r="O165" s="2255">
        <v>43376</v>
      </c>
    </row>
    <row r="166" spans="1:15">
      <c r="A166" s="1473" t="s">
        <v>1318</v>
      </c>
      <c r="B166" s="2254" t="s">
        <v>1562</v>
      </c>
      <c r="C166" s="2259" t="s">
        <v>970</v>
      </c>
      <c r="D166" s="2258">
        <v>43353</v>
      </c>
      <c r="E166" s="2258">
        <v>43353</v>
      </c>
      <c r="F166" s="2254" t="s">
        <v>160</v>
      </c>
      <c r="G166" s="2254" t="s">
        <v>723</v>
      </c>
      <c r="H166" s="2260" t="s">
        <v>942</v>
      </c>
      <c r="I166" s="2256">
        <v>71</v>
      </c>
      <c r="J166" s="2261">
        <v>71</v>
      </c>
      <c r="K166" s="2256"/>
      <c r="L166" s="2254" t="s">
        <v>941</v>
      </c>
      <c r="M166" s="2257">
        <v>2</v>
      </c>
      <c r="N166" s="2257">
        <v>8</v>
      </c>
      <c r="O166" s="2255">
        <v>43376</v>
      </c>
    </row>
    <row r="167" spans="1:15">
      <c r="A167" s="1465" t="s">
        <v>1319</v>
      </c>
      <c r="B167" s="1470"/>
      <c r="C167" s="723"/>
      <c r="D167" s="723"/>
      <c r="E167" s="1474"/>
      <c r="F167" s="1465"/>
      <c r="G167" s="1471"/>
      <c r="H167" s="688"/>
      <c r="I167" s="722"/>
      <c r="J167" s="688"/>
      <c r="K167" s="1465"/>
      <c r="L167" s="1468"/>
      <c r="M167" s="1468"/>
      <c r="N167" s="721"/>
    </row>
    <row r="168" spans="1:15">
      <c r="A168" s="1465" t="s">
        <v>1319</v>
      </c>
      <c r="B168" s="2303" t="s">
        <v>1566</v>
      </c>
      <c r="C168" s="2309" t="s">
        <v>967</v>
      </c>
      <c r="D168" s="2308">
        <v>43369</v>
      </c>
      <c r="E168" s="2308">
        <v>43369</v>
      </c>
      <c r="F168" s="2315" t="s">
        <v>181</v>
      </c>
      <c r="G168" s="2304" t="s">
        <v>723</v>
      </c>
      <c r="H168" s="2310" t="s">
        <v>940</v>
      </c>
      <c r="I168" s="2306">
        <v>568</v>
      </c>
      <c r="J168" s="2311">
        <v>568</v>
      </c>
      <c r="K168" s="2304"/>
      <c r="L168" s="2316" t="s">
        <v>941</v>
      </c>
      <c r="M168" s="2307">
        <v>6</v>
      </c>
      <c r="N168" s="2307">
        <v>42</v>
      </c>
      <c r="O168" s="2305">
        <v>43383</v>
      </c>
    </row>
    <row r="169" spans="1:15">
      <c r="A169" s="1473" t="s">
        <v>1320</v>
      </c>
      <c r="B169" s="2303" t="s">
        <v>1566</v>
      </c>
      <c r="C169" s="2309" t="s">
        <v>967</v>
      </c>
      <c r="D169" s="2308">
        <v>43369</v>
      </c>
      <c r="E169" s="2308">
        <v>43369</v>
      </c>
      <c r="F169" s="2304" t="s">
        <v>160</v>
      </c>
      <c r="G169" s="2304" t="s">
        <v>723</v>
      </c>
      <c r="H169" s="2310" t="s">
        <v>942</v>
      </c>
      <c r="I169" s="2306">
        <v>29</v>
      </c>
      <c r="J169" s="2311">
        <v>29</v>
      </c>
      <c r="K169" s="2306"/>
      <c r="L169" s="2304" t="s">
        <v>941</v>
      </c>
      <c r="M169" s="2307">
        <v>2</v>
      </c>
      <c r="N169" s="2307">
        <v>8</v>
      </c>
      <c r="O169" s="2305">
        <v>43383</v>
      </c>
    </row>
    <row r="170" spans="1:15">
      <c r="A170" s="1473" t="s">
        <v>1320</v>
      </c>
      <c r="B170" s="2313" t="s">
        <v>1567</v>
      </c>
      <c r="C170" s="2309" t="s">
        <v>968</v>
      </c>
      <c r="D170" s="2308">
        <v>43369</v>
      </c>
      <c r="E170" s="2308">
        <v>43369</v>
      </c>
      <c r="F170" s="2315" t="s">
        <v>181</v>
      </c>
      <c r="G170" s="2304" t="s">
        <v>723</v>
      </c>
      <c r="H170" s="2310" t="s">
        <v>940</v>
      </c>
      <c r="I170" s="2306">
        <v>903</v>
      </c>
      <c r="J170" s="2311">
        <v>903</v>
      </c>
      <c r="K170" s="2304"/>
      <c r="L170" s="2316" t="s">
        <v>941</v>
      </c>
      <c r="M170" s="2307">
        <v>6</v>
      </c>
      <c r="N170" s="2307">
        <v>42</v>
      </c>
      <c r="O170" s="2305">
        <v>43383</v>
      </c>
    </row>
    <row r="171" spans="1:15">
      <c r="A171" s="1473" t="s">
        <v>1320</v>
      </c>
      <c r="B171" s="2303" t="s">
        <v>1567</v>
      </c>
      <c r="C171" s="2309" t="s">
        <v>968</v>
      </c>
      <c r="D171" s="2308">
        <v>43369</v>
      </c>
      <c r="E171" s="2308">
        <v>43369</v>
      </c>
      <c r="F171" s="2304" t="s">
        <v>160</v>
      </c>
      <c r="G171" s="2304" t="s">
        <v>723</v>
      </c>
      <c r="H171" s="2310" t="s">
        <v>942</v>
      </c>
      <c r="I171" s="2306">
        <v>24</v>
      </c>
      <c r="J171" s="2311">
        <v>24</v>
      </c>
      <c r="K171" s="2306"/>
      <c r="L171" s="2304" t="s">
        <v>941</v>
      </c>
      <c r="M171" s="2307">
        <v>2</v>
      </c>
      <c r="N171" s="2307">
        <v>8</v>
      </c>
      <c r="O171" s="2305">
        <v>43383</v>
      </c>
    </row>
    <row r="172" spans="1:15">
      <c r="A172" s="1473" t="s">
        <v>1320</v>
      </c>
      <c r="B172" s="2304" t="s">
        <v>1568</v>
      </c>
      <c r="C172" s="2309">
        <v>45</v>
      </c>
      <c r="D172" s="2308">
        <v>43369</v>
      </c>
      <c r="E172" s="2308">
        <v>43369</v>
      </c>
      <c r="F172" s="2315" t="s">
        <v>181</v>
      </c>
      <c r="G172" s="2304" t="s">
        <v>723</v>
      </c>
      <c r="H172" s="2310" t="s">
        <v>940</v>
      </c>
      <c r="I172" s="2306">
        <v>476</v>
      </c>
      <c r="J172" s="2311">
        <v>476</v>
      </c>
      <c r="K172" s="2304"/>
      <c r="L172" s="2316" t="s">
        <v>941</v>
      </c>
      <c r="M172" s="2307">
        <v>6</v>
      </c>
      <c r="N172" s="2307">
        <v>42</v>
      </c>
      <c r="O172" s="2305">
        <v>43383</v>
      </c>
    </row>
    <row r="173" spans="1:15">
      <c r="A173" s="1465" t="s">
        <v>1321</v>
      </c>
      <c r="B173" s="2313" t="s">
        <v>1568</v>
      </c>
      <c r="C173" s="2309">
        <v>45</v>
      </c>
      <c r="D173" s="2308">
        <v>43369</v>
      </c>
      <c r="E173" s="2308">
        <v>43369</v>
      </c>
      <c r="F173" s="2304" t="s">
        <v>160</v>
      </c>
      <c r="G173" s="2304" t="s">
        <v>723</v>
      </c>
      <c r="H173" s="2310" t="s">
        <v>942</v>
      </c>
      <c r="I173" s="2306">
        <v>43</v>
      </c>
      <c r="J173" s="2311">
        <v>43</v>
      </c>
      <c r="K173" s="2306"/>
      <c r="L173" s="2304" t="s">
        <v>941</v>
      </c>
      <c r="M173" s="2307">
        <v>2</v>
      </c>
      <c r="N173" s="2307">
        <v>8</v>
      </c>
      <c r="O173" s="2305">
        <v>43383</v>
      </c>
    </row>
    <row r="174" spans="1:15">
      <c r="A174" s="1465" t="s">
        <v>1321</v>
      </c>
      <c r="B174" s="2304" t="s">
        <v>1569</v>
      </c>
      <c r="C174" s="2309">
        <v>90</v>
      </c>
      <c r="D174" s="2308">
        <v>43369</v>
      </c>
      <c r="E174" s="2308">
        <v>43369</v>
      </c>
      <c r="F174" s="2315" t="s">
        <v>181</v>
      </c>
      <c r="G174" s="2304" t="s">
        <v>723</v>
      </c>
      <c r="H174" s="2310" t="s">
        <v>940</v>
      </c>
      <c r="I174" s="2306">
        <v>868</v>
      </c>
      <c r="J174" s="2311">
        <v>868</v>
      </c>
      <c r="K174" s="2304"/>
      <c r="L174" s="2316" t="s">
        <v>941</v>
      </c>
      <c r="M174" s="2307">
        <v>6</v>
      </c>
      <c r="N174" s="2307">
        <v>42</v>
      </c>
      <c r="O174" s="2305">
        <v>43383</v>
      </c>
    </row>
    <row r="175" spans="1:15">
      <c r="A175" s="1475" t="s">
        <v>1322</v>
      </c>
      <c r="B175" s="2304" t="s">
        <v>1569</v>
      </c>
      <c r="C175" s="2309">
        <v>90</v>
      </c>
      <c r="D175" s="2308">
        <v>43369</v>
      </c>
      <c r="E175" s="2308">
        <v>43369</v>
      </c>
      <c r="F175" s="2304" t="s">
        <v>160</v>
      </c>
      <c r="G175" s="2304" t="s">
        <v>723</v>
      </c>
      <c r="H175" s="2310" t="s">
        <v>942</v>
      </c>
      <c r="I175" s="2306">
        <v>17</v>
      </c>
      <c r="J175" s="2311">
        <v>17</v>
      </c>
      <c r="K175" s="2304"/>
      <c r="L175" s="2304" t="s">
        <v>941</v>
      </c>
      <c r="M175" s="2307">
        <v>2</v>
      </c>
      <c r="N175" s="2307">
        <v>8</v>
      </c>
      <c r="O175" s="2305">
        <v>43383</v>
      </c>
    </row>
    <row r="176" spans="1:15">
      <c r="A176" s="1475" t="s">
        <v>1322</v>
      </c>
      <c r="B176" s="2313" t="s">
        <v>1570</v>
      </c>
      <c r="C176" s="2314" t="s">
        <v>969</v>
      </c>
      <c r="D176" s="2308">
        <v>43369</v>
      </c>
      <c r="E176" s="2308">
        <v>43369</v>
      </c>
      <c r="F176" s="2315" t="s">
        <v>181</v>
      </c>
      <c r="G176" s="2304" t="s">
        <v>723</v>
      </c>
      <c r="H176" s="2310" t="s">
        <v>940</v>
      </c>
      <c r="I176" s="2306">
        <v>542</v>
      </c>
      <c r="J176" s="2311">
        <v>542</v>
      </c>
      <c r="K176" s="2304"/>
      <c r="L176" s="2316" t="s">
        <v>941</v>
      </c>
      <c r="M176" s="2307">
        <v>6</v>
      </c>
      <c r="N176" s="2307">
        <v>42</v>
      </c>
      <c r="O176" s="2305">
        <v>43383</v>
      </c>
    </row>
    <row r="177" spans="1:15">
      <c r="A177" s="1484" t="s">
        <v>1323</v>
      </c>
      <c r="B177" s="2313" t="s">
        <v>1570</v>
      </c>
      <c r="C177" s="2314" t="s">
        <v>969</v>
      </c>
      <c r="D177" s="2308">
        <v>43369</v>
      </c>
      <c r="E177" s="2308">
        <v>43369</v>
      </c>
      <c r="F177" s="2304" t="s">
        <v>160</v>
      </c>
      <c r="G177" s="2304" t="s">
        <v>723</v>
      </c>
      <c r="H177" s="2310" t="s">
        <v>942</v>
      </c>
      <c r="I177" s="2306">
        <v>48</v>
      </c>
      <c r="J177" s="2311">
        <v>48</v>
      </c>
      <c r="K177" s="2306"/>
      <c r="L177" s="2304" t="s">
        <v>941</v>
      </c>
      <c r="M177" s="2307">
        <v>2</v>
      </c>
      <c r="N177" s="2307">
        <v>8</v>
      </c>
      <c r="O177" s="2305">
        <v>43383</v>
      </c>
    </row>
    <row r="178" spans="1:15">
      <c r="A178" s="1475" t="s">
        <v>1323</v>
      </c>
      <c r="B178" s="2313" t="s">
        <v>1570</v>
      </c>
      <c r="C178" s="2309" t="s">
        <v>969</v>
      </c>
      <c r="D178" s="2308">
        <v>43369</v>
      </c>
      <c r="E178" s="2308">
        <v>43369</v>
      </c>
      <c r="F178" s="2315" t="s">
        <v>161</v>
      </c>
      <c r="G178" s="2313" t="s">
        <v>723</v>
      </c>
      <c r="H178" s="2317" t="s">
        <v>945</v>
      </c>
      <c r="I178" s="2318">
        <v>9.1</v>
      </c>
      <c r="J178" s="2320">
        <v>9.1</v>
      </c>
      <c r="K178" s="2312"/>
      <c r="L178" s="2304" t="s">
        <v>941</v>
      </c>
      <c r="M178" s="2319">
        <v>0.1</v>
      </c>
      <c r="N178" s="2319"/>
      <c r="O178" s="2305">
        <v>43370</v>
      </c>
    </row>
    <row r="179" spans="1:15">
      <c r="A179" s="1476" t="s">
        <v>1324</v>
      </c>
      <c r="B179" s="2313" t="s">
        <v>1570</v>
      </c>
      <c r="C179" s="2309" t="s">
        <v>969</v>
      </c>
      <c r="D179" s="2308">
        <v>43369</v>
      </c>
      <c r="E179" s="2308">
        <v>43369</v>
      </c>
      <c r="F179" s="2315" t="s">
        <v>161</v>
      </c>
      <c r="G179" s="2313" t="s">
        <v>723</v>
      </c>
      <c r="H179" s="2317" t="s">
        <v>945</v>
      </c>
      <c r="I179" s="2318">
        <v>10.6</v>
      </c>
      <c r="J179" s="2320">
        <v>10.6</v>
      </c>
      <c r="K179" s="2312"/>
      <c r="L179" s="2304" t="s">
        <v>941</v>
      </c>
      <c r="M179" s="2319">
        <v>0.1</v>
      </c>
      <c r="N179" s="2319"/>
      <c r="O179" s="2305">
        <v>43370</v>
      </c>
    </row>
    <row r="180" spans="1:15">
      <c r="A180" s="1484" t="s">
        <v>1324</v>
      </c>
      <c r="B180" s="2304" t="s">
        <v>1571</v>
      </c>
      <c r="C180" s="2309" t="s">
        <v>970</v>
      </c>
      <c r="D180" s="2308">
        <v>43369</v>
      </c>
      <c r="E180" s="2308">
        <v>43369</v>
      </c>
      <c r="F180" s="2315" t="s">
        <v>181</v>
      </c>
      <c r="G180" s="2304" t="s">
        <v>723</v>
      </c>
      <c r="H180" s="2310" t="s">
        <v>940</v>
      </c>
      <c r="I180" s="2306">
        <v>488</v>
      </c>
      <c r="J180" s="2311">
        <v>488</v>
      </c>
      <c r="K180" s="2304"/>
      <c r="L180" s="2316" t="s">
        <v>941</v>
      </c>
      <c r="M180" s="2307">
        <v>6</v>
      </c>
      <c r="N180" s="2307">
        <v>42</v>
      </c>
      <c r="O180" s="2305">
        <v>43383</v>
      </c>
    </row>
    <row r="181" spans="1:15">
      <c r="A181" s="1476" t="s">
        <v>1325</v>
      </c>
      <c r="B181" s="2304" t="s">
        <v>1571</v>
      </c>
      <c r="C181" s="2309" t="s">
        <v>970</v>
      </c>
      <c r="D181" s="2308">
        <v>43369</v>
      </c>
      <c r="E181" s="2308">
        <v>43369</v>
      </c>
      <c r="F181" s="2304" t="s">
        <v>160</v>
      </c>
      <c r="G181" s="2304" t="s">
        <v>723</v>
      </c>
      <c r="H181" s="2310" t="s">
        <v>942</v>
      </c>
      <c r="I181" s="2306">
        <v>63</v>
      </c>
      <c r="J181" s="2311">
        <v>63</v>
      </c>
      <c r="K181" s="2306"/>
      <c r="L181" s="2304" t="s">
        <v>941</v>
      </c>
      <c r="M181" s="2307">
        <v>2</v>
      </c>
      <c r="N181" s="2307">
        <v>8</v>
      </c>
      <c r="O181" s="2305">
        <v>43383</v>
      </c>
    </row>
    <row r="182" spans="1:15">
      <c r="A182" s="1476" t="s">
        <v>1325</v>
      </c>
      <c r="B182" s="1481"/>
      <c r="C182" s="1480"/>
      <c r="D182" s="1480"/>
      <c r="E182" s="1476"/>
      <c r="F182" s="1476"/>
      <c r="G182" s="1482"/>
      <c r="H182" s="1478"/>
      <c r="I182" s="1483"/>
      <c r="J182" s="1476"/>
      <c r="K182" s="1476"/>
      <c r="L182" s="1479"/>
      <c r="M182" s="1479"/>
      <c r="N182" s="1477"/>
    </row>
    <row r="183" spans="1:15">
      <c r="A183" s="1484" t="s">
        <v>1326</v>
      </c>
      <c r="B183" s="2321" t="s">
        <v>1572</v>
      </c>
      <c r="C183" s="2327" t="s">
        <v>967</v>
      </c>
      <c r="D183" s="2326">
        <v>43388</v>
      </c>
      <c r="E183" s="2326">
        <v>43388</v>
      </c>
      <c r="F183" s="2333" t="s">
        <v>181</v>
      </c>
      <c r="G183" s="2322" t="s">
        <v>723</v>
      </c>
      <c r="H183" s="2328" t="s">
        <v>940</v>
      </c>
      <c r="I183" s="2324">
        <v>672</v>
      </c>
      <c r="J183" s="2329">
        <v>672</v>
      </c>
      <c r="K183" s="2322"/>
      <c r="L183" s="2334" t="s">
        <v>941</v>
      </c>
      <c r="M183" s="2325">
        <v>6</v>
      </c>
      <c r="N183" s="2325">
        <v>42</v>
      </c>
      <c r="O183" s="2323">
        <v>43392</v>
      </c>
    </row>
    <row r="184" spans="1:15">
      <c r="A184" s="1484" t="s">
        <v>1326</v>
      </c>
      <c r="B184" s="2321" t="s">
        <v>1572</v>
      </c>
      <c r="C184" s="2327" t="s">
        <v>967</v>
      </c>
      <c r="D184" s="2326">
        <v>43388</v>
      </c>
      <c r="E184" s="2326">
        <v>43388</v>
      </c>
      <c r="F184" s="2322" t="s">
        <v>160</v>
      </c>
      <c r="G184" s="2322" t="s">
        <v>723</v>
      </c>
      <c r="H184" s="2328" t="s">
        <v>942</v>
      </c>
      <c r="I184" s="2324">
        <v>10</v>
      </c>
      <c r="J184" s="2329">
        <v>10</v>
      </c>
      <c r="K184" s="2324"/>
      <c r="L184" s="2322" t="s">
        <v>941</v>
      </c>
      <c r="M184" s="2325">
        <v>2</v>
      </c>
      <c r="N184" s="2325">
        <v>8</v>
      </c>
      <c r="O184" s="2323">
        <v>43392</v>
      </c>
    </row>
    <row r="185" spans="1:15">
      <c r="A185" s="1484" t="s">
        <v>1326</v>
      </c>
      <c r="B185" s="2331" t="s">
        <v>1573</v>
      </c>
      <c r="C185" s="2327" t="s">
        <v>968</v>
      </c>
      <c r="D185" s="2326">
        <v>43388</v>
      </c>
      <c r="E185" s="2326">
        <v>43388</v>
      </c>
      <c r="F185" s="2333" t="s">
        <v>181</v>
      </c>
      <c r="G185" s="2322" t="s">
        <v>723</v>
      </c>
      <c r="H185" s="2328" t="s">
        <v>940</v>
      </c>
      <c r="I185" s="2324">
        <v>790</v>
      </c>
      <c r="J185" s="2329">
        <v>790</v>
      </c>
      <c r="K185" s="2322"/>
      <c r="L185" s="2334" t="s">
        <v>941</v>
      </c>
      <c r="M185" s="2325">
        <v>6</v>
      </c>
      <c r="N185" s="2325">
        <v>42</v>
      </c>
      <c r="O185" s="2323">
        <v>43392</v>
      </c>
    </row>
    <row r="186" spans="1:15">
      <c r="A186" s="1484" t="s">
        <v>1326</v>
      </c>
      <c r="B186" s="2321" t="s">
        <v>1573</v>
      </c>
      <c r="C186" s="2327" t="s">
        <v>968</v>
      </c>
      <c r="D186" s="2326">
        <v>43388</v>
      </c>
      <c r="E186" s="2326">
        <v>43388</v>
      </c>
      <c r="F186" s="2322" t="s">
        <v>160</v>
      </c>
      <c r="G186" s="2322" t="s">
        <v>723</v>
      </c>
      <c r="H186" s="2328" t="s">
        <v>942</v>
      </c>
      <c r="I186" s="2324">
        <v>79</v>
      </c>
      <c r="J186" s="2329">
        <v>79</v>
      </c>
      <c r="K186" s="2324"/>
      <c r="L186" s="2322" t="s">
        <v>941</v>
      </c>
      <c r="M186" s="2325">
        <v>2</v>
      </c>
      <c r="N186" s="2325">
        <v>8</v>
      </c>
      <c r="O186" s="2323">
        <v>43392</v>
      </c>
    </row>
    <row r="187" spans="1:15">
      <c r="A187" s="1476" t="s">
        <v>1327</v>
      </c>
      <c r="B187" s="2322" t="s">
        <v>1574</v>
      </c>
      <c r="C187" s="2327">
        <v>45</v>
      </c>
      <c r="D187" s="2326">
        <v>43388</v>
      </c>
      <c r="E187" s="2326">
        <v>43388</v>
      </c>
      <c r="F187" s="2333" t="s">
        <v>181</v>
      </c>
      <c r="G187" s="2322" t="s">
        <v>723</v>
      </c>
      <c r="H187" s="2328" t="s">
        <v>940</v>
      </c>
      <c r="I187" s="2324">
        <v>643</v>
      </c>
      <c r="J187" s="2329">
        <v>643</v>
      </c>
      <c r="K187" s="2322"/>
      <c r="L187" s="2334" t="s">
        <v>941</v>
      </c>
      <c r="M187" s="2325">
        <v>6</v>
      </c>
      <c r="N187" s="2325">
        <v>42</v>
      </c>
      <c r="O187" s="2323">
        <v>43392</v>
      </c>
    </row>
    <row r="188" spans="1:15">
      <c r="A188" s="1476" t="s">
        <v>1327</v>
      </c>
      <c r="B188" s="2331" t="s">
        <v>1574</v>
      </c>
      <c r="C188" s="2327">
        <v>45</v>
      </c>
      <c r="D188" s="2326">
        <v>43388</v>
      </c>
      <c r="E188" s="2326">
        <v>43388</v>
      </c>
      <c r="F188" s="2322" t="s">
        <v>160</v>
      </c>
      <c r="G188" s="2322" t="s">
        <v>723</v>
      </c>
      <c r="H188" s="2328" t="s">
        <v>942</v>
      </c>
      <c r="I188" s="2324">
        <v>48</v>
      </c>
      <c r="J188" s="2329">
        <v>48</v>
      </c>
      <c r="K188" s="2324"/>
      <c r="L188" s="2322" t="s">
        <v>941</v>
      </c>
      <c r="M188" s="2325">
        <v>2</v>
      </c>
      <c r="N188" s="2325">
        <v>8</v>
      </c>
      <c r="O188" s="2323">
        <v>43392</v>
      </c>
    </row>
    <row r="189" spans="1:15">
      <c r="A189" s="1486" t="s">
        <v>1328</v>
      </c>
      <c r="B189" s="2322" t="s">
        <v>1575</v>
      </c>
      <c r="C189" s="2327">
        <v>90</v>
      </c>
      <c r="D189" s="2326">
        <v>43388</v>
      </c>
      <c r="E189" s="2326">
        <v>43388</v>
      </c>
      <c r="F189" s="2333" t="s">
        <v>181</v>
      </c>
      <c r="G189" s="2322" t="s">
        <v>723</v>
      </c>
      <c r="H189" s="2328" t="s">
        <v>940</v>
      </c>
      <c r="I189" s="2324">
        <v>896</v>
      </c>
      <c r="J189" s="2329">
        <v>896</v>
      </c>
      <c r="K189" s="2322"/>
      <c r="L189" s="2334" t="s">
        <v>941</v>
      </c>
      <c r="M189" s="2325">
        <v>6</v>
      </c>
      <c r="N189" s="2325">
        <v>42</v>
      </c>
      <c r="O189" s="2323">
        <v>43392</v>
      </c>
    </row>
    <row r="190" spans="1:15">
      <c r="A190" s="1492" t="s">
        <v>1329</v>
      </c>
      <c r="B190" s="2322" t="s">
        <v>1575</v>
      </c>
      <c r="C190" s="2327">
        <v>90</v>
      </c>
      <c r="D190" s="2326">
        <v>43388</v>
      </c>
      <c r="E190" s="2326">
        <v>43388</v>
      </c>
      <c r="F190" s="2322" t="s">
        <v>160</v>
      </c>
      <c r="G190" s="2322" t="s">
        <v>723</v>
      </c>
      <c r="H190" s="2328" t="s">
        <v>942</v>
      </c>
      <c r="I190" s="2324">
        <v>26</v>
      </c>
      <c r="J190" s="2329">
        <v>26</v>
      </c>
      <c r="K190" s="2322"/>
      <c r="L190" s="2322" t="s">
        <v>941</v>
      </c>
      <c r="M190" s="2325">
        <v>2</v>
      </c>
      <c r="N190" s="2325">
        <v>8</v>
      </c>
      <c r="O190" s="2323">
        <v>43392</v>
      </c>
    </row>
    <row r="191" spans="1:15">
      <c r="A191" s="1487" t="s">
        <v>1330</v>
      </c>
      <c r="B191" s="2331" t="s">
        <v>1576</v>
      </c>
      <c r="C191" s="2332" t="s">
        <v>969</v>
      </c>
      <c r="D191" s="2326">
        <v>43388</v>
      </c>
      <c r="E191" s="2326">
        <v>43388</v>
      </c>
      <c r="F191" s="2333" t="s">
        <v>181</v>
      </c>
      <c r="G191" s="2322" t="s">
        <v>723</v>
      </c>
      <c r="H191" s="2328" t="s">
        <v>940</v>
      </c>
      <c r="I191" s="2324">
        <v>676</v>
      </c>
      <c r="J191" s="2329">
        <v>676</v>
      </c>
      <c r="K191" s="2322"/>
      <c r="L191" s="2334" t="s">
        <v>941</v>
      </c>
      <c r="M191" s="2325">
        <v>6</v>
      </c>
      <c r="N191" s="2325">
        <v>42</v>
      </c>
      <c r="O191" s="2323">
        <v>43392</v>
      </c>
    </row>
    <row r="192" spans="1:15">
      <c r="A192" s="1492" t="s">
        <v>1330</v>
      </c>
      <c r="B192" s="2331" t="s">
        <v>1576</v>
      </c>
      <c r="C192" s="2332" t="s">
        <v>969</v>
      </c>
      <c r="D192" s="2326">
        <v>43388</v>
      </c>
      <c r="E192" s="2326">
        <v>43388</v>
      </c>
      <c r="F192" s="2322" t="s">
        <v>160</v>
      </c>
      <c r="G192" s="2322" t="s">
        <v>723</v>
      </c>
      <c r="H192" s="2328" t="s">
        <v>942</v>
      </c>
      <c r="I192" s="2324">
        <v>48</v>
      </c>
      <c r="J192" s="2329">
        <v>48</v>
      </c>
      <c r="K192" s="2324"/>
      <c r="L192" s="2322" t="s">
        <v>941</v>
      </c>
      <c r="M192" s="2325">
        <v>2</v>
      </c>
      <c r="N192" s="2325">
        <v>8</v>
      </c>
      <c r="O192" s="2323">
        <v>43392</v>
      </c>
    </row>
    <row r="193" spans="1:15">
      <c r="A193" s="1487" t="s">
        <v>1331</v>
      </c>
      <c r="B193" s="2331" t="s">
        <v>1576</v>
      </c>
      <c r="C193" s="2327" t="s">
        <v>969</v>
      </c>
      <c r="D193" s="2326">
        <v>43388</v>
      </c>
      <c r="E193" s="2326">
        <v>43388</v>
      </c>
      <c r="F193" s="2333" t="s">
        <v>161</v>
      </c>
      <c r="G193" s="2331" t="s">
        <v>723</v>
      </c>
      <c r="H193" s="2335" t="s">
        <v>945</v>
      </c>
      <c r="I193" s="2336">
        <v>27.9</v>
      </c>
      <c r="J193" s="2338">
        <v>27.9</v>
      </c>
      <c r="K193" s="2330"/>
      <c r="L193" s="2322" t="s">
        <v>941</v>
      </c>
      <c r="M193" s="2337">
        <v>0.1</v>
      </c>
      <c r="N193" s="2337"/>
      <c r="O193" s="2323">
        <v>43397</v>
      </c>
    </row>
    <row r="194" spans="1:15">
      <c r="A194" s="1487" t="s">
        <v>1331</v>
      </c>
      <c r="B194" s="2331" t="s">
        <v>1576</v>
      </c>
      <c r="C194" s="2327" t="s">
        <v>969</v>
      </c>
      <c r="D194" s="2326">
        <v>43388</v>
      </c>
      <c r="E194" s="2326">
        <v>43388</v>
      </c>
      <c r="F194" s="2333" t="s">
        <v>161</v>
      </c>
      <c r="G194" s="2331" t="s">
        <v>723</v>
      </c>
      <c r="H194" s="2335" t="s">
        <v>945</v>
      </c>
      <c r="I194" s="2336">
        <v>34.799999999999997</v>
      </c>
      <c r="J194" s="2338">
        <v>34.799999999999997</v>
      </c>
      <c r="K194" s="2330"/>
      <c r="L194" s="2322" t="s">
        <v>941</v>
      </c>
      <c r="M194" s="2337">
        <v>0.1</v>
      </c>
      <c r="N194" s="2337"/>
      <c r="O194" s="2323">
        <v>43397</v>
      </c>
    </row>
    <row r="195" spans="1:15">
      <c r="A195" s="1492" t="s">
        <v>1332</v>
      </c>
      <c r="B195" s="2322" t="s">
        <v>1577</v>
      </c>
      <c r="C195" s="2327" t="s">
        <v>970</v>
      </c>
      <c r="D195" s="2326">
        <v>43388</v>
      </c>
      <c r="E195" s="2326">
        <v>43388</v>
      </c>
      <c r="F195" s="2333" t="s">
        <v>181</v>
      </c>
      <c r="G195" s="2322" t="s">
        <v>723</v>
      </c>
      <c r="H195" s="2328" t="s">
        <v>940</v>
      </c>
      <c r="I195" s="2324">
        <v>550</v>
      </c>
      <c r="J195" s="2329">
        <v>550</v>
      </c>
      <c r="K195" s="2322"/>
      <c r="L195" s="2334" t="s">
        <v>941</v>
      </c>
      <c r="M195" s="2325">
        <v>6</v>
      </c>
      <c r="N195" s="2325">
        <v>42</v>
      </c>
      <c r="O195" s="2323">
        <v>43392</v>
      </c>
    </row>
    <row r="196" spans="1:15" s="358" customFormat="1">
      <c r="A196" s="1492" t="s">
        <v>1332</v>
      </c>
      <c r="B196" s="2322" t="s">
        <v>1577</v>
      </c>
      <c r="C196" s="2327" t="s">
        <v>970</v>
      </c>
      <c r="D196" s="2326">
        <v>43388</v>
      </c>
      <c r="E196" s="2326">
        <v>43388</v>
      </c>
      <c r="F196" s="2322" t="s">
        <v>160</v>
      </c>
      <c r="G196" s="2322" t="s">
        <v>723</v>
      </c>
      <c r="H196" s="2328" t="s">
        <v>942</v>
      </c>
      <c r="I196" s="2324">
        <v>54</v>
      </c>
      <c r="J196" s="2329">
        <v>54</v>
      </c>
      <c r="K196" s="2324"/>
      <c r="L196" s="2322" t="s">
        <v>941</v>
      </c>
      <c r="M196" s="2325">
        <v>2</v>
      </c>
      <c r="N196" s="2325">
        <v>8</v>
      </c>
      <c r="O196" s="2323">
        <v>43392</v>
      </c>
    </row>
    <row r="197" spans="1:15">
      <c r="A197" s="1492" t="s">
        <v>1332</v>
      </c>
      <c r="B197" s="1490"/>
      <c r="C197" s="1489"/>
      <c r="D197" s="1489"/>
      <c r="E197" s="1493"/>
      <c r="F197" s="1492"/>
      <c r="G197" s="1494"/>
      <c r="H197" s="1495"/>
      <c r="I197" s="1497"/>
      <c r="J197" s="1491"/>
      <c r="K197" s="1487"/>
      <c r="L197" s="1496"/>
      <c r="M197" s="1496"/>
      <c r="N197" s="1488"/>
    </row>
    <row r="198" spans="1:15">
      <c r="A198" s="1503"/>
      <c r="B198" s="2414" t="s">
        <v>1589</v>
      </c>
      <c r="C198" s="2420" t="s">
        <v>967</v>
      </c>
      <c r="D198" s="2419">
        <v>43409</v>
      </c>
      <c r="E198" s="2419">
        <v>43409</v>
      </c>
      <c r="F198" s="2426" t="s">
        <v>181</v>
      </c>
      <c r="G198" s="2415" t="s">
        <v>723</v>
      </c>
      <c r="H198" s="2421" t="s">
        <v>940</v>
      </c>
      <c r="I198" s="2417">
        <v>392</v>
      </c>
      <c r="J198" s="2422">
        <v>392</v>
      </c>
      <c r="K198" s="2415"/>
      <c r="L198" s="2427" t="s">
        <v>941</v>
      </c>
      <c r="M198" s="2418">
        <v>6</v>
      </c>
      <c r="N198" s="2418">
        <v>42</v>
      </c>
      <c r="O198" s="2416">
        <v>43438</v>
      </c>
    </row>
    <row r="199" spans="1:15">
      <c r="A199" s="1503"/>
      <c r="B199" s="2414" t="s">
        <v>1589</v>
      </c>
      <c r="C199" s="2420" t="s">
        <v>967</v>
      </c>
      <c r="D199" s="2419">
        <v>43409</v>
      </c>
      <c r="E199" s="2419">
        <v>43409</v>
      </c>
      <c r="F199" s="2415" t="s">
        <v>160</v>
      </c>
      <c r="G199" s="2415" t="s">
        <v>723</v>
      </c>
      <c r="H199" s="2421" t="s">
        <v>942</v>
      </c>
      <c r="I199" s="2417">
        <v>6</v>
      </c>
      <c r="J199" s="2422">
        <v>6</v>
      </c>
      <c r="K199" s="2417" t="s">
        <v>953</v>
      </c>
      <c r="L199" s="2415" t="s">
        <v>941</v>
      </c>
      <c r="M199" s="2418">
        <v>2</v>
      </c>
      <c r="N199" s="2418">
        <v>8</v>
      </c>
      <c r="O199" s="2416">
        <v>43438</v>
      </c>
    </row>
    <row r="200" spans="1:15">
      <c r="A200" s="1503"/>
      <c r="B200" s="2424" t="s">
        <v>1590</v>
      </c>
      <c r="C200" s="2420" t="s">
        <v>968</v>
      </c>
      <c r="D200" s="2419">
        <v>43409</v>
      </c>
      <c r="E200" s="2419">
        <v>43409</v>
      </c>
      <c r="F200" s="2426" t="s">
        <v>181</v>
      </c>
      <c r="G200" s="2415" t="s">
        <v>723</v>
      </c>
      <c r="H200" s="2421" t="s">
        <v>940</v>
      </c>
      <c r="I200" s="2417">
        <v>1066</v>
      </c>
      <c r="J200" s="2422">
        <v>1066</v>
      </c>
      <c r="K200" s="2415"/>
      <c r="L200" s="2427" t="s">
        <v>941</v>
      </c>
      <c r="M200" s="2418">
        <v>6</v>
      </c>
      <c r="N200" s="2418">
        <v>42</v>
      </c>
      <c r="O200" s="2416">
        <v>43438</v>
      </c>
    </row>
    <row r="201" spans="1:15">
      <c r="A201" s="284"/>
      <c r="B201" s="2414" t="s">
        <v>1590</v>
      </c>
      <c r="C201" s="2420" t="s">
        <v>968</v>
      </c>
      <c r="D201" s="2419">
        <v>43409</v>
      </c>
      <c r="E201" s="2419">
        <v>43409</v>
      </c>
      <c r="F201" s="2415" t="s">
        <v>160</v>
      </c>
      <c r="G201" s="2415" t="s">
        <v>723</v>
      </c>
      <c r="H201" s="2421" t="s">
        <v>942</v>
      </c>
      <c r="I201" s="2417">
        <v>51</v>
      </c>
      <c r="J201" s="2422">
        <v>51</v>
      </c>
      <c r="K201" s="2417"/>
      <c r="L201" s="2415" t="s">
        <v>941</v>
      </c>
      <c r="M201" s="2418">
        <v>2</v>
      </c>
      <c r="N201" s="2418">
        <v>8</v>
      </c>
      <c r="O201" s="2416">
        <v>43438</v>
      </c>
    </row>
    <row r="202" spans="1:15">
      <c r="A202" s="1503"/>
      <c r="B202" s="2415" t="s">
        <v>1591</v>
      </c>
      <c r="C202" s="2420">
        <v>45</v>
      </c>
      <c r="D202" s="2419">
        <v>43409</v>
      </c>
      <c r="E202" s="2419">
        <v>43409</v>
      </c>
      <c r="F202" s="2426" t="s">
        <v>181</v>
      </c>
      <c r="G202" s="2415" t="s">
        <v>723</v>
      </c>
      <c r="H202" s="2421" t="s">
        <v>940</v>
      </c>
      <c r="I202" s="2417">
        <v>546</v>
      </c>
      <c r="J202" s="2422">
        <v>546</v>
      </c>
      <c r="K202" s="2415"/>
      <c r="L202" s="2427" t="s">
        <v>941</v>
      </c>
      <c r="M202" s="2418">
        <v>6</v>
      </c>
      <c r="N202" s="2418">
        <v>42</v>
      </c>
      <c r="O202" s="2416">
        <v>43438</v>
      </c>
    </row>
    <row r="203" spans="1:15">
      <c r="A203" s="1503"/>
      <c r="B203" s="2424" t="s">
        <v>1591</v>
      </c>
      <c r="C203" s="2420">
        <v>45</v>
      </c>
      <c r="D203" s="2419">
        <v>43409</v>
      </c>
      <c r="E203" s="2419">
        <v>43409</v>
      </c>
      <c r="F203" s="2415" t="s">
        <v>160</v>
      </c>
      <c r="G203" s="2415" t="s">
        <v>723</v>
      </c>
      <c r="H203" s="2421" t="s">
        <v>942</v>
      </c>
      <c r="I203" s="2417">
        <v>36</v>
      </c>
      <c r="J203" s="2422">
        <v>36</v>
      </c>
      <c r="K203" s="2417"/>
      <c r="L203" s="2415" t="s">
        <v>941</v>
      </c>
      <c r="M203" s="2418">
        <v>2</v>
      </c>
      <c r="N203" s="2418">
        <v>8</v>
      </c>
      <c r="O203" s="2416">
        <v>43438</v>
      </c>
    </row>
    <row r="204" spans="1:15">
      <c r="A204" s="1503"/>
      <c r="B204" s="2415" t="s">
        <v>1592</v>
      </c>
      <c r="C204" s="2420">
        <v>90</v>
      </c>
      <c r="D204" s="2419">
        <v>43409</v>
      </c>
      <c r="E204" s="2419">
        <v>43409</v>
      </c>
      <c r="F204" s="2426" t="s">
        <v>181</v>
      </c>
      <c r="G204" s="2415" t="s">
        <v>723</v>
      </c>
      <c r="H204" s="2421" t="s">
        <v>940</v>
      </c>
      <c r="I204" s="2417">
        <v>709</v>
      </c>
      <c r="J204" s="2422">
        <v>709</v>
      </c>
      <c r="K204" s="2415"/>
      <c r="L204" s="2427" t="s">
        <v>941</v>
      </c>
      <c r="M204" s="2418">
        <v>6</v>
      </c>
      <c r="N204" s="2418">
        <v>42</v>
      </c>
      <c r="O204" s="2416">
        <v>43438</v>
      </c>
    </row>
    <row r="205" spans="1:15">
      <c r="A205" s="1503"/>
      <c r="B205" s="2415" t="s">
        <v>1592</v>
      </c>
      <c r="C205" s="2420">
        <v>90</v>
      </c>
      <c r="D205" s="2419">
        <v>43409</v>
      </c>
      <c r="E205" s="2419">
        <v>43409</v>
      </c>
      <c r="F205" s="2415" t="s">
        <v>160</v>
      </c>
      <c r="G205" s="2415" t="s">
        <v>723</v>
      </c>
      <c r="H205" s="2421" t="s">
        <v>942</v>
      </c>
      <c r="I205" s="2417">
        <v>19</v>
      </c>
      <c r="J205" s="2422">
        <v>19</v>
      </c>
      <c r="K205" s="2415"/>
      <c r="L205" s="2415" t="s">
        <v>941</v>
      </c>
      <c r="M205" s="2418">
        <v>2</v>
      </c>
      <c r="N205" s="2418">
        <v>8</v>
      </c>
      <c r="O205" s="2416">
        <v>43438</v>
      </c>
    </row>
    <row r="206" spans="1:15">
      <c r="A206" s="1503"/>
      <c r="B206" s="2424" t="s">
        <v>1593</v>
      </c>
      <c r="C206" s="2425" t="s">
        <v>969</v>
      </c>
      <c r="D206" s="2419">
        <v>43409</v>
      </c>
      <c r="E206" s="2419">
        <v>43409</v>
      </c>
      <c r="F206" s="2426" t="s">
        <v>181</v>
      </c>
      <c r="G206" s="2415" t="s">
        <v>723</v>
      </c>
      <c r="H206" s="2421" t="s">
        <v>940</v>
      </c>
      <c r="I206" s="2417">
        <v>825</v>
      </c>
      <c r="J206" s="2422">
        <v>825</v>
      </c>
      <c r="K206" s="2415"/>
      <c r="L206" s="2427" t="s">
        <v>941</v>
      </c>
      <c r="M206" s="2418">
        <v>6</v>
      </c>
      <c r="N206" s="2418">
        <v>42</v>
      </c>
      <c r="O206" s="2416">
        <v>43438</v>
      </c>
    </row>
    <row r="207" spans="1:15">
      <c r="A207" s="1503"/>
      <c r="B207" s="2424" t="s">
        <v>1593</v>
      </c>
      <c r="C207" s="2425" t="s">
        <v>969</v>
      </c>
      <c r="D207" s="2419">
        <v>43409</v>
      </c>
      <c r="E207" s="2419">
        <v>43409</v>
      </c>
      <c r="F207" s="2415" t="s">
        <v>160</v>
      </c>
      <c r="G207" s="2415" t="s">
        <v>723</v>
      </c>
      <c r="H207" s="2421" t="s">
        <v>942</v>
      </c>
      <c r="I207" s="2417">
        <v>69</v>
      </c>
      <c r="J207" s="2422">
        <v>69</v>
      </c>
      <c r="K207" s="2417"/>
      <c r="L207" s="2415" t="s">
        <v>941</v>
      </c>
      <c r="M207" s="2418">
        <v>2</v>
      </c>
      <c r="N207" s="2418">
        <v>8</v>
      </c>
      <c r="O207" s="2416">
        <v>43438</v>
      </c>
    </row>
    <row r="208" spans="1:15">
      <c r="A208" s="1503"/>
      <c r="B208" s="2424" t="s">
        <v>1593</v>
      </c>
      <c r="C208" s="2420" t="s">
        <v>969</v>
      </c>
      <c r="D208" s="2419">
        <v>43409</v>
      </c>
      <c r="E208" s="2419">
        <v>43409</v>
      </c>
      <c r="F208" s="2426" t="s">
        <v>161</v>
      </c>
      <c r="G208" s="2424" t="s">
        <v>723</v>
      </c>
      <c r="H208" s="2428" t="s">
        <v>945</v>
      </c>
      <c r="I208" s="2429">
        <v>42.5</v>
      </c>
      <c r="J208" s="2431">
        <v>42.5</v>
      </c>
      <c r="K208" s="2423"/>
      <c r="L208" s="2415" t="s">
        <v>941</v>
      </c>
      <c r="M208" s="2430">
        <v>0.1</v>
      </c>
      <c r="N208" s="2430"/>
      <c r="O208" s="2416">
        <v>43424</v>
      </c>
    </row>
    <row r="209" spans="1:15">
      <c r="A209" s="724"/>
      <c r="B209" s="2424" t="s">
        <v>1593</v>
      </c>
      <c r="C209" s="2420" t="s">
        <v>969</v>
      </c>
      <c r="D209" s="2419">
        <v>43409</v>
      </c>
      <c r="E209" s="2419">
        <v>43409</v>
      </c>
      <c r="F209" s="2426" t="s">
        <v>161</v>
      </c>
      <c r="G209" s="2424" t="s">
        <v>723</v>
      </c>
      <c r="H209" s="2428" t="s">
        <v>945</v>
      </c>
      <c r="I209" s="2429">
        <v>40.4</v>
      </c>
      <c r="J209" s="2431">
        <v>40.4</v>
      </c>
      <c r="K209" s="2423"/>
      <c r="L209" s="2415" t="s">
        <v>941</v>
      </c>
      <c r="M209" s="2430">
        <v>0.1</v>
      </c>
      <c r="N209" s="2430"/>
      <c r="O209" s="2416">
        <v>43424</v>
      </c>
    </row>
    <row r="210" spans="1:15">
      <c r="A210" s="72"/>
      <c r="B210" s="2415" t="s">
        <v>1594</v>
      </c>
      <c r="C210" s="2420" t="s">
        <v>970</v>
      </c>
      <c r="D210" s="2419">
        <v>43409</v>
      </c>
      <c r="E210" s="2419">
        <v>43409</v>
      </c>
      <c r="F210" s="2426" t="s">
        <v>181</v>
      </c>
      <c r="G210" s="2415" t="s">
        <v>723</v>
      </c>
      <c r="H210" s="2421" t="s">
        <v>940</v>
      </c>
      <c r="I210" s="2417">
        <v>596</v>
      </c>
      <c r="J210" s="2422">
        <v>596</v>
      </c>
      <c r="K210" s="2415"/>
      <c r="L210" s="2427" t="s">
        <v>941</v>
      </c>
      <c r="M210" s="2418">
        <v>6</v>
      </c>
      <c r="N210" s="2418">
        <v>42</v>
      </c>
      <c r="O210" s="2416">
        <v>43438</v>
      </c>
    </row>
    <row r="211" spans="1:15">
      <c r="A211" s="1503"/>
      <c r="B211" s="2415" t="s">
        <v>1594</v>
      </c>
      <c r="C211" s="2420" t="s">
        <v>970</v>
      </c>
      <c r="D211" s="2419">
        <v>43409</v>
      </c>
      <c r="E211" s="2419">
        <v>43409</v>
      </c>
      <c r="F211" s="2415" t="s">
        <v>160</v>
      </c>
      <c r="G211" s="2415" t="s">
        <v>723</v>
      </c>
      <c r="H211" s="2421" t="s">
        <v>942</v>
      </c>
      <c r="I211" s="2417">
        <v>53</v>
      </c>
      <c r="J211" s="2422">
        <v>53</v>
      </c>
      <c r="K211" s="2417"/>
      <c r="L211" s="2415" t="s">
        <v>941</v>
      </c>
      <c r="M211" s="2418">
        <v>2</v>
      </c>
      <c r="N211" s="2418">
        <v>8</v>
      </c>
      <c r="O211" s="2416">
        <v>43438</v>
      </c>
    </row>
    <row r="212" spans="1:15">
      <c r="A212" s="1503"/>
      <c r="B212" s="723"/>
      <c r="C212" s="1498"/>
      <c r="D212" s="722"/>
      <c r="E212" s="722"/>
      <c r="F212" s="722"/>
      <c r="G212" s="722"/>
      <c r="H212" s="722"/>
      <c r="I212" s="722"/>
      <c r="J212" s="689"/>
    </row>
    <row r="213" spans="1:15">
      <c r="A213" s="1503"/>
      <c r="B213" s="2389" t="s">
        <v>1583</v>
      </c>
      <c r="C213" s="2395" t="s">
        <v>967</v>
      </c>
      <c r="D213" s="2394">
        <v>43444</v>
      </c>
      <c r="E213" s="2394">
        <v>43444</v>
      </c>
      <c r="F213" s="2401" t="s">
        <v>181</v>
      </c>
      <c r="G213" s="2390" t="s">
        <v>723</v>
      </c>
      <c r="H213" s="2396" t="s">
        <v>940</v>
      </c>
      <c r="I213" s="2392">
        <v>621</v>
      </c>
      <c r="J213" s="2397">
        <v>621</v>
      </c>
      <c r="K213" s="2390"/>
      <c r="L213" s="2402" t="s">
        <v>941</v>
      </c>
      <c r="M213" s="2393">
        <v>6</v>
      </c>
      <c r="N213" s="2393">
        <v>42</v>
      </c>
      <c r="O213" s="2391">
        <v>43448</v>
      </c>
    </row>
    <row r="214" spans="1:15">
      <c r="A214" s="1503"/>
      <c r="B214" s="2389" t="s">
        <v>1583</v>
      </c>
      <c r="C214" s="2395" t="s">
        <v>967</v>
      </c>
      <c r="D214" s="2394">
        <v>43444</v>
      </c>
      <c r="E214" s="2394">
        <v>43444</v>
      </c>
      <c r="F214" s="2390" t="s">
        <v>160</v>
      </c>
      <c r="G214" s="2390" t="s">
        <v>723</v>
      </c>
      <c r="H214" s="2396" t="s">
        <v>942</v>
      </c>
      <c r="I214" s="2392">
        <v>18</v>
      </c>
      <c r="J214" s="2397">
        <v>18</v>
      </c>
      <c r="K214" s="2392"/>
      <c r="L214" s="2390" t="s">
        <v>941</v>
      </c>
      <c r="M214" s="2393">
        <v>2</v>
      </c>
      <c r="N214" s="2393">
        <v>8</v>
      </c>
      <c r="O214" s="2391">
        <v>43448</v>
      </c>
    </row>
    <row r="215" spans="1:15">
      <c r="B215" s="2399" t="s">
        <v>1584</v>
      </c>
      <c r="C215" s="2395" t="s">
        <v>968</v>
      </c>
      <c r="D215" s="2394">
        <v>43444</v>
      </c>
      <c r="E215" s="2394">
        <v>43444</v>
      </c>
      <c r="F215" s="2401" t="s">
        <v>181</v>
      </c>
      <c r="G215" s="2390" t="s">
        <v>723</v>
      </c>
      <c r="H215" s="2396" t="s">
        <v>940</v>
      </c>
      <c r="I215" s="2392">
        <v>2342</v>
      </c>
      <c r="J215" s="2397">
        <v>2342</v>
      </c>
      <c r="K215" s="2390"/>
      <c r="L215" s="2402" t="s">
        <v>941</v>
      </c>
      <c r="M215" s="2393">
        <v>6</v>
      </c>
      <c r="N215" s="2393">
        <v>42</v>
      </c>
      <c r="O215" s="2391">
        <v>43448</v>
      </c>
    </row>
    <row r="216" spans="1:15">
      <c r="B216" s="2389" t="s">
        <v>1584</v>
      </c>
      <c r="C216" s="2395" t="s">
        <v>968</v>
      </c>
      <c r="D216" s="2394">
        <v>43444</v>
      </c>
      <c r="E216" s="2394">
        <v>43444</v>
      </c>
      <c r="F216" s="2390" t="s">
        <v>160</v>
      </c>
      <c r="G216" s="2390" t="s">
        <v>723</v>
      </c>
      <c r="H216" s="2396" t="s">
        <v>942</v>
      </c>
      <c r="I216" s="2392">
        <v>70</v>
      </c>
      <c r="J216" s="2397">
        <v>70</v>
      </c>
      <c r="K216" s="2392"/>
      <c r="L216" s="2390" t="s">
        <v>941</v>
      </c>
      <c r="M216" s="2393">
        <v>2</v>
      </c>
      <c r="N216" s="2393">
        <v>8</v>
      </c>
      <c r="O216" s="2391">
        <v>43448</v>
      </c>
    </row>
    <row r="217" spans="1:15">
      <c r="B217" s="2390" t="s">
        <v>1585</v>
      </c>
      <c r="C217" s="2395">
        <v>45</v>
      </c>
      <c r="D217" s="2394">
        <v>43444</v>
      </c>
      <c r="E217" s="2394">
        <v>43444</v>
      </c>
      <c r="F217" s="2401" t="s">
        <v>181</v>
      </c>
      <c r="G217" s="2390" t="s">
        <v>723</v>
      </c>
      <c r="H217" s="2396" t="s">
        <v>940</v>
      </c>
      <c r="I217" s="2392">
        <v>713</v>
      </c>
      <c r="J217" s="2397">
        <v>713</v>
      </c>
      <c r="K217" s="2390"/>
      <c r="L217" s="2402" t="s">
        <v>941</v>
      </c>
      <c r="M217" s="2393">
        <v>6</v>
      </c>
      <c r="N217" s="2393">
        <v>42</v>
      </c>
      <c r="O217" s="2391">
        <v>43448</v>
      </c>
    </row>
    <row r="218" spans="1:15">
      <c r="B218" s="2399" t="s">
        <v>1585</v>
      </c>
      <c r="C218" s="2395">
        <v>45</v>
      </c>
      <c r="D218" s="2394">
        <v>43444</v>
      </c>
      <c r="E218" s="2394">
        <v>43444</v>
      </c>
      <c r="F218" s="2390" t="s">
        <v>160</v>
      </c>
      <c r="G218" s="2390" t="s">
        <v>723</v>
      </c>
      <c r="H218" s="2396" t="s">
        <v>942</v>
      </c>
      <c r="I218" s="2392">
        <v>42</v>
      </c>
      <c r="J218" s="2397">
        <v>42</v>
      </c>
      <c r="K218" s="2392"/>
      <c r="L218" s="2390" t="s">
        <v>941</v>
      </c>
      <c r="M218" s="2393">
        <v>2</v>
      </c>
      <c r="N218" s="2393">
        <v>8</v>
      </c>
      <c r="O218" s="2391">
        <v>43448</v>
      </c>
    </row>
    <row r="219" spans="1:15">
      <c r="B219" s="2390" t="s">
        <v>1586</v>
      </c>
      <c r="C219" s="2395">
        <v>90</v>
      </c>
      <c r="D219" s="2394">
        <v>43444</v>
      </c>
      <c r="E219" s="2394">
        <v>43444</v>
      </c>
      <c r="F219" s="2401" t="s">
        <v>181</v>
      </c>
      <c r="G219" s="2390" t="s">
        <v>723</v>
      </c>
      <c r="H219" s="2396" t="s">
        <v>940</v>
      </c>
      <c r="I219" s="2392">
        <v>1225</v>
      </c>
      <c r="J219" s="2397">
        <v>1225</v>
      </c>
      <c r="K219" s="2390"/>
      <c r="L219" s="2402" t="s">
        <v>941</v>
      </c>
      <c r="M219" s="2393">
        <v>6</v>
      </c>
      <c r="N219" s="2393">
        <v>42</v>
      </c>
      <c r="O219" s="2391">
        <v>43448</v>
      </c>
    </row>
    <row r="220" spans="1:15">
      <c r="B220" s="2390" t="s">
        <v>1586</v>
      </c>
      <c r="C220" s="2395">
        <v>90</v>
      </c>
      <c r="D220" s="2394">
        <v>43444</v>
      </c>
      <c r="E220" s="2394">
        <v>43444</v>
      </c>
      <c r="F220" s="2390" t="s">
        <v>160</v>
      </c>
      <c r="G220" s="2390" t="s">
        <v>723</v>
      </c>
      <c r="H220" s="2396" t="s">
        <v>942</v>
      </c>
      <c r="I220" s="2392">
        <v>19</v>
      </c>
      <c r="J220" s="2397">
        <v>19</v>
      </c>
      <c r="K220" s="2390"/>
      <c r="L220" s="2390" t="s">
        <v>941</v>
      </c>
      <c r="M220" s="2393">
        <v>2</v>
      </c>
      <c r="N220" s="2393">
        <v>8</v>
      </c>
      <c r="O220" s="2391">
        <v>43448</v>
      </c>
    </row>
    <row r="221" spans="1:15">
      <c r="B221" s="2399" t="s">
        <v>1587</v>
      </c>
      <c r="C221" s="2400" t="s">
        <v>969</v>
      </c>
      <c r="D221" s="2394">
        <v>43444</v>
      </c>
      <c r="E221" s="2394">
        <v>43444</v>
      </c>
      <c r="F221" s="2401" t="s">
        <v>181</v>
      </c>
      <c r="G221" s="2390" t="s">
        <v>723</v>
      </c>
      <c r="H221" s="2396" t="s">
        <v>940</v>
      </c>
      <c r="I221" s="2392">
        <v>884</v>
      </c>
      <c r="J221" s="2397">
        <v>884</v>
      </c>
      <c r="K221" s="2390"/>
      <c r="L221" s="2402" t="s">
        <v>941</v>
      </c>
      <c r="M221" s="2393">
        <v>6</v>
      </c>
      <c r="N221" s="2393">
        <v>42</v>
      </c>
      <c r="O221" s="2391">
        <v>43448</v>
      </c>
    </row>
    <row r="222" spans="1:15">
      <c r="B222" s="2399" t="s">
        <v>1587</v>
      </c>
      <c r="C222" s="2400" t="s">
        <v>969</v>
      </c>
      <c r="D222" s="2394">
        <v>43444</v>
      </c>
      <c r="E222" s="2394">
        <v>43444</v>
      </c>
      <c r="F222" s="2390" t="s">
        <v>160</v>
      </c>
      <c r="G222" s="2390" t="s">
        <v>723</v>
      </c>
      <c r="H222" s="2396" t="s">
        <v>942</v>
      </c>
      <c r="I222" s="2392">
        <v>50</v>
      </c>
      <c r="J222" s="2397">
        <v>50</v>
      </c>
      <c r="K222" s="2392"/>
      <c r="L222" s="2390" t="s">
        <v>941</v>
      </c>
      <c r="M222" s="2393">
        <v>2</v>
      </c>
      <c r="N222" s="2393">
        <v>8</v>
      </c>
      <c r="O222" s="2391">
        <v>43448</v>
      </c>
    </row>
    <row r="223" spans="1:15">
      <c r="B223" s="2399" t="s">
        <v>1587</v>
      </c>
      <c r="C223" s="2395" t="s">
        <v>969</v>
      </c>
      <c r="D223" s="2394">
        <v>43444</v>
      </c>
      <c r="E223" s="2394">
        <v>43444</v>
      </c>
      <c r="F223" s="2401" t="s">
        <v>161</v>
      </c>
      <c r="G223" s="2399" t="s">
        <v>723</v>
      </c>
      <c r="H223" s="2403" t="s">
        <v>945</v>
      </c>
      <c r="I223" s="2404">
        <v>44.5</v>
      </c>
      <c r="J223" s="2406">
        <v>44.5</v>
      </c>
      <c r="K223" s="2398"/>
      <c r="L223" s="2390" t="s">
        <v>941</v>
      </c>
      <c r="M223" s="2405">
        <v>0.1</v>
      </c>
      <c r="N223" s="2405"/>
      <c r="O223" s="2391">
        <v>43469</v>
      </c>
    </row>
    <row r="224" spans="1:15">
      <c r="B224" s="2399" t="s">
        <v>1587</v>
      </c>
      <c r="C224" s="2395" t="s">
        <v>969</v>
      </c>
      <c r="D224" s="2394">
        <v>43444</v>
      </c>
      <c r="E224" s="2394">
        <v>43444</v>
      </c>
      <c r="F224" s="2401" t="s">
        <v>161</v>
      </c>
      <c r="G224" s="2399" t="s">
        <v>723</v>
      </c>
      <c r="H224" s="2403" t="s">
        <v>945</v>
      </c>
      <c r="I224" s="2404">
        <v>44.5</v>
      </c>
      <c r="J224" s="2406">
        <v>44.5</v>
      </c>
      <c r="K224" s="2398"/>
      <c r="L224" s="2390" t="s">
        <v>941</v>
      </c>
      <c r="M224" s="2405">
        <v>0.1</v>
      </c>
      <c r="N224" s="2405"/>
      <c r="O224" s="2391">
        <v>43469</v>
      </c>
    </row>
    <row r="225" spans="1:19">
      <c r="B225" s="2390" t="s">
        <v>1588</v>
      </c>
      <c r="C225" s="2395" t="s">
        <v>970</v>
      </c>
      <c r="D225" s="2394">
        <v>43444</v>
      </c>
      <c r="E225" s="2394">
        <v>43444</v>
      </c>
      <c r="F225" s="2401" t="s">
        <v>181</v>
      </c>
      <c r="G225" s="2390" t="s">
        <v>723</v>
      </c>
      <c r="H225" s="2396" t="s">
        <v>940</v>
      </c>
      <c r="I225" s="2392">
        <v>1076</v>
      </c>
      <c r="J225" s="2397">
        <v>1076</v>
      </c>
      <c r="K225" s="2390"/>
      <c r="L225" s="2402" t="s">
        <v>941</v>
      </c>
      <c r="M225" s="2393">
        <v>6</v>
      </c>
      <c r="N225" s="2393">
        <v>42</v>
      </c>
      <c r="O225" s="2391">
        <v>43448</v>
      </c>
    </row>
    <row r="226" spans="1:19">
      <c r="B226" s="2390" t="s">
        <v>1588</v>
      </c>
      <c r="C226" s="2395" t="s">
        <v>970</v>
      </c>
      <c r="D226" s="2394">
        <v>43444</v>
      </c>
      <c r="E226" s="2394">
        <v>43444</v>
      </c>
      <c r="F226" s="2390" t="s">
        <v>160</v>
      </c>
      <c r="G226" s="2390" t="s">
        <v>723</v>
      </c>
      <c r="H226" s="2396" t="s">
        <v>942</v>
      </c>
      <c r="I226" s="2392">
        <v>61</v>
      </c>
      <c r="J226" s="2397">
        <v>61</v>
      </c>
      <c r="K226" s="2392"/>
      <c r="L226" s="2390" t="s">
        <v>941</v>
      </c>
      <c r="M226" s="2393">
        <v>2</v>
      </c>
      <c r="N226" s="2393">
        <v>8</v>
      </c>
      <c r="O226" s="2391">
        <v>43448</v>
      </c>
    </row>
    <row r="229" spans="1:19">
      <c r="C229" s="857">
        <v>43108</v>
      </c>
      <c r="D229" s="857">
        <v>43143</v>
      </c>
      <c r="E229" s="857">
        <v>43178</v>
      </c>
      <c r="F229" s="857">
        <v>43199</v>
      </c>
      <c r="G229" s="857">
        <v>43234</v>
      </c>
      <c r="H229" s="857">
        <v>43262</v>
      </c>
      <c r="I229" s="857">
        <v>43290</v>
      </c>
      <c r="J229" s="857">
        <v>43297</v>
      </c>
      <c r="K229" s="857">
        <v>43319</v>
      </c>
      <c r="L229" s="857">
        <v>43325</v>
      </c>
      <c r="M229" s="857">
        <v>43353</v>
      </c>
      <c r="N229" s="857">
        <v>43369</v>
      </c>
      <c r="O229" s="857">
        <v>43388</v>
      </c>
      <c r="P229" s="857">
        <v>43409</v>
      </c>
      <c r="Q229" s="857">
        <v>43444</v>
      </c>
    </row>
    <row r="230" spans="1:19">
      <c r="A230" s="72" t="s">
        <v>967</v>
      </c>
      <c r="B230" s="2734" t="s">
        <v>181</v>
      </c>
      <c r="C230" s="287">
        <v>911</v>
      </c>
      <c r="D230" s="2704">
        <v>769</v>
      </c>
      <c r="E230" s="2704">
        <v>872</v>
      </c>
      <c r="F230" s="2704">
        <v>662</v>
      </c>
      <c r="G230" s="2704">
        <v>554</v>
      </c>
      <c r="H230" s="2704">
        <v>617</v>
      </c>
      <c r="I230" s="2704">
        <v>1759</v>
      </c>
      <c r="J230" s="2704">
        <v>539</v>
      </c>
      <c r="K230" s="2704">
        <v>664</v>
      </c>
      <c r="L230" s="2704">
        <v>744</v>
      </c>
      <c r="M230" s="2704">
        <v>783</v>
      </c>
      <c r="N230" s="2704">
        <v>568</v>
      </c>
      <c r="O230" s="2704">
        <v>672</v>
      </c>
      <c r="P230" s="2678">
        <v>392</v>
      </c>
      <c r="Q230" s="2678">
        <v>621</v>
      </c>
      <c r="S230" s="2704"/>
    </row>
    <row r="231" spans="1:19">
      <c r="A231" s="72" t="s">
        <v>968</v>
      </c>
      <c r="B231" s="2734" t="s">
        <v>181</v>
      </c>
      <c r="C231" s="287">
        <v>1252</v>
      </c>
      <c r="D231" s="2704">
        <v>1245</v>
      </c>
      <c r="E231" s="2704">
        <v>1333</v>
      </c>
      <c r="F231" s="2704">
        <v>1143</v>
      </c>
      <c r="G231" s="2704">
        <v>769</v>
      </c>
      <c r="H231" s="2704">
        <v>833</v>
      </c>
      <c r="I231" s="2704">
        <v>704</v>
      </c>
      <c r="J231" s="2704">
        <v>1209</v>
      </c>
      <c r="K231" s="2704">
        <v>1170</v>
      </c>
      <c r="L231" s="2704">
        <v>1271</v>
      </c>
      <c r="M231" s="2704">
        <v>965</v>
      </c>
      <c r="N231" s="2704">
        <v>903</v>
      </c>
      <c r="O231" s="2704">
        <v>790</v>
      </c>
      <c r="P231" s="2678">
        <v>1066</v>
      </c>
      <c r="Q231" s="2678">
        <v>2342</v>
      </c>
      <c r="S231" s="2704"/>
    </row>
    <row r="232" spans="1:19">
      <c r="A232" s="72">
        <v>45</v>
      </c>
      <c r="B232" s="2734" t="s">
        <v>181</v>
      </c>
      <c r="C232" s="287">
        <v>906</v>
      </c>
      <c r="D232" s="2704">
        <v>1002</v>
      </c>
      <c r="E232" s="2704">
        <v>829</v>
      </c>
      <c r="F232" s="2704">
        <v>874</v>
      </c>
      <c r="G232" s="2704">
        <v>653</v>
      </c>
      <c r="H232" s="2704">
        <v>693</v>
      </c>
      <c r="I232" s="2704">
        <v>444</v>
      </c>
      <c r="J232" s="2704">
        <v>734</v>
      </c>
      <c r="K232" s="2704">
        <v>581</v>
      </c>
      <c r="L232" s="2704">
        <v>589</v>
      </c>
      <c r="M232" s="2704">
        <v>715</v>
      </c>
      <c r="N232" s="2704">
        <v>476</v>
      </c>
      <c r="O232" s="2704">
        <v>643</v>
      </c>
      <c r="P232" s="2678">
        <v>546</v>
      </c>
      <c r="Q232" s="2678">
        <v>713</v>
      </c>
      <c r="S232" s="2704"/>
    </row>
    <row r="233" spans="1:19">
      <c r="A233" s="72">
        <v>90</v>
      </c>
      <c r="B233" s="2734" t="s">
        <v>181</v>
      </c>
      <c r="C233" s="287">
        <v>1037</v>
      </c>
      <c r="D233" s="2704">
        <v>1127</v>
      </c>
      <c r="E233" s="2704">
        <v>1015</v>
      </c>
      <c r="F233" s="2704">
        <v>987</v>
      </c>
      <c r="G233" s="2704">
        <v>823</v>
      </c>
      <c r="H233" s="2704">
        <v>811</v>
      </c>
      <c r="I233" s="2704">
        <v>742</v>
      </c>
      <c r="J233" s="2704">
        <v>1130</v>
      </c>
      <c r="K233" s="2704">
        <v>652</v>
      </c>
      <c r="L233" s="2704">
        <v>864</v>
      </c>
      <c r="M233" s="2704">
        <v>859</v>
      </c>
      <c r="N233" s="2704">
        <v>868</v>
      </c>
      <c r="O233" s="2704">
        <v>896</v>
      </c>
      <c r="P233" s="2678">
        <v>709</v>
      </c>
      <c r="Q233" s="2678">
        <v>1225</v>
      </c>
      <c r="S233" s="2704"/>
    </row>
    <row r="234" spans="1:19">
      <c r="A234" s="1451" t="s">
        <v>969</v>
      </c>
      <c r="B234" s="2734" t="s">
        <v>181</v>
      </c>
      <c r="C234" s="287">
        <v>1050</v>
      </c>
      <c r="D234" s="2704">
        <v>1170</v>
      </c>
      <c r="E234" s="2704">
        <v>906</v>
      </c>
      <c r="F234" s="2704">
        <v>882</v>
      </c>
      <c r="G234" s="2704">
        <v>679</v>
      </c>
      <c r="H234" s="2704">
        <v>627</v>
      </c>
      <c r="I234" s="2704">
        <v>831</v>
      </c>
      <c r="J234" s="2704">
        <v>865</v>
      </c>
      <c r="K234" s="2704">
        <v>632</v>
      </c>
      <c r="L234" s="2704">
        <v>606</v>
      </c>
      <c r="M234" s="2704">
        <v>903</v>
      </c>
      <c r="N234" s="2704">
        <v>542</v>
      </c>
      <c r="O234" s="2339">
        <v>676</v>
      </c>
      <c r="P234" s="2678">
        <v>825</v>
      </c>
      <c r="Q234" s="2678">
        <v>884</v>
      </c>
      <c r="S234" s="2704"/>
    </row>
    <row r="235" spans="1:19">
      <c r="A235" s="72" t="s">
        <v>970</v>
      </c>
      <c r="B235" s="2734" t="s">
        <v>181</v>
      </c>
      <c r="C235" s="287">
        <v>1046</v>
      </c>
      <c r="D235" s="2704">
        <v>1267</v>
      </c>
      <c r="E235" s="2704">
        <v>1149</v>
      </c>
      <c r="F235" s="2704">
        <v>866</v>
      </c>
      <c r="G235" s="2704">
        <v>930</v>
      </c>
      <c r="H235" s="2704">
        <v>758</v>
      </c>
      <c r="I235" s="2704">
        <v>836</v>
      </c>
      <c r="J235" s="2704">
        <v>868</v>
      </c>
      <c r="K235" s="2704">
        <v>720</v>
      </c>
      <c r="L235" s="2704">
        <v>650</v>
      </c>
      <c r="M235" s="2704">
        <v>757</v>
      </c>
      <c r="N235" s="2704">
        <v>488</v>
      </c>
      <c r="O235" s="2701">
        <v>550</v>
      </c>
      <c r="P235" s="2678">
        <v>596</v>
      </c>
      <c r="Q235" s="2678">
        <v>1076</v>
      </c>
      <c r="S235" s="2704"/>
    </row>
    <row r="236" spans="1:19">
      <c r="O236" s="2704"/>
      <c r="S236" s="2704"/>
    </row>
    <row r="237" spans="1:19">
      <c r="C237" s="857">
        <v>43108</v>
      </c>
      <c r="D237" s="857">
        <v>43143</v>
      </c>
      <c r="E237" s="857">
        <v>43178</v>
      </c>
      <c r="F237" s="857">
        <v>43199</v>
      </c>
      <c r="G237" s="857">
        <v>43234</v>
      </c>
      <c r="H237" s="857">
        <v>43262</v>
      </c>
      <c r="I237" s="857">
        <v>43290</v>
      </c>
      <c r="J237" s="857">
        <v>43297</v>
      </c>
      <c r="K237" s="857">
        <v>43319</v>
      </c>
      <c r="L237" s="857">
        <v>43325</v>
      </c>
      <c r="M237" s="857">
        <v>43353</v>
      </c>
      <c r="N237" s="857">
        <v>43369</v>
      </c>
      <c r="O237" s="857">
        <v>43388</v>
      </c>
      <c r="P237" s="857">
        <v>43409</v>
      </c>
      <c r="Q237" s="857">
        <v>43444</v>
      </c>
      <c r="S237" s="2704"/>
    </row>
    <row r="238" spans="1:19">
      <c r="A238" s="72" t="s">
        <v>969</v>
      </c>
      <c r="B238" s="2734" t="s">
        <v>161</v>
      </c>
      <c r="C238" s="141">
        <v>0.7</v>
      </c>
      <c r="D238" s="2701">
        <v>15.8</v>
      </c>
      <c r="E238" s="2701">
        <v>5.9</v>
      </c>
      <c r="F238" s="2701">
        <v>1.5</v>
      </c>
      <c r="G238" s="2701">
        <v>8.3000000000000007</v>
      </c>
      <c r="H238" s="2701">
        <v>2.4</v>
      </c>
      <c r="I238" s="2704">
        <v>4.7</v>
      </c>
      <c r="J238" s="2701">
        <v>12.1</v>
      </c>
      <c r="K238" s="2701">
        <v>18.3</v>
      </c>
      <c r="L238" s="2701">
        <v>19.5</v>
      </c>
      <c r="M238" s="2701">
        <v>21.6</v>
      </c>
      <c r="N238" s="2701">
        <v>9.1</v>
      </c>
      <c r="O238" s="2704">
        <v>48</v>
      </c>
      <c r="P238" s="2589">
        <v>42.5</v>
      </c>
      <c r="Q238" s="2589">
        <v>44.5</v>
      </c>
      <c r="S238" s="2704"/>
    </row>
    <row r="239" spans="1:19">
      <c r="A239" s="72" t="s">
        <v>969</v>
      </c>
      <c r="B239" s="2734" t="s">
        <v>161</v>
      </c>
      <c r="C239" s="141">
        <v>1.8</v>
      </c>
      <c r="D239" s="2701">
        <v>15.1</v>
      </c>
      <c r="E239" s="2701">
        <v>5.9</v>
      </c>
      <c r="F239" s="2701">
        <v>1.5</v>
      </c>
      <c r="G239" s="2701">
        <v>8</v>
      </c>
      <c r="H239" s="2701">
        <v>2.4</v>
      </c>
      <c r="I239" s="2704">
        <v>6.8</v>
      </c>
      <c r="J239" s="2701">
        <v>12.1</v>
      </c>
      <c r="K239" s="2701">
        <v>17.399999999999999</v>
      </c>
      <c r="L239" s="2701">
        <v>20.9</v>
      </c>
      <c r="M239" s="2701">
        <v>22.6</v>
      </c>
      <c r="N239" s="2701">
        <v>10.6</v>
      </c>
      <c r="O239" s="2701">
        <v>27.9</v>
      </c>
      <c r="P239" s="2589">
        <v>40.4</v>
      </c>
      <c r="Q239" s="2589">
        <v>44.5</v>
      </c>
      <c r="S239" s="2704"/>
    </row>
    <row r="240" spans="1:19">
      <c r="B240" s="2734" t="s">
        <v>265</v>
      </c>
      <c r="C240" s="441">
        <f>AVERAGE(C238:C239)</f>
        <v>1.25</v>
      </c>
      <c r="D240" s="441">
        <f t="shared" ref="D240:Q240" si="0">AVERAGE(D238:D239)</f>
        <v>15.45</v>
      </c>
      <c r="E240" s="441">
        <f t="shared" si="0"/>
        <v>5.9</v>
      </c>
      <c r="F240" s="441">
        <f t="shared" si="0"/>
        <v>1.5</v>
      </c>
      <c r="G240" s="441">
        <f t="shared" si="0"/>
        <v>8.15</v>
      </c>
      <c r="H240" s="441">
        <f t="shared" si="0"/>
        <v>2.4</v>
      </c>
      <c r="I240" s="441">
        <f t="shared" si="0"/>
        <v>5.75</v>
      </c>
      <c r="J240" s="441">
        <f t="shared" si="0"/>
        <v>12.1</v>
      </c>
      <c r="K240" s="441">
        <f t="shared" si="0"/>
        <v>17.850000000000001</v>
      </c>
      <c r="L240" s="441">
        <f t="shared" si="0"/>
        <v>20.2</v>
      </c>
      <c r="M240" s="441">
        <f t="shared" si="0"/>
        <v>22.1</v>
      </c>
      <c r="N240" s="441">
        <f t="shared" si="0"/>
        <v>9.85</v>
      </c>
      <c r="O240" s="441">
        <f t="shared" si="0"/>
        <v>37.950000000000003</v>
      </c>
      <c r="P240" s="441">
        <f t="shared" si="0"/>
        <v>41.45</v>
      </c>
      <c r="Q240" s="441">
        <f t="shared" si="0"/>
        <v>44.5</v>
      </c>
      <c r="S240" s="2701"/>
    </row>
    <row r="241" spans="1:19">
      <c r="A241" s="358"/>
      <c r="B241" s="358"/>
      <c r="C241" s="857">
        <v>43108</v>
      </c>
      <c r="D241" s="857">
        <v>43143</v>
      </c>
      <c r="E241" s="857">
        <v>43178</v>
      </c>
      <c r="F241" s="857">
        <v>43199</v>
      </c>
      <c r="G241" s="857">
        <v>43234</v>
      </c>
      <c r="H241" s="857">
        <v>43262</v>
      </c>
      <c r="I241" s="857">
        <v>43290</v>
      </c>
      <c r="J241" s="857">
        <v>43297</v>
      </c>
      <c r="K241" s="857">
        <v>43319</v>
      </c>
      <c r="L241" s="857">
        <v>43325</v>
      </c>
      <c r="M241" s="857">
        <v>43353</v>
      </c>
      <c r="N241" s="857">
        <v>43369</v>
      </c>
      <c r="O241" s="857">
        <v>43388</v>
      </c>
      <c r="P241" s="857">
        <v>43409</v>
      </c>
      <c r="Q241" s="857">
        <v>43444</v>
      </c>
      <c r="S241" s="2701"/>
    </row>
    <row r="242" spans="1:19">
      <c r="A242" s="72" t="s">
        <v>967</v>
      </c>
      <c r="B242" s="2735" t="s">
        <v>160</v>
      </c>
      <c r="C242" s="287">
        <v>16</v>
      </c>
      <c r="D242" s="2704">
        <v>8</v>
      </c>
      <c r="E242" s="2704">
        <v>8</v>
      </c>
      <c r="F242" s="2704">
        <v>21</v>
      </c>
      <c r="G242" s="2704">
        <v>18</v>
      </c>
      <c r="H242" s="2704">
        <v>53</v>
      </c>
      <c r="I242" s="2704">
        <v>35</v>
      </c>
      <c r="J242" s="2704">
        <v>24</v>
      </c>
      <c r="K242" s="2704">
        <v>11</v>
      </c>
      <c r="L242" s="2704">
        <v>87</v>
      </c>
      <c r="M242" s="2704">
        <v>5</v>
      </c>
      <c r="N242" s="2704">
        <v>29</v>
      </c>
      <c r="O242" s="2704">
        <v>10</v>
      </c>
      <c r="P242" s="2678">
        <v>6</v>
      </c>
      <c r="Q242" s="2678">
        <v>18</v>
      </c>
      <c r="S242" s="2704"/>
    </row>
    <row r="243" spans="1:19">
      <c r="A243" s="72" t="s">
        <v>968</v>
      </c>
      <c r="B243" s="2735" t="s">
        <v>160</v>
      </c>
      <c r="C243" s="287">
        <v>32</v>
      </c>
      <c r="D243" s="2704">
        <v>21</v>
      </c>
      <c r="E243" s="2704">
        <v>56</v>
      </c>
      <c r="F243" s="2704">
        <v>17</v>
      </c>
      <c r="G243" s="2704">
        <v>30</v>
      </c>
      <c r="H243" s="2704">
        <v>62</v>
      </c>
      <c r="I243" s="2704">
        <v>35</v>
      </c>
      <c r="J243" s="2704">
        <v>110</v>
      </c>
      <c r="K243" s="2704">
        <v>27</v>
      </c>
      <c r="L243" s="2704">
        <v>32</v>
      </c>
      <c r="M243" s="2704">
        <v>103</v>
      </c>
      <c r="N243" s="2704">
        <v>24</v>
      </c>
      <c r="O243" s="2704">
        <v>79</v>
      </c>
      <c r="P243" s="2678">
        <v>51</v>
      </c>
      <c r="Q243" s="2678">
        <v>70</v>
      </c>
      <c r="S243" s="2704"/>
    </row>
    <row r="244" spans="1:19">
      <c r="A244" s="72">
        <v>45</v>
      </c>
      <c r="B244" s="2735" t="s">
        <v>160</v>
      </c>
      <c r="C244" s="287">
        <v>16</v>
      </c>
      <c r="D244" s="2704">
        <v>15</v>
      </c>
      <c r="E244" s="2704">
        <v>12</v>
      </c>
      <c r="F244" s="2704">
        <v>16</v>
      </c>
      <c r="G244" s="2704">
        <v>14</v>
      </c>
      <c r="H244" s="2704">
        <v>44</v>
      </c>
      <c r="I244" s="2704">
        <v>19</v>
      </c>
      <c r="J244" s="2704">
        <v>33</v>
      </c>
      <c r="K244" s="2704">
        <v>46</v>
      </c>
      <c r="L244" s="2704">
        <v>46</v>
      </c>
      <c r="M244" s="2704">
        <v>62</v>
      </c>
      <c r="N244" s="2704">
        <v>43</v>
      </c>
      <c r="O244" s="2704">
        <v>48</v>
      </c>
      <c r="P244" s="2678">
        <v>36</v>
      </c>
      <c r="Q244" s="2678">
        <v>42</v>
      </c>
    </row>
    <row r="245" spans="1:19">
      <c r="A245" s="72">
        <v>90</v>
      </c>
      <c r="B245" s="2735" t="s">
        <v>160</v>
      </c>
      <c r="C245" s="287">
        <v>17</v>
      </c>
      <c r="D245" s="2704">
        <v>19</v>
      </c>
      <c r="E245" s="2704">
        <v>18</v>
      </c>
      <c r="F245" s="2704">
        <v>27</v>
      </c>
      <c r="G245" s="2704">
        <v>30</v>
      </c>
      <c r="H245" s="2704">
        <v>46</v>
      </c>
      <c r="I245" s="2704">
        <v>20</v>
      </c>
      <c r="J245" s="2704">
        <v>41</v>
      </c>
      <c r="K245" s="2704">
        <v>25</v>
      </c>
      <c r="L245" s="2704">
        <v>26</v>
      </c>
      <c r="M245" s="2704">
        <v>26</v>
      </c>
      <c r="N245" s="2704">
        <v>17</v>
      </c>
      <c r="O245" s="2704">
        <v>26</v>
      </c>
      <c r="P245" s="2678">
        <v>19</v>
      </c>
      <c r="Q245" s="2678">
        <v>19</v>
      </c>
    </row>
    <row r="246" spans="1:19">
      <c r="A246" s="1451" t="s">
        <v>969</v>
      </c>
      <c r="B246" s="2735" t="s">
        <v>160</v>
      </c>
      <c r="C246" s="287">
        <v>13</v>
      </c>
      <c r="D246" s="2704">
        <v>25</v>
      </c>
      <c r="E246" s="2704">
        <v>15</v>
      </c>
      <c r="F246" s="2704">
        <v>16</v>
      </c>
      <c r="G246" s="2704">
        <v>16</v>
      </c>
      <c r="H246" s="2704">
        <v>39</v>
      </c>
      <c r="I246" s="2704">
        <v>64</v>
      </c>
      <c r="J246" s="2704">
        <v>35</v>
      </c>
      <c r="K246" s="2704">
        <v>50</v>
      </c>
      <c r="L246" s="2704">
        <v>48</v>
      </c>
      <c r="M246" s="2704">
        <v>94</v>
      </c>
      <c r="N246" s="2704">
        <v>48</v>
      </c>
      <c r="O246" s="2704">
        <v>48</v>
      </c>
      <c r="P246" s="2678">
        <v>69</v>
      </c>
      <c r="Q246" s="2678">
        <v>50</v>
      </c>
    </row>
    <row r="247" spans="1:19">
      <c r="A247" s="72" t="s">
        <v>970</v>
      </c>
      <c r="B247" s="2735" t="s">
        <v>160</v>
      </c>
      <c r="C247" s="287">
        <v>14</v>
      </c>
      <c r="D247" s="2704">
        <v>19</v>
      </c>
      <c r="E247" s="2704">
        <v>38</v>
      </c>
      <c r="F247" s="2704">
        <v>24</v>
      </c>
      <c r="G247" s="2704">
        <v>15</v>
      </c>
      <c r="H247" s="2704">
        <v>50</v>
      </c>
      <c r="I247" s="2704">
        <v>45</v>
      </c>
      <c r="J247" s="2704">
        <v>72</v>
      </c>
      <c r="K247" s="2704">
        <v>83</v>
      </c>
      <c r="L247" s="2704">
        <v>69</v>
      </c>
      <c r="M247" s="2704">
        <v>71</v>
      </c>
      <c r="N247" s="2704">
        <v>63</v>
      </c>
      <c r="O247" s="2704">
        <v>54</v>
      </c>
      <c r="P247" s="2678">
        <v>53</v>
      </c>
      <c r="Q247" s="2678">
        <v>61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51"/>
  <sheetViews>
    <sheetView topLeftCell="A137" workbookViewId="0">
      <selection activeCell="A143" sqref="A143:E151"/>
    </sheetView>
  </sheetViews>
  <sheetFormatPr defaultRowHeight="14"/>
  <cols>
    <col min="1" max="1" width="16.453125" customWidth="1"/>
    <col min="2" max="2" width="12.36328125" customWidth="1"/>
    <col min="3" max="3" width="6.36328125" customWidth="1"/>
    <col min="4" max="4" width="7" customWidth="1"/>
    <col min="5" max="5" width="7" bestFit="1" customWidth="1"/>
    <col min="6" max="11" width="5" customWidth="1"/>
    <col min="12" max="13" width="5.54296875" customWidth="1"/>
    <col min="14" max="21" width="5" customWidth="1"/>
    <col min="22" max="22" width="5" bestFit="1" customWidth="1"/>
    <col min="23" max="23" width="5" customWidth="1"/>
    <col min="24" max="26" width="5.54296875" bestFit="1" customWidth="1"/>
    <col min="27" max="30" width="5.54296875" style="358" customWidth="1"/>
    <col min="31" max="31" width="8.54296875" customWidth="1"/>
    <col min="34" max="34" width="15.6328125" customWidth="1"/>
    <col min="35" max="35" width="13" customWidth="1"/>
  </cols>
  <sheetData>
    <row r="1" spans="1:37" ht="15.5">
      <c r="A1" s="2918" t="s">
        <v>1740</v>
      </c>
      <c r="B1" s="2919"/>
      <c r="C1" s="2919"/>
      <c r="D1" s="2919"/>
      <c r="E1" s="2919"/>
      <c r="F1" s="2919"/>
      <c r="G1" s="2919"/>
      <c r="H1" s="2919"/>
      <c r="I1" s="2919"/>
      <c r="J1" s="2919"/>
      <c r="K1" s="2919"/>
      <c r="L1" s="2919"/>
      <c r="M1" s="2919"/>
      <c r="N1" s="2919"/>
      <c r="O1" s="2919"/>
      <c r="P1" s="2919"/>
      <c r="Q1" s="2919"/>
      <c r="R1" s="2919"/>
      <c r="S1" s="2919"/>
      <c r="T1" s="2919"/>
      <c r="U1" s="2919"/>
      <c r="V1" s="2919"/>
      <c r="W1" s="2919"/>
      <c r="X1" s="2919"/>
      <c r="Y1" s="2919"/>
      <c r="Z1" s="2919"/>
      <c r="AA1" s="2919"/>
      <c r="AB1" s="2919"/>
      <c r="AC1" s="2919"/>
      <c r="AD1" s="2919"/>
      <c r="AE1" s="2919"/>
      <c r="AI1" s="315"/>
      <c r="AJ1" s="41"/>
      <c r="AK1" s="41"/>
    </row>
    <row r="2" spans="1:37">
      <c r="A2" s="2920" t="s">
        <v>8</v>
      </c>
      <c r="B2" s="2922" t="s">
        <v>9</v>
      </c>
      <c r="C2" s="2924" t="s">
        <v>99</v>
      </c>
      <c r="D2" s="2924"/>
      <c r="E2" s="2924"/>
      <c r="F2" s="2924"/>
      <c r="G2" s="2924"/>
      <c r="H2" s="2924"/>
      <c r="I2" s="2924"/>
      <c r="J2" s="2924"/>
      <c r="K2" s="2924"/>
      <c r="L2" s="2924"/>
      <c r="M2" s="2924"/>
      <c r="N2" s="2924"/>
      <c r="O2" s="2924"/>
      <c r="P2" s="2924"/>
      <c r="Q2" s="2924"/>
      <c r="R2" s="2924"/>
      <c r="S2" s="2924"/>
      <c r="T2" s="2924"/>
      <c r="U2" s="2924"/>
      <c r="V2" s="2924"/>
      <c r="W2" s="2924"/>
      <c r="X2" s="2924"/>
      <c r="Y2" s="2924"/>
      <c r="Z2" s="2924"/>
      <c r="AA2" s="2924"/>
      <c r="AB2" s="2924"/>
      <c r="AC2" s="2924"/>
      <c r="AD2" s="2924"/>
      <c r="AE2" s="2924"/>
      <c r="AI2" s="316"/>
      <c r="AJ2" s="41"/>
      <c r="AK2" s="41"/>
    </row>
    <row r="3" spans="1:37" ht="23.5">
      <c r="A3" s="2921"/>
      <c r="B3" s="2923"/>
      <c r="C3" s="2826">
        <v>1991</v>
      </c>
      <c r="D3" s="2826">
        <v>1992</v>
      </c>
      <c r="E3" s="2826">
        <v>1993</v>
      </c>
      <c r="F3" s="2826">
        <v>1994</v>
      </c>
      <c r="G3" s="2826">
        <v>1995</v>
      </c>
      <c r="H3" s="2826">
        <v>1996</v>
      </c>
      <c r="I3" s="2826">
        <v>1997</v>
      </c>
      <c r="J3" s="2826">
        <v>1998</v>
      </c>
      <c r="K3" s="2826">
        <v>1999</v>
      </c>
      <c r="L3" s="2826">
        <v>2000</v>
      </c>
      <c r="M3" s="2826">
        <v>2001</v>
      </c>
      <c r="N3" s="2826">
        <v>2002</v>
      </c>
      <c r="O3" s="2826">
        <v>2003</v>
      </c>
      <c r="P3" s="2826">
        <v>2004</v>
      </c>
      <c r="Q3" s="2826">
        <v>2005</v>
      </c>
      <c r="R3" s="2826">
        <v>2006</v>
      </c>
      <c r="S3" s="2826">
        <v>2007</v>
      </c>
      <c r="T3" s="2826">
        <v>2008</v>
      </c>
      <c r="U3" s="2826">
        <v>2009</v>
      </c>
      <c r="V3" s="2826">
        <v>2010</v>
      </c>
      <c r="W3" s="2826">
        <v>2011</v>
      </c>
      <c r="X3" s="2826">
        <v>2012</v>
      </c>
      <c r="Y3" s="2826">
        <v>2013</v>
      </c>
      <c r="Z3" s="2826">
        <v>2014</v>
      </c>
      <c r="AA3" s="2826">
        <v>2015</v>
      </c>
      <c r="AB3" s="2826">
        <v>2016</v>
      </c>
      <c r="AC3" s="2826">
        <v>2017</v>
      </c>
      <c r="AD3" s="2826">
        <v>2018</v>
      </c>
      <c r="AE3" s="544" t="s">
        <v>1731</v>
      </c>
      <c r="AF3" s="1602" t="s">
        <v>1732</v>
      </c>
      <c r="AG3" s="132"/>
      <c r="AI3" s="317"/>
      <c r="AJ3" s="41"/>
      <c r="AK3" s="41"/>
    </row>
    <row r="4" spans="1:37">
      <c r="A4" s="2915" t="s">
        <v>10</v>
      </c>
      <c r="B4" s="96" t="s">
        <v>101</v>
      </c>
      <c r="C4" s="74">
        <v>17.670000000000002</v>
      </c>
      <c r="D4" s="74">
        <v>26.03</v>
      </c>
      <c r="E4" s="74">
        <v>13.73</v>
      </c>
      <c r="F4" s="74">
        <v>29.68</v>
      </c>
      <c r="G4" s="74">
        <v>9.4</v>
      </c>
      <c r="H4" s="74">
        <v>17.100000000000001</v>
      </c>
      <c r="I4" s="74">
        <v>8.23</v>
      </c>
      <c r="J4" s="74">
        <v>4.9000000000000004</v>
      </c>
      <c r="K4" s="74">
        <v>6.2</v>
      </c>
      <c r="L4" s="95">
        <v>23.9</v>
      </c>
      <c r="M4" s="95">
        <v>24.6</v>
      </c>
      <c r="N4" s="95">
        <v>15.4</v>
      </c>
      <c r="O4" s="95">
        <v>14.8</v>
      </c>
      <c r="P4" s="95">
        <v>6.6</v>
      </c>
      <c r="Q4" s="95">
        <v>15.4</v>
      </c>
      <c r="R4" s="95">
        <v>9.1</v>
      </c>
      <c r="S4" s="95">
        <v>9.3000000000000007</v>
      </c>
      <c r="T4" s="95">
        <v>17.3</v>
      </c>
      <c r="U4" s="95">
        <v>12.5</v>
      </c>
      <c r="V4" s="95">
        <v>10.6</v>
      </c>
      <c r="W4" s="107">
        <v>10.8</v>
      </c>
      <c r="X4" s="107">
        <v>14.9</v>
      </c>
      <c r="Y4" s="107">
        <v>14.6</v>
      </c>
      <c r="Z4" s="107">
        <v>5</v>
      </c>
      <c r="AA4" s="107">
        <v>13.2</v>
      </c>
      <c r="AB4" s="107">
        <v>10.1</v>
      </c>
      <c r="AC4" s="107">
        <v>12.8</v>
      </c>
      <c r="AD4" s="107">
        <v>16.399999999999999</v>
      </c>
      <c r="AE4" s="2827">
        <f>AVERAGE(C4:AD4)</f>
        <v>13.937142857142859</v>
      </c>
      <c r="AF4" s="133">
        <f>MEDIAN(C4:AC4)</f>
        <v>13.2</v>
      </c>
      <c r="AI4" s="313"/>
      <c r="AJ4" s="41"/>
      <c r="AK4" s="41"/>
    </row>
    <row r="5" spans="1:37" ht="13.75" hidden="1" customHeight="1">
      <c r="A5" s="2916"/>
      <c r="B5" s="96" t="s">
        <v>102</v>
      </c>
      <c r="C5" s="74">
        <v>19.82</v>
      </c>
      <c r="D5" s="74">
        <v>15.51</v>
      </c>
      <c r="E5" s="74">
        <v>5.85</v>
      </c>
      <c r="F5" s="74">
        <v>17.02</v>
      </c>
      <c r="G5" s="74">
        <v>6.2</v>
      </c>
      <c r="H5" s="74">
        <v>10.3</v>
      </c>
      <c r="I5" s="74">
        <v>2.4300000000000002</v>
      </c>
      <c r="J5" s="74">
        <v>5.4</v>
      </c>
      <c r="K5" s="74">
        <v>5.5</v>
      </c>
      <c r="L5" s="95">
        <v>8.9</v>
      </c>
      <c r="M5" s="95">
        <v>6.3</v>
      </c>
      <c r="N5" s="95"/>
      <c r="O5" s="95"/>
      <c r="P5" s="95"/>
      <c r="Q5" s="95"/>
      <c r="R5" s="95"/>
      <c r="S5" s="95"/>
      <c r="T5" s="95"/>
      <c r="U5" s="95"/>
      <c r="V5" s="95"/>
      <c r="W5" s="107"/>
      <c r="X5" s="107"/>
      <c r="Y5" s="107"/>
      <c r="Z5" s="107"/>
      <c r="AA5" s="107"/>
      <c r="AB5" s="107"/>
      <c r="AC5" s="107"/>
      <c r="AD5" s="107"/>
      <c r="AE5" s="2827">
        <f t="shared" ref="AE5:AE21" si="0">AVERAGE(C5:AC5)</f>
        <v>9.3845454545454565</v>
      </c>
      <c r="AF5" s="133">
        <f t="shared" ref="AF5:AF22" si="1">MEDIAN(C5:AC5)</f>
        <v>6.3</v>
      </c>
      <c r="AI5" s="316"/>
      <c r="AJ5" s="41"/>
      <c r="AK5" s="41"/>
    </row>
    <row r="6" spans="1:37" ht="14.25" hidden="1" customHeight="1">
      <c r="A6" s="2917"/>
      <c r="B6" s="37" t="s">
        <v>100</v>
      </c>
      <c r="C6" s="97">
        <f t="shared" ref="C6:J6" si="2">AVERAGE(C4:C5)</f>
        <v>18.745000000000001</v>
      </c>
      <c r="D6" s="97">
        <f t="shared" si="2"/>
        <v>20.77</v>
      </c>
      <c r="E6" s="97">
        <f t="shared" si="2"/>
        <v>9.7899999999999991</v>
      </c>
      <c r="F6" s="97">
        <f t="shared" si="2"/>
        <v>23.35</v>
      </c>
      <c r="G6" s="97">
        <f t="shared" si="2"/>
        <v>7.8000000000000007</v>
      </c>
      <c r="H6" s="97">
        <f t="shared" si="2"/>
        <v>13.700000000000001</v>
      </c>
      <c r="I6" s="97">
        <f t="shared" si="2"/>
        <v>5.33</v>
      </c>
      <c r="J6" s="97">
        <f t="shared" si="2"/>
        <v>5.15</v>
      </c>
      <c r="K6" s="97">
        <f>AVERAGE(K4:K5)</f>
        <v>5.85</v>
      </c>
      <c r="L6" s="97">
        <f>AVERAGE(L4:L5)</f>
        <v>16.399999999999999</v>
      </c>
      <c r="M6" s="97">
        <f>AVERAGE(M4:M5)</f>
        <v>15.450000000000001</v>
      </c>
      <c r="N6" s="97">
        <f>AVERAGE(N4:N5)</f>
        <v>15.4</v>
      </c>
      <c r="O6" s="97">
        <f t="shared" ref="O6:T6" si="3">AVERAGE(O4:O5)</f>
        <v>14.8</v>
      </c>
      <c r="P6" s="97">
        <f t="shared" si="3"/>
        <v>6.6</v>
      </c>
      <c r="Q6" s="97">
        <f t="shared" si="3"/>
        <v>15.4</v>
      </c>
      <c r="R6" s="97">
        <f t="shared" si="3"/>
        <v>9.1</v>
      </c>
      <c r="S6" s="97">
        <f t="shared" si="3"/>
        <v>9.3000000000000007</v>
      </c>
      <c r="T6" s="97">
        <f t="shared" si="3"/>
        <v>17.3</v>
      </c>
      <c r="U6" s="97">
        <f t="shared" ref="U6:Z6" si="4">AVERAGE(U4:U5)</f>
        <v>12.5</v>
      </c>
      <c r="V6" s="97">
        <f t="shared" si="4"/>
        <v>10.6</v>
      </c>
      <c r="W6" s="97">
        <f t="shared" si="4"/>
        <v>10.8</v>
      </c>
      <c r="X6" s="97">
        <f t="shared" si="4"/>
        <v>14.9</v>
      </c>
      <c r="Y6" s="97">
        <f t="shared" si="4"/>
        <v>14.6</v>
      </c>
      <c r="Z6" s="97">
        <f t="shared" si="4"/>
        <v>5</v>
      </c>
      <c r="AA6" s="97"/>
      <c r="AB6" s="97"/>
      <c r="AC6" s="97"/>
      <c r="AD6" s="97"/>
      <c r="AE6" s="2827">
        <f t="shared" si="0"/>
        <v>12.443125</v>
      </c>
      <c r="AF6" s="133">
        <f t="shared" si="1"/>
        <v>13.100000000000001</v>
      </c>
      <c r="AI6" s="63"/>
      <c r="AJ6" s="41"/>
      <c r="AK6" s="41"/>
    </row>
    <row r="7" spans="1:37" ht="14.25" customHeight="1">
      <c r="A7" s="2909" t="s">
        <v>393</v>
      </c>
      <c r="B7" s="154" t="s">
        <v>101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>
        <v>491</v>
      </c>
      <c r="Y7" s="91">
        <v>782</v>
      </c>
      <c r="Z7" s="91">
        <v>677</v>
      </c>
      <c r="AA7" s="91">
        <v>926</v>
      </c>
      <c r="AB7" s="91">
        <v>759</v>
      </c>
      <c r="AC7" s="91">
        <v>746</v>
      </c>
      <c r="AD7" s="91">
        <v>800</v>
      </c>
      <c r="AE7" s="2827">
        <f>AVERAGE(C7:AD7)</f>
        <v>740.14285714285711</v>
      </c>
      <c r="AF7" s="133">
        <f t="shared" si="1"/>
        <v>752.5</v>
      </c>
      <c r="AI7" s="63"/>
      <c r="AJ7" s="41"/>
      <c r="AK7" s="41"/>
    </row>
    <row r="8" spans="1:37" ht="14.25" customHeight="1">
      <c r="A8" s="2910"/>
      <c r="B8" s="154" t="s">
        <v>238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>
        <v>516</v>
      </c>
      <c r="Y8" s="91">
        <v>721</v>
      </c>
      <c r="Z8" s="91">
        <v>728</v>
      </c>
      <c r="AA8" s="91">
        <v>929</v>
      </c>
      <c r="AB8" s="91">
        <v>799</v>
      </c>
      <c r="AC8" s="91">
        <v>795</v>
      </c>
      <c r="AD8" s="91">
        <v>820</v>
      </c>
      <c r="AE8" s="2827">
        <f>AVERAGE(C8:AD8)</f>
        <v>758.28571428571433</v>
      </c>
      <c r="AF8" s="133">
        <f t="shared" si="1"/>
        <v>761.5</v>
      </c>
      <c r="AI8" s="314"/>
      <c r="AJ8" s="41"/>
      <c r="AK8" s="41"/>
    </row>
    <row r="9" spans="1:37" ht="14.25" customHeight="1">
      <c r="A9" s="2911"/>
      <c r="B9" s="154" t="s">
        <v>100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>
        <f>AVERAGE(X7:X8)</f>
        <v>503.5</v>
      </c>
      <c r="Y9" s="91">
        <f>AVERAGE(Y7:Y8)</f>
        <v>751.5</v>
      </c>
      <c r="Z9" s="91">
        <f>AVERAGE(Z7:Z8)</f>
        <v>702.5</v>
      </c>
      <c r="AA9" s="91">
        <f>AVERAGE(AA7:AA8)</f>
        <v>927.5</v>
      </c>
      <c r="AB9" s="91">
        <f>AVERAGE(AB7:AB8)</f>
        <v>779</v>
      </c>
      <c r="AC9" s="91">
        <v>771</v>
      </c>
      <c r="AD9" s="91">
        <v>810</v>
      </c>
      <c r="AE9" s="2827">
        <f t="shared" si="0"/>
        <v>739.16666666666663</v>
      </c>
      <c r="AF9" s="133">
        <f t="shared" si="1"/>
        <v>761.25</v>
      </c>
      <c r="AI9" s="314"/>
      <c r="AJ9" s="41"/>
      <c r="AK9" s="41"/>
    </row>
    <row r="10" spans="1:37">
      <c r="A10" s="2912" t="s">
        <v>11</v>
      </c>
      <c r="B10" s="96" t="s">
        <v>101</v>
      </c>
      <c r="C10" s="92">
        <v>442</v>
      </c>
      <c r="D10" s="92">
        <v>289</v>
      </c>
      <c r="E10" s="92">
        <v>504</v>
      </c>
      <c r="F10" s="92">
        <v>382</v>
      </c>
      <c r="G10" s="92">
        <v>474</v>
      </c>
      <c r="H10" s="92">
        <v>578</v>
      </c>
      <c r="I10" s="92">
        <v>393</v>
      </c>
      <c r="J10" s="92">
        <v>388</v>
      </c>
      <c r="K10" s="92">
        <v>224</v>
      </c>
      <c r="L10" s="92">
        <v>431</v>
      </c>
      <c r="M10" s="92">
        <v>401</v>
      </c>
      <c r="N10" s="92">
        <v>289</v>
      </c>
      <c r="O10" s="92">
        <v>268</v>
      </c>
      <c r="P10" s="92">
        <v>268</v>
      </c>
      <c r="Q10" s="73">
        <v>193.23769230769227</v>
      </c>
      <c r="R10" s="73">
        <v>158.27857142857144</v>
      </c>
      <c r="S10" s="48">
        <v>221.96199999999999</v>
      </c>
      <c r="T10" s="48">
        <v>233</v>
      </c>
      <c r="U10" s="48">
        <v>291</v>
      </c>
      <c r="V10" s="48">
        <v>287</v>
      </c>
      <c r="W10" s="48">
        <v>158</v>
      </c>
      <c r="X10" s="48">
        <v>165</v>
      </c>
      <c r="Y10" s="48">
        <v>161</v>
      </c>
      <c r="Z10" s="48">
        <v>307</v>
      </c>
      <c r="AA10" s="48">
        <v>377</v>
      </c>
      <c r="AB10" s="48"/>
      <c r="AC10" s="48"/>
      <c r="AD10" s="48"/>
      <c r="AE10" s="2827">
        <f t="shared" si="0"/>
        <v>315.33913054945054</v>
      </c>
      <c r="AF10" s="133">
        <f t="shared" si="1"/>
        <v>289</v>
      </c>
      <c r="AI10" s="191"/>
      <c r="AJ10" s="41"/>
      <c r="AK10" s="41"/>
    </row>
    <row r="11" spans="1:37" ht="13.75" hidden="1" customHeight="1">
      <c r="A11" s="2913"/>
      <c r="B11" s="96" t="s">
        <v>102</v>
      </c>
      <c r="C11" s="92">
        <v>381</v>
      </c>
      <c r="D11" s="92">
        <v>282</v>
      </c>
      <c r="E11" s="92">
        <v>451</v>
      </c>
      <c r="F11" s="92">
        <v>356</v>
      </c>
      <c r="G11" s="92">
        <v>502</v>
      </c>
      <c r="H11" s="92">
        <v>589</v>
      </c>
      <c r="I11" s="92">
        <v>365</v>
      </c>
      <c r="J11" s="92">
        <v>372</v>
      </c>
      <c r="K11" s="92">
        <v>220</v>
      </c>
      <c r="L11" s="92">
        <v>443</v>
      </c>
      <c r="M11" s="92">
        <v>395</v>
      </c>
      <c r="N11" s="92">
        <v>288</v>
      </c>
      <c r="O11" s="92">
        <v>271</v>
      </c>
      <c r="P11" s="92">
        <v>249</v>
      </c>
      <c r="Q11" s="73">
        <v>206.98615384615383</v>
      </c>
      <c r="R11" s="73">
        <v>149.7446153846154</v>
      </c>
      <c r="S11" s="48">
        <v>233.56642857142859</v>
      </c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2827">
        <f t="shared" si="0"/>
        <v>338.48807045895279</v>
      </c>
      <c r="AF11" s="133">
        <f t="shared" si="1"/>
        <v>356</v>
      </c>
      <c r="AI11" s="316"/>
      <c r="AJ11" s="41"/>
      <c r="AK11" s="41"/>
    </row>
    <row r="12" spans="1:37">
      <c r="A12" s="2913"/>
      <c r="B12" s="96" t="s">
        <v>238</v>
      </c>
      <c r="C12" s="92">
        <v>341</v>
      </c>
      <c r="D12" s="92">
        <v>228</v>
      </c>
      <c r="E12" s="92">
        <v>333</v>
      </c>
      <c r="F12" s="92">
        <v>308</v>
      </c>
      <c r="G12" s="92">
        <v>503</v>
      </c>
      <c r="H12" s="92">
        <v>561</v>
      </c>
      <c r="I12" s="92">
        <v>341</v>
      </c>
      <c r="J12" s="92">
        <v>342</v>
      </c>
      <c r="K12" s="92">
        <v>231</v>
      </c>
      <c r="L12" s="92">
        <v>483</v>
      </c>
      <c r="M12" s="92">
        <v>390</v>
      </c>
      <c r="N12" s="92">
        <v>268</v>
      </c>
      <c r="O12" s="92">
        <v>259</v>
      </c>
      <c r="P12" s="92">
        <v>224</v>
      </c>
      <c r="Q12" s="73">
        <v>220.75615384615381</v>
      </c>
      <c r="R12" s="73">
        <v>151.27000000000001</v>
      </c>
      <c r="S12" s="48">
        <v>232.79071428571427</v>
      </c>
      <c r="T12" s="48">
        <v>230</v>
      </c>
      <c r="U12" s="48">
        <v>244</v>
      </c>
      <c r="V12" s="48">
        <v>222</v>
      </c>
      <c r="W12" s="48">
        <v>186</v>
      </c>
      <c r="X12" s="48">
        <v>102</v>
      </c>
      <c r="Y12" s="48">
        <v>144</v>
      </c>
      <c r="Z12" s="48">
        <v>274</v>
      </c>
      <c r="AA12" s="48">
        <v>352</v>
      </c>
      <c r="AB12" s="48"/>
      <c r="AC12" s="48"/>
      <c r="AD12" s="48"/>
      <c r="AE12" s="2827">
        <f t="shared" si="0"/>
        <v>286.83267472527473</v>
      </c>
      <c r="AF12" s="133">
        <f t="shared" si="1"/>
        <v>259</v>
      </c>
      <c r="AI12" s="317"/>
      <c r="AJ12" s="41"/>
      <c r="AK12" s="41"/>
    </row>
    <row r="13" spans="1:37">
      <c r="A13" s="2914"/>
      <c r="B13" s="37" t="s">
        <v>100</v>
      </c>
      <c r="C13" s="98">
        <f t="shared" ref="C13:J13" si="5">AVERAGE(C10:C12)</f>
        <v>388</v>
      </c>
      <c r="D13" s="98">
        <f t="shared" si="5"/>
        <v>266.33333333333331</v>
      </c>
      <c r="E13" s="98">
        <f t="shared" si="5"/>
        <v>429.33333333333331</v>
      </c>
      <c r="F13" s="98">
        <f t="shared" si="5"/>
        <v>348.66666666666669</v>
      </c>
      <c r="G13" s="98">
        <f t="shared" si="5"/>
        <v>493</v>
      </c>
      <c r="H13" s="98">
        <f t="shared" si="5"/>
        <v>576</v>
      </c>
      <c r="I13" s="98">
        <f t="shared" si="5"/>
        <v>366.33333333333331</v>
      </c>
      <c r="J13" s="98">
        <f t="shared" si="5"/>
        <v>367.33333333333331</v>
      </c>
      <c r="K13" s="98">
        <f>AVERAGE(K10:K12)</f>
        <v>225</v>
      </c>
      <c r="L13" s="99">
        <v>441</v>
      </c>
      <c r="M13" s="99">
        <v>387</v>
      </c>
      <c r="N13" s="98">
        <f t="shared" ref="N13:AA13" si="6">AVERAGE(N10:N12)</f>
        <v>281.66666666666669</v>
      </c>
      <c r="O13" s="98">
        <f t="shared" si="6"/>
        <v>266</v>
      </c>
      <c r="P13" s="98">
        <f t="shared" si="6"/>
        <v>247</v>
      </c>
      <c r="Q13" s="98">
        <f t="shared" si="6"/>
        <v>206.99333333333331</v>
      </c>
      <c r="R13" s="98">
        <f t="shared" si="6"/>
        <v>153.09772893772893</v>
      </c>
      <c r="S13" s="98">
        <f t="shared" si="6"/>
        <v>229.4397142857143</v>
      </c>
      <c r="T13" s="98">
        <f t="shared" si="6"/>
        <v>231.5</v>
      </c>
      <c r="U13" s="98">
        <f t="shared" si="6"/>
        <v>267.5</v>
      </c>
      <c r="V13" s="98">
        <f t="shared" si="6"/>
        <v>254.5</v>
      </c>
      <c r="W13" s="98">
        <f t="shared" si="6"/>
        <v>172</v>
      </c>
      <c r="X13" s="98">
        <f t="shared" si="6"/>
        <v>133.5</v>
      </c>
      <c r="Y13" s="98">
        <f t="shared" si="6"/>
        <v>152.5</v>
      </c>
      <c r="Z13" s="98">
        <f t="shared" si="6"/>
        <v>290.5</v>
      </c>
      <c r="AA13" s="98">
        <f t="shared" si="6"/>
        <v>364.5</v>
      </c>
      <c r="AB13" s="98"/>
      <c r="AC13" s="98"/>
      <c r="AD13" s="98"/>
      <c r="AE13" s="2827">
        <f t="shared" si="0"/>
        <v>301.5478977289377</v>
      </c>
      <c r="AF13" s="133">
        <f t="shared" si="1"/>
        <v>267.5</v>
      </c>
      <c r="AI13" s="313"/>
      <c r="AJ13" s="41"/>
      <c r="AK13" s="41"/>
    </row>
    <row r="14" spans="1:37" ht="13.75" customHeight="1">
      <c r="A14" s="2915" t="s">
        <v>12</v>
      </c>
      <c r="B14" s="96" t="s">
        <v>101</v>
      </c>
      <c r="C14" s="95">
        <v>144</v>
      </c>
      <c r="D14" s="95">
        <v>146</v>
      </c>
      <c r="E14" s="95">
        <v>175</v>
      </c>
      <c r="F14" s="95">
        <v>83</v>
      </c>
      <c r="G14" s="95">
        <v>34</v>
      </c>
      <c r="H14" s="95">
        <v>29</v>
      </c>
      <c r="I14" s="95">
        <v>38</v>
      </c>
      <c r="J14" s="95">
        <v>33</v>
      </c>
      <c r="K14" s="95">
        <v>34</v>
      </c>
      <c r="L14" s="95">
        <v>59</v>
      </c>
      <c r="M14" s="95">
        <v>42</v>
      </c>
      <c r="N14" s="95">
        <v>46</v>
      </c>
      <c r="O14" s="95">
        <v>79</v>
      </c>
      <c r="P14" s="95">
        <v>24</v>
      </c>
      <c r="Q14" s="73">
        <v>33.021419788316948</v>
      </c>
      <c r="R14" s="100">
        <f>AVERAGE(A14:Q14)</f>
        <v>66.601427985887796</v>
      </c>
      <c r="S14" s="47">
        <v>29.742840573556929</v>
      </c>
      <c r="T14" s="47">
        <v>39.799999999999997</v>
      </c>
      <c r="U14" s="47">
        <v>34.200000000000003</v>
      </c>
      <c r="V14" s="47">
        <v>28.3</v>
      </c>
      <c r="W14" s="47">
        <v>33.700000000000003</v>
      </c>
      <c r="X14" s="47">
        <v>53.4</v>
      </c>
      <c r="Y14" s="47">
        <v>71.400000000000006</v>
      </c>
      <c r="Z14" s="47">
        <v>25</v>
      </c>
      <c r="AA14" s="47">
        <v>112</v>
      </c>
      <c r="AB14" s="47">
        <v>38.700000000000003</v>
      </c>
      <c r="AC14" s="47">
        <v>33</v>
      </c>
      <c r="AD14" s="47">
        <v>41.4</v>
      </c>
      <c r="AE14" s="2827">
        <f>AVERAGE(C14:AD14)</f>
        <v>57.366631726705791</v>
      </c>
      <c r="AF14" s="133">
        <f t="shared" si="1"/>
        <v>38.700000000000003</v>
      </c>
      <c r="AI14" s="316"/>
      <c r="AJ14" s="41"/>
      <c r="AK14" s="41"/>
    </row>
    <row r="15" spans="1:37" ht="13.75" hidden="1" customHeight="1">
      <c r="A15" s="2916"/>
      <c r="B15" s="96" t="s">
        <v>102</v>
      </c>
      <c r="C15" s="95">
        <v>138</v>
      </c>
      <c r="D15" s="95">
        <v>140</v>
      </c>
      <c r="E15" s="95">
        <v>164</v>
      </c>
      <c r="F15" s="95">
        <v>79</v>
      </c>
      <c r="G15" s="95">
        <v>37</v>
      </c>
      <c r="H15" s="95">
        <v>33</v>
      </c>
      <c r="I15" s="95">
        <v>45</v>
      </c>
      <c r="J15" s="95">
        <v>40</v>
      </c>
      <c r="K15" s="95">
        <v>37</v>
      </c>
      <c r="L15" s="95">
        <v>57</v>
      </c>
      <c r="M15" s="95">
        <v>42</v>
      </c>
      <c r="N15" s="95">
        <v>49</v>
      </c>
      <c r="O15" s="95">
        <v>63</v>
      </c>
      <c r="P15" s="95">
        <v>27</v>
      </c>
      <c r="Q15" s="73">
        <v>34.148239344480501</v>
      </c>
      <c r="R15" s="100">
        <f>AVERAGE(A15:Q15)</f>
        <v>65.676549289632035</v>
      </c>
      <c r="S15" s="47">
        <v>31.47923603241675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2827">
        <f t="shared" si="0"/>
        <v>63.664942627442905</v>
      </c>
      <c r="AF15" s="133">
        <f t="shared" si="1"/>
        <v>45</v>
      </c>
      <c r="AI15" s="63"/>
      <c r="AJ15" s="41"/>
      <c r="AK15" s="41"/>
    </row>
    <row r="16" spans="1:37">
      <c r="A16" s="2916"/>
      <c r="B16" s="96" t="s">
        <v>238</v>
      </c>
      <c r="C16" s="95">
        <v>270</v>
      </c>
      <c r="D16" s="95">
        <v>201</v>
      </c>
      <c r="E16" s="95">
        <v>240</v>
      </c>
      <c r="F16" s="95">
        <v>99</v>
      </c>
      <c r="G16" s="95">
        <v>52</v>
      </c>
      <c r="H16" s="95">
        <v>66</v>
      </c>
      <c r="I16" s="95">
        <v>86</v>
      </c>
      <c r="J16" s="95">
        <v>69</v>
      </c>
      <c r="K16" s="95">
        <v>54</v>
      </c>
      <c r="L16" s="95">
        <v>56</v>
      </c>
      <c r="M16" s="95">
        <v>64</v>
      </c>
      <c r="N16" s="95">
        <v>56</v>
      </c>
      <c r="O16" s="95">
        <v>56</v>
      </c>
      <c r="P16" s="95">
        <v>44</v>
      </c>
      <c r="Q16" s="73">
        <v>47.091899981300472</v>
      </c>
      <c r="R16" s="100">
        <f>AVERAGE(A16:Q16)</f>
        <v>97.33945999875337</v>
      </c>
      <c r="S16" s="47">
        <v>30.821478699787626</v>
      </c>
      <c r="T16" s="47">
        <v>62.2</v>
      </c>
      <c r="U16" s="47">
        <v>35.299999999999997</v>
      </c>
      <c r="V16" s="47">
        <v>38.9</v>
      </c>
      <c r="W16" s="47">
        <v>47.9</v>
      </c>
      <c r="X16" s="47">
        <v>69.8</v>
      </c>
      <c r="Y16" s="47">
        <v>59.8</v>
      </c>
      <c r="Z16" s="47">
        <v>36</v>
      </c>
      <c r="AA16" s="47">
        <v>191</v>
      </c>
      <c r="AB16" s="47">
        <v>92.8</v>
      </c>
      <c r="AC16" s="47">
        <v>57</v>
      </c>
      <c r="AD16" s="47">
        <v>47.9</v>
      </c>
      <c r="AE16" s="2827">
        <f>AVERAGE(C16:AD16)</f>
        <v>83.101887095708648</v>
      </c>
      <c r="AF16" s="133">
        <f t="shared" si="1"/>
        <v>59.8</v>
      </c>
      <c r="AI16" s="63"/>
      <c r="AJ16" s="41"/>
      <c r="AK16" s="41"/>
    </row>
    <row r="17" spans="1:32">
      <c r="A17" s="2917"/>
      <c r="B17" s="37" t="s">
        <v>100</v>
      </c>
      <c r="C17" s="98">
        <f t="shared" ref="C17:J17" si="7">AVERAGE(C14:C16)</f>
        <v>184</v>
      </c>
      <c r="D17" s="98">
        <f t="shared" si="7"/>
        <v>162.33333333333334</v>
      </c>
      <c r="E17" s="98">
        <f t="shared" si="7"/>
        <v>193</v>
      </c>
      <c r="F17" s="98">
        <f t="shared" si="7"/>
        <v>87</v>
      </c>
      <c r="G17" s="98">
        <f t="shared" si="7"/>
        <v>41</v>
      </c>
      <c r="H17" s="98">
        <f t="shared" si="7"/>
        <v>42.666666666666664</v>
      </c>
      <c r="I17" s="98">
        <f t="shared" si="7"/>
        <v>56.333333333333336</v>
      </c>
      <c r="J17" s="98">
        <f t="shared" si="7"/>
        <v>47.333333333333336</v>
      </c>
      <c r="K17" s="98">
        <f>AVERAGE(K14:K16)</f>
        <v>41.666666666666664</v>
      </c>
      <c r="L17" s="99">
        <v>60</v>
      </c>
      <c r="M17" s="99">
        <v>50</v>
      </c>
      <c r="N17" s="98">
        <f t="shared" ref="N17:AC17" si="8">AVERAGE(N14:N16)</f>
        <v>50.333333333333336</v>
      </c>
      <c r="O17" s="98">
        <f t="shared" si="8"/>
        <v>66</v>
      </c>
      <c r="P17" s="98">
        <f t="shared" si="8"/>
        <v>31.666666666666668</v>
      </c>
      <c r="Q17" s="98">
        <f t="shared" si="8"/>
        <v>38.087186371365974</v>
      </c>
      <c r="R17" s="98">
        <f t="shared" si="8"/>
        <v>76.539145758091067</v>
      </c>
      <c r="S17" s="98">
        <f t="shared" si="8"/>
        <v>30.681185101920438</v>
      </c>
      <c r="T17" s="98">
        <f t="shared" si="8"/>
        <v>51</v>
      </c>
      <c r="U17" s="98">
        <f t="shared" si="8"/>
        <v>34.75</v>
      </c>
      <c r="V17" s="98">
        <f t="shared" si="8"/>
        <v>33.6</v>
      </c>
      <c r="W17" s="98">
        <f t="shared" si="8"/>
        <v>40.799999999999997</v>
      </c>
      <c r="X17" s="98">
        <f t="shared" si="8"/>
        <v>61.599999999999994</v>
      </c>
      <c r="Y17" s="98">
        <f t="shared" si="8"/>
        <v>65.599999999999994</v>
      </c>
      <c r="Z17" s="98">
        <f t="shared" si="8"/>
        <v>30.5</v>
      </c>
      <c r="AA17" s="98">
        <f t="shared" si="8"/>
        <v>151.5</v>
      </c>
      <c r="AB17" s="98">
        <f t="shared" si="8"/>
        <v>65.75</v>
      </c>
      <c r="AC17" s="98">
        <f t="shared" si="8"/>
        <v>45</v>
      </c>
      <c r="AD17" s="98">
        <v>44.6</v>
      </c>
      <c r="AE17" s="2827">
        <f t="shared" si="0"/>
        <v>68.101512983878166</v>
      </c>
      <c r="AF17" s="133">
        <f t="shared" si="1"/>
        <v>50.333333333333336</v>
      </c>
    </row>
    <row r="18" spans="1:32">
      <c r="A18" s="2915" t="s">
        <v>13</v>
      </c>
      <c r="B18" s="96" t="s">
        <v>101</v>
      </c>
      <c r="C18" s="95">
        <v>6</v>
      </c>
      <c r="D18" s="95">
        <v>7</v>
      </c>
      <c r="E18" s="95">
        <v>4</v>
      </c>
      <c r="F18" s="95">
        <v>9</v>
      </c>
      <c r="G18" s="95">
        <v>6</v>
      </c>
      <c r="H18" s="95">
        <v>4</v>
      </c>
      <c r="I18" s="95">
        <v>12</v>
      </c>
      <c r="J18" s="95">
        <v>6</v>
      </c>
      <c r="K18" s="95">
        <v>7</v>
      </c>
      <c r="L18" s="95">
        <v>6</v>
      </c>
      <c r="M18" s="95">
        <v>7</v>
      </c>
      <c r="N18" s="95">
        <v>5</v>
      </c>
      <c r="O18" s="95">
        <v>7</v>
      </c>
      <c r="P18" s="95">
        <v>3</v>
      </c>
      <c r="Q18" s="38">
        <v>5.4026666666666667</v>
      </c>
      <c r="R18" s="101">
        <f>AVERAGE(A18:Q18)</f>
        <v>6.2935111111111111</v>
      </c>
      <c r="S18" s="47">
        <v>5.7373968253968224</v>
      </c>
      <c r="T18" s="47">
        <v>11.2</v>
      </c>
      <c r="U18" s="47">
        <v>6.9</v>
      </c>
      <c r="V18" s="47">
        <v>7.3</v>
      </c>
      <c r="W18" s="47">
        <v>6.2</v>
      </c>
      <c r="X18" s="47">
        <v>6.4</v>
      </c>
      <c r="Y18" s="47">
        <v>7.1</v>
      </c>
      <c r="Z18" s="47">
        <v>5</v>
      </c>
      <c r="AA18" s="47">
        <v>8</v>
      </c>
      <c r="AB18" s="47"/>
      <c r="AC18" s="47"/>
      <c r="AD18" s="47"/>
      <c r="AE18" s="2827">
        <f t="shared" si="0"/>
        <v>6.5813429841269837</v>
      </c>
      <c r="AF18" s="133">
        <f t="shared" si="1"/>
        <v>6.2935111111111111</v>
      </c>
    </row>
    <row r="19" spans="1:32" hidden="1">
      <c r="A19" s="2916"/>
      <c r="B19" s="96" t="s">
        <v>102</v>
      </c>
      <c r="C19" s="95">
        <v>8</v>
      </c>
      <c r="D19" s="95">
        <v>6</v>
      </c>
      <c r="E19" s="95">
        <v>6</v>
      </c>
      <c r="F19" s="95">
        <v>8</v>
      </c>
      <c r="G19" s="95">
        <v>7</v>
      </c>
      <c r="H19" s="95">
        <v>4</v>
      </c>
      <c r="I19" s="95">
        <v>15</v>
      </c>
      <c r="J19" s="95">
        <v>8</v>
      </c>
      <c r="K19" s="95">
        <v>9</v>
      </c>
      <c r="L19" s="95">
        <v>5</v>
      </c>
      <c r="M19" s="95">
        <v>7</v>
      </c>
      <c r="N19" s="95">
        <v>5</v>
      </c>
      <c r="O19" s="95">
        <v>6</v>
      </c>
      <c r="P19" s="95">
        <v>5</v>
      </c>
      <c r="Q19" s="38">
        <v>6.2253333333333343</v>
      </c>
      <c r="R19" s="101">
        <f>AVERAGE(A19:Q19)</f>
        <v>7.0150222222222229</v>
      </c>
      <c r="S19" s="47">
        <v>5.7020506912442395</v>
      </c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2827">
        <f t="shared" si="0"/>
        <v>6.9377886027529296</v>
      </c>
      <c r="AF19" s="133">
        <f t="shared" si="1"/>
        <v>6.2253333333333343</v>
      </c>
    </row>
    <row r="20" spans="1:32">
      <c r="A20" s="2916"/>
      <c r="B20" s="96" t="s">
        <v>238</v>
      </c>
      <c r="C20" s="95">
        <v>19</v>
      </c>
      <c r="D20" s="95">
        <v>8</v>
      </c>
      <c r="E20" s="95">
        <v>5</v>
      </c>
      <c r="F20" s="95">
        <v>9</v>
      </c>
      <c r="G20" s="95">
        <v>13</v>
      </c>
      <c r="H20" s="95">
        <v>7</v>
      </c>
      <c r="I20" s="95">
        <v>22</v>
      </c>
      <c r="J20" s="95">
        <v>12</v>
      </c>
      <c r="K20" s="95">
        <v>12</v>
      </c>
      <c r="L20" s="95">
        <v>8</v>
      </c>
      <c r="M20" s="95">
        <v>10</v>
      </c>
      <c r="N20" s="95">
        <v>5</v>
      </c>
      <c r="O20" s="95">
        <v>8</v>
      </c>
      <c r="P20" s="95">
        <v>9</v>
      </c>
      <c r="Q20" s="38">
        <v>7.4459215686274529</v>
      </c>
      <c r="R20" s="101">
        <f>AVERAGE(A20:Q20)</f>
        <v>10.296394771241831</v>
      </c>
      <c r="S20" s="47">
        <v>6.033309794757165</v>
      </c>
      <c r="T20" s="47">
        <v>20.9</v>
      </c>
      <c r="U20" s="47">
        <v>10</v>
      </c>
      <c r="V20" s="47">
        <v>8.9</v>
      </c>
      <c r="W20" s="47">
        <v>10.5</v>
      </c>
      <c r="X20" s="47">
        <v>13.4</v>
      </c>
      <c r="Y20" s="47">
        <v>10.7</v>
      </c>
      <c r="Z20" s="47">
        <v>10</v>
      </c>
      <c r="AA20" s="47">
        <v>17</v>
      </c>
      <c r="AB20" s="47"/>
      <c r="AC20" s="47"/>
      <c r="AD20" s="47"/>
      <c r="AE20" s="2827">
        <f t="shared" si="0"/>
        <v>10.887025045385057</v>
      </c>
      <c r="AF20" s="133">
        <f t="shared" si="1"/>
        <v>10</v>
      </c>
    </row>
    <row r="21" spans="1:32">
      <c r="A21" s="2917"/>
      <c r="B21" s="37" t="s">
        <v>100</v>
      </c>
      <c r="C21" s="98">
        <f t="shared" ref="C21:J21" si="9">AVERAGE(C18:C20)</f>
        <v>11</v>
      </c>
      <c r="D21" s="98">
        <f t="shared" si="9"/>
        <v>7</v>
      </c>
      <c r="E21" s="98">
        <f t="shared" si="9"/>
        <v>5</v>
      </c>
      <c r="F21" s="98">
        <f t="shared" si="9"/>
        <v>8.6666666666666661</v>
      </c>
      <c r="G21" s="98">
        <f t="shared" si="9"/>
        <v>8.6666666666666661</v>
      </c>
      <c r="H21" s="98">
        <f t="shared" si="9"/>
        <v>5</v>
      </c>
      <c r="I21" s="98">
        <f t="shared" si="9"/>
        <v>16.333333333333332</v>
      </c>
      <c r="J21" s="98">
        <f t="shared" si="9"/>
        <v>8.6666666666666661</v>
      </c>
      <c r="K21" s="98">
        <f>AVERAGE(K18:K20)</f>
        <v>9.3333333333333339</v>
      </c>
      <c r="L21" s="99">
        <v>6.4</v>
      </c>
      <c r="M21" s="99">
        <v>8</v>
      </c>
      <c r="N21" s="99">
        <f t="shared" ref="N21:AA21" si="10">AVERAGE(N18:N20)</f>
        <v>5</v>
      </c>
      <c r="O21" s="99">
        <f t="shared" si="10"/>
        <v>7</v>
      </c>
      <c r="P21" s="98">
        <f t="shared" si="10"/>
        <v>5.666666666666667</v>
      </c>
      <c r="Q21" s="98">
        <f t="shared" si="10"/>
        <v>6.3579738562091519</v>
      </c>
      <c r="R21" s="98">
        <f t="shared" si="10"/>
        <v>7.8683093681917216</v>
      </c>
      <c r="S21" s="98">
        <f t="shared" si="10"/>
        <v>5.824252437132742</v>
      </c>
      <c r="T21" s="98">
        <f t="shared" si="10"/>
        <v>16.049999999999997</v>
      </c>
      <c r="U21" s="98">
        <f t="shared" si="10"/>
        <v>8.4499999999999993</v>
      </c>
      <c r="V21" s="98">
        <f t="shared" si="10"/>
        <v>8.1</v>
      </c>
      <c r="W21" s="98">
        <f t="shared" si="10"/>
        <v>8.35</v>
      </c>
      <c r="X21" s="98">
        <f t="shared" si="10"/>
        <v>9.9</v>
      </c>
      <c r="Y21" s="98">
        <f t="shared" si="10"/>
        <v>8.8999999999999986</v>
      </c>
      <c r="Z21" s="98">
        <f t="shared" si="10"/>
        <v>7.5</v>
      </c>
      <c r="AA21" s="98">
        <f t="shared" si="10"/>
        <v>12.5</v>
      </c>
      <c r="AB21" s="98"/>
      <c r="AC21" s="98"/>
      <c r="AD21" s="98"/>
      <c r="AE21" s="2827">
        <f t="shared" si="0"/>
        <v>8.4613547597946788</v>
      </c>
      <c r="AF21" s="133">
        <f t="shared" si="1"/>
        <v>8.1</v>
      </c>
    </row>
    <row r="22" spans="1:32" ht="15">
      <c r="A22" s="11" t="s">
        <v>14</v>
      </c>
      <c r="B22" s="96" t="s">
        <v>101</v>
      </c>
      <c r="C22" s="95">
        <v>2.17</v>
      </c>
      <c r="D22" s="95">
        <v>2.1</v>
      </c>
      <c r="E22" s="95">
        <v>2.84</v>
      </c>
      <c r="F22" s="95">
        <v>1.79</v>
      </c>
      <c r="G22" s="95">
        <v>2.14</v>
      </c>
      <c r="H22" s="95">
        <v>2.5099999999999998</v>
      </c>
      <c r="I22" s="95">
        <v>1.7</v>
      </c>
      <c r="J22" s="95">
        <v>1.8</v>
      </c>
      <c r="K22" s="95">
        <v>1.8</v>
      </c>
      <c r="L22" s="95">
        <v>2.4</v>
      </c>
      <c r="M22" s="95">
        <v>2.2999999999999998</v>
      </c>
      <c r="N22" s="95">
        <v>3</v>
      </c>
      <c r="O22" s="95">
        <v>1.7</v>
      </c>
      <c r="P22" s="95">
        <v>2.6</v>
      </c>
      <c r="Q22" s="74">
        <v>2.0656249999999998</v>
      </c>
      <c r="R22" s="74">
        <v>2.4</v>
      </c>
      <c r="S22" s="74">
        <v>1.7</v>
      </c>
      <c r="T22" s="74">
        <v>2.4</v>
      </c>
      <c r="U22" s="74">
        <v>2.7</v>
      </c>
      <c r="V22" s="74">
        <v>1.7</v>
      </c>
      <c r="W22" s="74">
        <v>2.2000000000000002</v>
      </c>
      <c r="X22" s="74">
        <v>2.1800000000000002</v>
      </c>
      <c r="Y22" s="74">
        <v>1.86</v>
      </c>
      <c r="Z22" s="74">
        <v>1.98</v>
      </c>
      <c r="AA22" s="74">
        <v>1.17</v>
      </c>
      <c r="AB22" s="74">
        <v>1.22</v>
      </c>
      <c r="AC22" s="74">
        <v>2.17</v>
      </c>
      <c r="AD22" s="74">
        <v>1.54</v>
      </c>
      <c r="AE22" s="2827">
        <f>AVERAGE(C22:AD22)</f>
        <v>2.0762723214285717</v>
      </c>
      <c r="AF22" s="133">
        <f t="shared" si="1"/>
        <v>2.14</v>
      </c>
    </row>
    <row r="34" ht="13.75" customHeight="1"/>
    <row r="75" spans="1:5" ht="26">
      <c r="A75" s="182" t="s">
        <v>8</v>
      </c>
      <c r="B75" s="181"/>
      <c r="C75" s="226">
        <v>2013</v>
      </c>
      <c r="D75" s="10" t="s">
        <v>519</v>
      </c>
      <c r="E75" s="140" t="s">
        <v>520</v>
      </c>
    </row>
    <row r="76" spans="1:5" ht="29.25" customHeight="1">
      <c r="A76" s="180" t="s">
        <v>10</v>
      </c>
      <c r="B76" s="234" t="s">
        <v>101</v>
      </c>
      <c r="C76" s="135">
        <v>14.6</v>
      </c>
      <c r="D76" s="238">
        <v>14.466956521739133</v>
      </c>
      <c r="E76" s="135">
        <v>14.6</v>
      </c>
    </row>
    <row r="77" spans="1:5" ht="13.75" customHeight="1">
      <c r="A77" s="2909" t="s">
        <v>393</v>
      </c>
      <c r="B77" s="154" t="s">
        <v>101</v>
      </c>
      <c r="C77" s="135">
        <v>782</v>
      </c>
      <c r="D77" s="238">
        <v>636.5</v>
      </c>
      <c r="E77" s="135">
        <v>636.5</v>
      </c>
    </row>
    <row r="78" spans="1:5">
      <c r="A78" s="2910"/>
      <c r="B78" s="154" t="s">
        <v>238</v>
      </c>
      <c r="C78" s="135">
        <v>721</v>
      </c>
      <c r="D78" s="238">
        <v>618.5</v>
      </c>
      <c r="E78" s="135">
        <v>618.5</v>
      </c>
    </row>
    <row r="79" spans="1:5">
      <c r="A79" s="2911"/>
      <c r="B79" s="154" t="s">
        <v>100</v>
      </c>
      <c r="C79" s="135">
        <v>751.5</v>
      </c>
      <c r="D79" s="238">
        <v>627.5</v>
      </c>
      <c r="E79" s="135">
        <v>627.5</v>
      </c>
    </row>
    <row r="80" spans="1:5" ht="13.75" customHeight="1">
      <c r="A80" s="2912" t="s">
        <v>11</v>
      </c>
      <c r="B80" s="234" t="s">
        <v>101</v>
      </c>
      <c r="C80" s="100">
        <v>161</v>
      </c>
      <c r="D80" s="238">
        <v>313.02079407548973</v>
      </c>
      <c r="E80" s="135">
        <v>289</v>
      </c>
    </row>
    <row r="81" spans="1:12">
      <c r="A81" s="2913"/>
      <c r="B81" s="234" t="s">
        <v>238</v>
      </c>
      <c r="C81" s="100">
        <v>144</v>
      </c>
      <c r="D81" s="238">
        <v>284.55725513616818</v>
      </c>
      <c r="E81" s="135">
        <v>244</v>
      </c>
    </row>
    <row r="82" spans="1:12">
      <c r="A82" s="2914"/>
      <c r="B82" s="154" t="s">
        <v>100</v>
      </c>
      <c r="C82" s="135">
        <v>152.5</v>
      </c>
      <c r="D82" s="238">
        <v>299.29119318362797</v>
      </c>
      <c r="E82" s="135">
        <v>266.33333333333331</v>
      </c>
    </row>
    <row r="83" spans="1:12" ht="13.75" customHeight="1">
      <c r="A83" s="2915" t="s">
        <v>12</v>
      </c>
      <c r="B83" s="234" t="s">
        <v>101</v>
      </c>
      <c r="C83" s="100">
        <v>71.400000000000006</v>
      </c>
      <c r="D83" s="238">
        <v>58.963725580337474</v>
      </c>
      <c r="E83" s="135">
        <v>39.799999999999997</v>
      </c>
    </row>
    <row r="84" spans="1:12">
      <c r="A84" s="2916"/>
      <c r="B84" s="234" t="s">
        <v>238</v>
      </c>
      <c r="C84" s="100">
        <v>59.8</v>
      </c>
      <c r="D84" s="238">
        <v>82.702297333906159</v>
      </c>
      <c r="E84" s="135">
        <v>59.8</v>
      </c>
    </row>
    <row r="85" spans="1:12">
      <c r="A85" s="2917"/>
      <c r="B85" s="154" t="s">
        <v>100</v>
      </c>
      <c r="C85" s="135">
        <v>65.599999999999994</v>
      </c>
      <c r="D85" s="238">
        <v>67.216993502813509</v>
      </c>
      <c r="E85" s="135">
        <v>50.333333333333336</v>
      </c>
    </row>
    <row r="86" spans="1:12" ht="13.75" customHeight="1">
      <c r="A86" s="2915" t="s">
        <v>13</v>
      </c>
      <c r="B86" s="234" t="s">
        <v>101</v>
      </c>
      <c r="C86" s="100">
        <v>7.1</v>
      </c>
      <c r="D86" s="238">
        <v>6.5884162870945477</v>
      </c>
      <c r="E86" s="135">
        <v>6.2935111111111111</v>
      </c>
    </row>
    <row r="87" spans="1:12">
      <c r="A87" s="2916"/>
      <c r="B87" s="234" t="s">
        <v>238</v>
      </c>
      <c r="C87" s="100">
        <v>10.7</v>
      </c>
      <c r="D87" s="238">
        <v>10.659809831940281</v>
      </c>
      <c r="E87" s="135">
        <v>10</v>
      </c>
    </row>
    <row r="88" spans="1:12">
      <c r="A88" s="2917"/>
      <c r="B88" s="154" t="s">
        <v>100</v>
      </c>
      <c r="C88" s="135">
        <v>8.8999999999999986</v>
      </c>
      <c r="D88" s="238">
        <v>8.3275595215159548</v>
      </c>
      <c r="E88" s="135">
        <v>8.1</v>
      </c>
    </row>
    <row r="89" spans="1:12">
      <c r="A89" s="11" t="s">
        <v>14</v>
      </c>
      <c r="B89" s="234" t="s">
        <v>101</v>
      </c>
      <c r="C89" s="135">
        <v>1.86</v>
      </c>
      <c r="D89" s="238">
        <v>2.1763315217391308</v>
      </c>
      <c r="E89" s="135">
        <v>2.17</v>
      </c>
    </row>
    <row r="90" spans="1:12">
      <c r="B90" s="9"/>
      <c r="C90" s="235"/>
      <c r="D90" s="236"/>
      <c r="E90" s="237"/>
    </row>
    <row r="91" spans="1:12" ht="23">
      <c r="A91" s="376" t="s">
        <v>8</v>
      </c>
      <c r="B91" s="377"/>
      <c r="C91" s="375">
        <v>2014</v>
      </c>
      <c r="D91" s="376" t="s">
        <v>693</v>
      </c>
      <c r="E91" s="378" t="s">
        <v>694</v>
      </c>
      <c r="H91" s="41"/>
      <c r="I91" s="41"/>
      <c r="J91" s="41"/>
      <c r="K91" s="374"/>
      <c r="L91" s="372"/>
    </row>
    <row r="92" spans="1:12">
      <c r="A92" s="357" t="s">
        <v>10</v>
      </c>
      <c r="B92" s="234" t="s">
        <v>101</v>
      </c>
      <c r="C92" s="40">
        <v>5</v>
      </c>
      <c r="D92" s="40">
        <v>14.072500000000003</v>
      </c>
      <c r="E92" s="40">
        <v>14.6</v>
      </c>
      <c r="H92" s="41"/>
      <c r="I92" s="41"/>
      <c r="J92" s="41"/>
      <c r="K92" s="374"/>
      <c r="L92" s="372"/>
    </row>
    <row r="93" spans="1:12">
      <c r="A93" s="2909" t="s">
        <v>393</v>
      </c>
      <c r="B93" s="154" t="s">
        <v>101</v>
      </c>
      <c r="C93" s="40">
        <v>677</v>
      </c>
      <c r="D93" s="40">
        <v>636.5</v>
      </c>
      <c r="E93" s="40">
        <v>636.5</v>
      </c>
      <c r="H93" s="41"/>
      <c r="I93" s="41"/>
      <c r="J93" s="41"/>
      <c r="K93" s="374"/>
      <c r="L93" s="371"/>
    </row>
    <row r="94" spans="1:12">
      <c r="A94" s="2910"/>
      <c r="B94" s="154" t="s">
        <v>238</v>
      </c>
      <c r="C94" s="40">
        <v>728</v>
      </c>
      <c r="D94" s="40">
        <v>618.5</v>
      </c>
      <c r="E94" s="40">
        <v>618.5</v>
      </c>
      <c r="H94" s="41"/>
      <c r="I94" s="41"/>
      <c r="J94" s="41"/>
      <c r="K94" s="374"/>
      <c r="L94" s="371"/>
    </row>
    <row r="95" spans="1:12">
      <c r="A95" s="2911"/>
      <c r="B95" s="154" t="s">
        <v>100</v>
      </c>
      <c r="C95" s="40">
        <v>702.5</v>
      </c>
      <c r="D95" s="40">
        <v>627.5</v>
      </c>
      <c r="E95" s="40">
        <v>627.5</v>
      </c>
      <c r="H95" s="41"/>
      <c r="I95" s="41"/>
      <c r="J95" s="41"/>
      <c r="K95" s="374"/>
      <c r="L95" s="371"/>
    </row>
    <row r="96" spans="1:12">
      <c r="A96" s="2912" t="s">
        <v>11</v>
      </c>
      <c r="B96" s="234" t="s">
        <v>101</v>
      </c>
      <c r="C96" s="40">
        <v>307</v>
      </c>
      <c r="D96" s="40">
        <v>312.76992765567769</v>
      </c>
      <c r="E96" s="40">
        <v>289</v>
      </c>
      <c r="H96" s="41"/>
      <c r="I96" s="41"/>
      <c r="J96" s="41"/>
      <c r="K96" s="374"/>
      <c r="L96" s="371"/>
    </row>
    <row r="97" spans="1:12">
      <c r="A97" s="2913"/>
      <c r="B97" s="234" t="s">
        <v>238</v>
      </c>
      <c r="C97" s="40">
        <v>274</v>
      </c>
      <c r="D97" s="40">
        <v>284.11736950549454</v>
      </c>
      <c r="E97" s="40">
        <v>244</v>
      </c>
      <c r="H97" s="41"/>
      <c r="I97" s="41"/>
      <c r="J97" s="41"/>
      <c r="K97" s="374"/>
      <c r="L97" s="372"/>
    </row>
    <row r="98" spans="1:12">
      <c r="A98" s="2914"/>
      <c r="B98" s="154" t="s">
        <v>100</v>
      </c>
      <c r="C98" s="40">
        <v>290.5</v>
      </c>
      <c r="D98" s="40">
        <v>299.29119318362797</v>
      </c>
      <c r="E98" s="40">
        <v>266.33333333333331</v>
      </c>
      <c r="H98" s="41"/>
      <c r="I98" s="41"/>
      <c r="J98" s="41"/>
      <c r="K98" s="374"/>
      <c r="L98" s="372"/>
    </row>
    <row r="99" spans="1:12">
      <c r="A99" s="2915" t="s">
        <v>12</v>
      </c>
      <c r="B99" s="234" t="s">
        <v>101</v>
      </c>
      <c r="C99" s="40">
        <v>25</v>
      </c>
      <c r="D99" s="40">
        <v>57.548570347823414</v>
      </c>
      <c r="E99" s="40">
        <v>39.799999999999997</v>
      </c>
      <c r="H99" s="41"/>
      <c r="I99" s="41"/>
      <c r="J99" s="41"/>
      <c r="K99" s="374"/>
      <c r="L99" s="372"/>
    </row>
    <row r="100" spans="1:12">
      <c r="A100" s="2916"/>
      <c r="B100" s="234" t="s">
        <v>238</v>
      </c>
      <c r="C100" s="40">
        <v>36</v>
      </c>
      <c r="D100" s="40">
        <v>80.756368278326732</v>
      </c>
      <c r="E100" s="40">
        <v>59.8</v>
      </c>
      <c r="H100" s="41"/>
      <c r="I100" s="41"/>
      <c r="J100" s="41"/>
      <c r="K100" s="374"/>
      <c r="L100" s="371"/>
    </row>
    <row r="101" spans="1:12">
      <c r="A101" s="2917"/>
      <c r="B101" s="154" t="s">
        <v>100</v>
      </c>
      <c r="C101" s="40">
        <v>30.5</v>
      </c>
      <c r="D101" s="40">
        <v>67.216993502813509</v>
      </c>
      <c r="E101" s="40">
        <v>50.333333333333336</v>
      </c>
      <c r="H101" s="41"/>
      <c r="I101" s="41"/>
      <c r="J101" s="41"/>
      <c r="K101" s="374"/>
      <c r="L101" s="372"/>
    </row>
    <row r="102" spans="1:12">
      <c r="A102" s="2915" t="s">
        <v>13</v>
      </c>
      <c r="B102" s="234" t="s">
        <v>101</v>
      </c>
      <c r="C102" s="40">
        <v>5</v>
      </c>
      <c r="D102" s="40">
        <v>6.522232275132275</v>
      </c>
      <c r="E102" s="40">
        <v>6.2935111111111111</v>
      </c>
      <c r="H102" s="41"/>
      <c r="I102" s="41"/>
      <c r="J102" s="41"/>
      <c r="K102" s="374"/>
      <c r="L102" s="372"/>
    </row>
    <row r="103" spans="1:12">
      <c r="A103" s="2916"/>
      <c r="B103" s="234" t="s">
        <v>238</v>
      </c>
      <c r="C103" s="40">
        <v>10</v>
      </c>
      <c r="D103" s="40">
        <v>10.632317755609437</v>
      </c>
      <c r="E103" s="40">
        <v>10</v>
      </c>
      <c r="H103" s="41"/>
      <c r="I103" s="41"/>
      <c r="J103" s="41"/>
      <c r="K103" s="374"/>
      <c r="L103" s="372"/>
    </row>
    <row r="104" spans="1:12">
      <c r="A104" s="2917"/>
      <c r="B104" s="154" t="s">
        <v>100</v>
      </c>
      <c r="C104" s="40">
        <v>7.5</v>
      </c>
      <c r="D104" s="40">
        <v>8.3275595215159548</v>
      </c>
      <c r="E104" s="40">
        <v>8.1</v>
      </c>
      <c r="H104" s="41"/>
      <c r="I104" s="41"/>
      <c r="J104" s="41"/>
      <c r="K104" s="374"/>
      <c r="L104" s="371"/>
    </row>
    <row r="105" spans="1:12">
      <c r="A105" s="11" t="s">
        <v>14</v>
      </c>
      <c r="B105" s="234" t="s">
        <v>101</v>
      </c>
      <c r="C105" s="40">
        <v>2</v>
      </c>
      <c r="D105" s="295">
        <v>2.1763315217391308</v>
      </c>
      <c r="E105" s="295">
        <v>2.17</v>
      </c>
      <c r="H105" s="41"/>
      <c r="I105" s="41"/>
      <c r="J105" s="41"/>
      <c r="K105" s="374"/>
      <c r="L105" s="372"/>
    </row>
    <row r="106" spans="1:12">
      <c r="H106" s="41"/>
      <c r="I106" s="41"/>
      <c r="J106" s="41"/>
      <c r="K106" s="374"/>
      <c r="L106" s="372"/>
    </row>
    <row r="107" spans="1:12" ht="23">
      <c r="A107" s="544" t="s">
        <v>8</v>
      </c>
      <c r="B107" s="545"/>
      <c r="C107" s="546">
        <v>2015</v>
      </c>
      <c r="D107" s="547" t="s">
        <v>701</v>
      </c>
      <c r="E107" s="547" t="s">
        <v>702</v>
      </c>
      <c r="H107" s="41"/>
      <c r="I107" s="41"/>
      <c r="J107" s="41"/>
      <c r="K107" s="374"/>
      <c r="L107" s="372"/>
    </row>
    <row r="108" spans="1:12" ht="18.649999999999999" customHeight="1">
      <c r="A108" s="528" t="s">
        <v>10</v>
      </c>
      <c r="B108" s="548" t="s">
        <v>101</v>
      </c>
      <c r="C108" s="295">
        <v>13.2</v>
      </c>
      <c r="D108" s="295">
        <v>14.037600000000003</v>
      </c>
      <c r="E108" s="295">
        <v>14.6</v>
      </c>
      <c r="H108" s="41"/>
      <c r="I108" s="41"/>
      <c r="J108" s="41"/>
      <c r="K108" s="374"/>
      <c r="L108" s="371"/>
    </row>
    <row r="109" spans="1:12">
      <c r="A109" s="2909" t="s">
        <v>393</v>
      </c>
      <c r="B109" s="549" t="s">
        <v>101</v>
      </c>
      <c r="C109" s="40">
        <v>926</v>
      </c>
      <c r="D109" s="40">
        <v>636.5</v>
      </c>
      <c r="E109" s="40">
        <v>636.5</v>
      </c>
      <c r="H109" s="41"/>
      <c r="I109" s="41"/>
      <c r="J109" s="41"/>
      <c r="K109" s="373"/>
      <c r="L109" s="372"/>
    </row>
    <row r="110" spans="1:12">
      <c r="A110" s="2910"/>
      <c r="B110" s="549" t="s">
        <v>238</v>
      </c>
      <c r="C110" s="40">
        <v>929</v>
      </c>
      <c r="D110" s="40">
        <v>618.5</v>
      </c>
      <c r="E110" s="40">
        <v>618.5</v>
      </c>
    </row>
    <row r="111" spans="1:12">
      <c r="A111" s="2911"/>
      <c r="B111" s="549" t="s">
        <v>100</v>
      </c>
      <c r="C111" s="40">
        <v>927.5</v>
      </c>
      <c r="D111" s="40">
        <v>627.5</v>
      </c>
      <c r="E111" s="40">
        <v>627.5</v>
      </c>
    </row>
    <row r="112" spans="1:12">
      <c r="A112" s="2912" t="s">
        <v>11</v>
      </c>
      <c r="B112" s="548" t="s">
        <v>101</v>
      </c>
      <c r="C112" s="40">
        <v>377</v>
      </c>
      <c r="D112" s="40">
        <v>315.33913054945054</v>
      </c>
      <c r="E112" s="40">
        <v>289</v>
      </c>
    </row>
    <row r="113" spans="1:5">
      <c r="A113" s="2913"/>
      <c r="B113" s="548" t="s">
        <v>238</v>
      </c>
      <c r="C113" s="40">
        <v>352</v>
      </c>
      <c r="D113" s="40">
        <v>286.83267472527473</v>
      </c>
      <c r="E113" s="40">
        <v>244</v>
      </c>
    </row>
    <row r="114" spans="1:5">
      <c r="A114" s="2914"/>
      <c r="B114" s="549" t="s">
        <v>100</v>
      </c>
      <c r="C114" s="40">
        <v>364.5</v>
      </c>
      <c r="D114" s="40">
        <v>299.29119318362797</v>
      </c>
      <c r="E114" s="40">
        <v>266.33333333333331</v>
      </c>
    </row>
    <row r="115" spans="1:5">
      <c r="A115" s="2915" t="s">
        <v>12</v>
      </c>
      <c r="B115" s="548" t="s">
        <v>101</v>
      </c>
      <c r="C115" s="40">
        <v>112</v>
      </c>
      <c r="D115" s="40">
        <v>59.726627533910481</v>
      </c>
      <c r="E115" s="40">
        <v>39.799999999999997</v>
      </c>
    </row>
    <row r="116" spans="1:5">
      <c r="A116" s="2916"/>
      <c r="B116" s="548" t="s">
        <v>238</v>
      </c>
      <c r="C116" s="40">
        <v>191</v>
      </c>
      <c r="D116" s="40">
        <v>85.166113547193675</v>
      </c>
      <c r="E116" s="40">
        <v>59.8</v>
      </c>
    </row>
    <row r="117" spans="1:5">
      <c r="A117" s="2917"/>
      <c r="B117" s="549" t="s">
        <v>100</v>
      </c>
      <c r="C117" s="40">
        <v>151.5</v>
      </c>
      <c r="D117" s="40">
        <v>67.216993502813509</v>
      </c>
      <c r="E117" s="40">
        <v>50.333333333333336</v>
      </c>
    </row>
    <row r="118" spans="1:5">
      <c r="A118" s="2915" t="s">
        <v>13</v>
      </c>
      <c r="B118" s="548" t="s">
        <v>101</v>
      </c>
      <c r="C118" s="40">
        <v>8</v>
      </c>
      <c r="D118" s="40">
        <v>6.5813429841269837</v>
      </c>
      <c r="E118" s="40">
        <v>6.2935111111111111</v>
      </c>
    </row>
    <row r="119" spans="1:5">
      <c r="A119" s="2916"/>
      <c r="B119" s="548" t="s">
        <v>238</v>
      </c>
      <c r="C119" s="40">
        <v>17</v>
      </c>
      <c r="D119" s="40">
        <v>10.887025045385057</v>
      </c>
      <c r="E119" s="40">
        <v>10</v>
      </c>
    </row>
    <row r="120" spans="1:5">
      <c r="A120" s="2917"/>
      <c r="B120" s="549" t="s">
        <v>100</v>
      </c>
      <c r="C120" s="40">
        <v>12.5</v>
      </c>
      <c r="D120" s="40">
        <v>8.3275595215159548</v>
      </c>
      <c r="E120" s="40">
        <v>8.1</v>
      </c>
    </row>
    <row r="121" spans="1:5">
      <c r="A121" s="11" t="s">
        <v>14</v>
      </c>
      <c r="B121" s="548" t="s">
        <v>101</v>
      </c>
      <c r="C121" s="295">
        <v>1.17</v>
      </c>
      <c r="D121" s="295">
        <v>2.128225</v>
      </c>
      <c r="E121" s="295">
        <v>2.17</v>
      </c>
    </row>
    <row r="123" spans="1:5" ht="23">
      <c r="A123" s="544" t="s">
        <v>8</v>
      </c>
      <c r="B123" s="545"/>
      <c r="C123" s="546">
        <v>2016</v>
      </c>
      <c r="D123" s="547" t="s">
        <v>932</v>
      </c>
      <c r="E123" s="547" t="s">
        <v>933</v>
      </c>
    </row>
    <row r="124" spans="1:5">
      <c r="A124" s="590" t="s">
        <v>10</v>
      </c>
      <c r="B124" s="548" t="s">
        <v>101</v>
      </c>
      <c r="C124" s="767">
        <v>10.1</v>
      </c>
      <c r="D124" s="767">
        <v>12.506639344262295</v>
      </c>
      <c r="E124" s="767">
        <v>13.465</v>
      </c>
    </row>
    <row r="125" spans="1:5">
      <c r="A125" s="2909" t="s">
        <v>393</v>
      </c>
      <c r="B125" s="549" t="s">
        <v>101</v>
      </c>
      <c r="C125" s="768">
        <v>759</v>
      </c>
      <c r="D125" s="768">
        <v>732.8</v>
      </c>
      <c r="E125" s="768">
        <v>759</v>
      </c>
    </row>
    <row r="126" spans="1:5">
      <c r="A126" s="2910"/>
      <c r="B126" s="549" t="s">
        <v>238</v>
      </c>
      <c r="C126" s="768">
        <v>799</v>
      </c>
      <c r="D126" s="768">
        <v>435.44223610675033</v>
      </c>
      <c r="E126" s="768">
        <v>728</v>
      </c>
    </row>
    <row r="127" spans="1:5">
      <c r="A127" s="2911"/>
      <c r="B127" s="549" t="s">
        <v>100</v>
      </c>
      <c r="C127" s="768">
        <v>779</v>
      </c>
      <c r="D127" s="768">
        <v>368.12288216039281</v>
      </c>
      <c r="E127" s="768">
        <v>751.5</v>
      </c>
    </row>
    <row r="128" spans="1:5">
      <c r="A128" s="2915" t="s">
        <v>12</v>
      </c>
      <c r="B128" s="548" t="s">
        <v>101</v>
      </c>
      <c r="C128" s="769">
        <v>38.700000000000003</v>
      </c>
      <c r="D128" s="766">
        <v>70.088732633248313</v>
      </c>
      <c r="E128" s="766">
        <v>39.25</v>
      </c>
    </row>
    <row r="129" spans="1:5">
      <c r="A129" s="2916"/>
      <c r="B129" s="548" t="s">
        <v>238</v>
      </c>
      <c r="C129" s="769">
        <v>92.8</v>
      </c>
      <c r="D129" s="766">
        <v>54.288665764256194</v>
      </c>
      <c r="E129" s="766">
        <v>61</v>
      </c>
    </row>
    <row r="130" spans="1:5">
      <c r="A130" s="2917"/>
      <c r="B130" s="549" t="s">
        <v>100</v>
      </c>
      <c r="C130" s="770">
        <v>65.75</v>
      </c>
      <c r="D130" s="766">
        <v>30.532600461980657</v>
      </c>
      <c r="E130" s="766">
        <v>50.666666666666671</v>
      </c>
    </row>
    <row r="131" spans="1:5">
      <c r="A131" s="11" t="s">
        <v>14</v>
      </c>
      <c r="B131" s="548" t="s">
        <v>101</v>
      </c>
      <c r="C131" s="766">
        <v>1.22</v>
      </c>
      <c r="D131" s="766">
        <v>2.0932932692307693</v>
      </c>
      <c r="E131" s="766">
        <v>2.17</v>
      </c>
    </row>
    <row r="133" spans="1:5" ht="23">
      <c r="A133" s="1595" t="s">
        <v>8</v>
      </c>
      <c r="B133" s="1599"/>
      <c r="C133" s="1600">
        <v>2017</v>
      </c>
      <c r="D133" s="1595" t="s">
        <v>1347</v>
      </c>
      <c r="E133" s="1601" t="s">
        <v>1348</v>
      </c>
    </row>
    <row r="134" spans="1:5">
      <c r="A134" s="1598" t="s">
        <v>10</v>
      </c>
      <c r="B134" s="234" t="s">
        <v>101</v>
      </c>
      <c r="C134" s="1596">
        <v>12.8</v>
      </c>
      <c r="D134" s="91">
        <v>13.845925925925929</v>
      </c>
      <c r="E134" s="91">
        <v>13.2</v>
      </c>
    </row>
    <row r="135" spans="1:5">
      <c r="A135" s="2926" t="s">
        <v>393</v>
      </c>
      <c r="B135" s="154" t="s">
        <v>101</v>
      </c>
      <c r="C135" s="91">
        <v>746</v>
      </c>
      <c r="D135" s="91">
        <v>730.16666666666663</v>
      </c>
      <c r="E135" s="91">
        <v>752.5</v>
      </c>
    </row>
    <row r="136" spans="1:5">
      <c r="A136" s="2926"/>
      <c r="B136" s="154" t="s">
        <v>238</v>
      </c>
      <c r="C136" s="91">
        <v>795</v>
      </c>
      <c r="D136" s="91">
        <v>748</v>
      </c>
      <c r="E136" s="91">
        <v>761.5</v>
      </c>
    </row>
    <row r="137" spans="1:5">
      <c r="A137" s="2926"/>
      <c r="B137" s="154" t="s">
        <v>100</v>
      </c>
      <c r="C137" s="91">
        <v>771</v>
      </c>
      <c r="D137" s="91">
        <v>739.16666666666663</v>
      </c>
      <c r="E137" s="91">
        <v>761.25</v>
      </c>
    </row>
    <row r="138" spans="1:5">
      <c r="A138" s="2927" t="s">
        <v>12</v>
      </c>
      <c r="B138" s="234" t="s">
        <v>101</v>
      </c>
      <c r="C138" s="101">
        <v>33</v>
      </c>
      <c r="D138" s="91">
        <v>57.957988457324518</v>
      </c>
      <c r="E138" s="91">
        <v>38.700000000000003</v>
      </c>
    </row>
    <row r="139" spans="1:5">
      <c r="A139" s="2927"/>
      <c r="B139" s="234" t="s">
        <v>238</v>
      </c>
      <c r="C139" s="101">
        <v>57</v>
      </c>
      <c r="D139" s="91">
        <v>84.405660691845995</v>
      </c>
      <c r="E139" s="91">
        <v>59.8</v>
      </c>
    </row>
    <row r="140" spans="1:5">
      <c r="A140" s="2927"/>
      <c r="B140" s="154" t="s">
        <v>100</v>
      </c>
      <c r="C140" s="135">
        <v>45</v>
      </c>
      <c r="D140" s="91">
        <v>68.101512983878166</v>
      </c>
      <c r="E140" s="91">
        <v>50.333333333333336</v>
      </c>
    </row>
    <row r="141" spans="1:5">
      <c r="A141" s="1597" t="s">
        <v>14</v>
      </c>
      <c r="B141" s="234" t="s">
        <v>101</v>
      </c>
      <c r="C141" s="91">
        <v>2.17</v>
      </c>
      <c r="D141" s="91">
        <v>2.0961342592592596</v>
      </c>
      <c r="E141" s="91">
        <v>2.14</v>
      </c>
    </row>
    <row r="143" spans="1:5" ht="26">
      <c r="A143" s="779" t="s">
        <v>8</v>
      </c>
      <c r="B143" s="871"/>
      <c r="C143" s="2820">
        <v>2018</v>
      </c>
      <c r="D143" s="2821" t="s">
        <v>1731</v>
      </c>
      <c r="E143" s="2821" t="s">
        <v>1732</v>
      </c>
    </row>
    <row r="144" spans="1:5">
      <c r="A144" s="2822" t="s">
        <v>10</v>
      </c>
      <c r="B144" s="2823" t="s">
        <v>101</v>
      </c>
      <c r="C144" s="871">
        <v>16.399999999999999</v>
      </c>
      <c r="D144" s="871">
        <v>13.937142857142859</v>
      </c>
      <c r="E144" s="871">
        <v>13.2</v>
      </c>
    </row>
    <row r="145" spans="1:5">
      <c r="A145" s="2925" t="s">
        <v>393</v>
      </c>
      <c r="B145" s="2825" t="s">
        <v>101</v>
      </c>
      <c r="C145" s="871">
        <v>800</v>
      </c>
      <c r="D145" s="871">
        <v>740.14285714285711</v>
      </c>
      <c r="E145" s="871">
        <v>752.5</v>
      </c>
    </row>
    <row r="146" spans="1:5">
      <c r="A146" s="2925"/>
      <c r="B146" s="2825" t="s">
        <v>238</v>
      </c>
      <c r="C146" s="871">
        <v>820</v>
      </c>
      <c r="D146" s="871">
        <v>758.28571428571433</v>
      </c>
      <c r="E146" s="871">
        <v>761.5</v>
      </c>
    </row>
    <row r="147" spans="1:5">
      <c r="A147" s="2925"/>
      <c r="B147" s="2825" t="s">
        <v>100</v>
      </c>
      <c r="C147" s="871">
        <v>810</v>
      </c>
      <c r="D147" s="871">
        <v>739.16666666666663</v>
      </c>
      <c r="E147" s="871">
        <v>761.25</v>
      </c>
    </row>
    <row r="148" spans="1:5">
      <c r="A148" s="2925" t="s">
        <v>12</v>
      </c>
      <c r="B148" s="2823" t="s">
        <v>101</v>
      </c>
      <c r="C148" s="2824">
        <v>41.4</v>
      </c>
      <c r="D148" s="2819">
        <v>57.366631726705791</v>
      </c>
      <c r="E148" s="2819">
        <v>38.700000000000003</v>
      </c>
    </row>
    <row r="149" spans="1:5">
      <c r="A149" s="2925"/>
      <c r="B149" s="2823" t="s">
        <v>238</v>
      </c>
      <c r="C149" s="2824">
        <v>47.9</v>
      </c>
      <c r="D149" s="2819">
        <v>83.101887095708648</v>
      </c>
      <c r="E149" s="2819">
        <v>59.8</v>
      </c>
    </row>
    <row r="150" spans="1:5">
      <c r="A150" s="2925"/>
      <c r="B150" s="2825" t="s">
        <v>100</v>
      </c>
      <c r="C150" s="2819">
        <v>44.6</v>
      </c>
      <c r="D150" s="2819">
        <v>68.101512983878166</v>
      </c>
      <c r="E150" s="2819">
        <v>50.333333333333336</v>
      </c>
    </row>
    <row r="151" spans="1:5">
      <c r="A151" s="2823" t="s">
        <v>14</v>
      </c>
      <c r="B151" s="2823" t="s">
        <v>101</v>
      </c>
      <c r="C151" s="908">
        <v>1.54</v>
      </c>
      <c r="D151" s="908">
        <v>2.0762723214285717</v>
      </c>
      <c r="E151" s="908">
        <v>2.14</v>
      </c>
    </row>
  </sheetData>
  <mergeCells count="27">
    <mergeCell ref="A145:A147"/>
    <mergeCell ref="A148:A150"/>
    <mergeCell ref="A135:A137"/>
    <mergeCell ref="A138:A140"/>
    <mergeCell ref="A109:A111"/>
    <mergeCell ref="A112:A114"/>
    <mergeCell ref="A115:A117"/>
    <mergeCell ref="A118:A120"/>
    <mergeCell ref="A96:A98"/>
    <mergeCell ref="A99:A101"/>
    <mergeCell ref="A102:A104"/>
    <mergeCell ref="A125:A127"/>
    <mergeCell ref="A128:A130"/>
    <mergeCell ref="A7:A9"/>
    <mergeCell ref="A1:AE1"/>
    <mergeCell ref="A2:A3"/>
    <mergeCell ref="B2:B3"/>
    <mergeCell ref="C2:AE2"/>
    <mergeCell ref="A4:A6"/>
    <mergeCell ref="A93:A95"/>
    <mergeCell ref="A10:A13"/>
    <mergeCell ref="A83:A85"/>
    <mergeCell ref="A86:A88"/>
    <mergeCell ref="A77:A79"/>
    <mergeCell ref="A80:A82"/>
    <mergeCell ref="A14:A17"/>
    <mergeCell ref="A18:A21"/>
  </mergeCells>
  <phoneticPr fontId="10" type="noConversion"/>
  <pageMargins left="0.75" right="0.75" top="1" bottom="1" header="0.5" footer="0.5"/>
  <pageSetup orientation="landscape" horizontalDpi="4294967293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59999389629810485"/>
    <pageSetUpPr fitToPage="1"/>
  </sheetPr>
  <dimension ref="A1:X40"/>
  <sheetViews>
    <sheetView zoomScale="80" zoomScaleNormal="80" workbookViewId="0">
      <selection sqref="A1:S19"/>
    </sheetView>
  </sheetViews>
  <sheetFormatPr defaultColWidth="17.54296875" defaultRowHeight="14"/>
  <cols>
    <col min="1" max="1" width="17.08984375" customWidth="1"/>
    <col min="2" max="2" width="18.36328125" bestFit="1" customWidth="1"/>
    <col min="3" max="3" width="5.08984375" bestFit="1" customWidth="1"/>
    <col min="4" max="4" width="5.453125" bestFit="1" customWidth="1"/>
    <col min="5" max="5" width="5.7265625" bestFit="1" customWidth="1"/>
    <col min="6" max="6" width="5.08984375" bestFit="1" customWidth="1"/>
    <col min="7" max="7" width="6" bestFit="1" customWidth="1"/>
    <col min="8" max="8" width="5.26953125" bestFit="1" customWidth="1"/>
    <col min="9" max="11" width="5.08984375" bestFit="1" customWidth="1"/>
    <col min="12" max="12" width="5.6328125" bestFit="1" customWidth="1"/>
    <col min="13" max="14" width="5.453125" bestFit="1" customWidth="1"/>
    <col min="15" max="15" width="5.54296875" bestFit="1" customWidth="1"/>
    <col min="16" max="16" width="5.08984375" bestFit="1" customWidth="1"/>
    <col min="17" max="17" width="5.6328125" bestFit="1" customWidth="1"/>
    <col min="18" max="18" width="8.1796875" bestFit="1" customWidth="1"/>
    <col min="19" max="19" width="7.36328125" bestFit="1" customWidth="1"/>
    <col min="20" max="20" width="12" customWidth="1"/>
    <col min="21" max="21" width="4.453125" customWidth="1"/>
    <col min="22" max="22" width="10.36328125" bestFit="1" customWidth="1"/>
    <col min="23" max="24" width="6.90625" bestFit="1" customWidth="1"/>
  </cols>
  <sheetData>
    <row r="1" spans="1:24">
      <c r="A1" s="2980" t="s">
        <v>163</v>
      </c>
      <c r="B1" s="2980"/>
      <c r="C1" s="2980"/>
      <c r="D1" s="2980"/>
      <c r="E1" s="2980"/>
      <c r="F1" s="2980"/>
      <c r="G1" s="2980"/>
      <c r="H1" s="2980"/>
      <c r="I1" s="2980"/>
      <c r="J1" s="2980"/>
      <c r="K1" s="2980"/>
      <c r="L1" s="2980"/>
      <c r="M1" s="2980"/>
      <c r="N1" s="2980"/>
      <c r="O1" s="2980"/>
      <c r="P1" s="2980"/>
      <c r="Q1" s="2980"/>
      <c r="R1" s="2980"/>
    </row>
    <row r="2" spans="1:24">
      <c r="A2" s="67" t="s">
        <v>9</v>
      </c>
      <c r="B2" s="2738" t="s">
        <v>162</v>
      </c>
      <c r="C2" s="2843">
        <v>43108</v>
      </c>
      <c r="D2" s="2843">
        <v>43143</v>
      </c>
      <c r="E2" s="2843">
        <v>43178</v>
      </c>
      <c r="F2" s="2843">
        <v>43199</v>
      </c>
      <c r="G2" s="2843">
        <v>43234</v>
      </c>
      <c r="H2" s="2843">
        <v>43262</v>
      </c>
      <c r="I2" s="2843">
        <v>43290</v>
      </c>
      <c r="J2" s="2843">
        <v>43297</v>
      </c>
      <c r="K2" s="2843">
        <v>43319</v>
      </c>
      <c r="L2" s="2843">
        <v>43325</v>
      </c>
      <c r="M2" s="2843">
        <v>43353</v>
      </c>
      <c r="N2" s="2843">
        <v>43369</v>
      </c>
      <c r="O2" s="2843">
        <v>43388</v>
      </c>
      <c r="P2" s="2843">
        <v>43409</v>
      </c>
      <c r="Q2" s="2843">
        <v>43444</v>
      </c>
      <c r="R2" s="202" t="s">
        <v>15</v>
      </c>
      <c r="S2" s="203" t="s">
        <v>268</v>
      </c>
      <c r="T2" s="72"/>
      <c r="U2" s="190"/>
    </row>
    <row r="3" spans="1:24" ht="14.5">
      <c r="A3" s="2985" t="s">
        <v>187</v>
      </c>
      <c r="B3" s="197" t="s">
        <v>180</v>
      </c>
      <c r="C3" s="1589">
        <v>1252</v>
      </c>
      <c r="D3" s="1589">
        <v>1245</v>
      </c>
      <c r="E3" s="1589">
        <v>1333</v>
      </c>
      <c r="F3" s="1589">
        <v>1143</v>
      </c>
      <c r="G3" s="1589">
        <v>769</v>
      </c>
      <c r="H3" s="1589">
        <v>833</v>
      </c>
      <c r="I3" s="1589">
        <v>704</v>
      </c>
      <c r="J3" s="1589">
        <v>1209</v>
      </c>
      <c r="K3" s="1589">
        <v>1170</v>
      </c>
      <c r="L3" s="1590">
        <v>1271</v>
      </c>
      <c r="M3" s="1590">
        <v>965</v>
      </c>
      <c r="N3" s="1589">
        <v>903</v>
      </c>
      <c r="O3" s="1591">
        <v>790</v>
      </c>
      <c r="P3" s="1589">
        <v>1066</v>
      </c>
      <c r="Q3" s="1589">
        <v>2342</v>
      </c>
      <c r="R3" s="204">
        <f t="shared" ref="R3:R10" si="0">AVERAGE(C3:Q3)</f>
        <v>1133</v>
      </c>
      <c r="S3" s="204">
        <f t="shared" ref="S3:S10" si="1">MEDIAN(C3:Q3)</f>
        <v>1143</v>
      </c>
      <c r="U3" s="190"/>
      <c r="V3" s="358"/>
      <c r="W3" s="171" t="s">
        <v>331</v>
      </c>
      <c r="X3" s="171" t="s">
        <v>815</v>
      </c>
    </row>
    <row r="4" spans="1:24">
      <c r="A4" s="2988"/>
      <c r="B4" s="197" t="s">
        <v>160</v>
      </c>
      <c r="C4" s="1041">
        <v>32</v>
      </c>
      <c r="D4" s="1524">
        <v>21</v>
      </c>
      <c r="E4" s="1524">
        <v>56</v>
      </c>
      <c r="F4" s="1524">
        <v>17</v>
      </c>
      <c r="G4" s="1524">
        <v>30</v>
      </c>
      <c r="H4" s="1524">
        <v>62</v>
      </c>
      <c r="I4" s="1524">
        <v>35</v>
      </c>
      <c r="J4" s="1524">
        <v>110</v>
      </c>
      <c r="K4" s="1524">
        <v>27</v>
      </c>
      <c r="L4" s="1524">
        <v>32</v>
      </c>
      <c r="M4" s="1524">
        <v>103</v>
      </c>
      <c r="N4" s="1524">
        <v>24</v>
      </c>
      <c r="O4" s="1524">
        <v>79</v>
      </c>
      <c r="P4" s="1525">
        <v>51</v>
      </c>
      <c r="Q4" s="1525">
        <v>70</v>
      </c>
      <c r="R4" s="204">
        <f t="shared" si="0"/>
        <v>49.93333333333333</v>
      </c>
      <c r="S4" s="204">
        <f t="shared" si="1"/>
        <v>35</v>
      </c>
      <c r="U4" s="190"/>
      <c r="V4" s="435">
        <v>43108</v>
      </c>
      <c r="W4" s="2250">
        <v>4</v>
      </c>
      <c r="X4" s="2250">
        <v>5</v>
      </c>
    </row>
    <row r="5" spans="1:24">
      <c r="A5" s="2989" t="s">
        <v>188</v>
      </c>
      <c r="B5" s="199" t="s">
        <v>180</v>
      </c>
      <c r="C5" s="301">
        <v>911</v>
      </c>
      <c r="D5" s="2740">
        <v>769</v>
      </c>
      <c r="E5" s="2740">
        <v>872</v>
      </c>
      <c r="F5" s="2740">
        <v>662</v>
      </c>
      <c r="G5" s="2740">
        <v>554</v>
      </c>
      <c r="H5" s="2740">
        <v>617</v>
      </c>
      <c r="I5" s="2740">
        <v>1759</v>
      </c>
      <c r="J5" s="2740">
        <v>539</v>
      </c>
      <c r="K5" s="2740">
        <v>664</v>
      </c>
      <c r="L5" s="2740">
        <v>744</v>
      </c>
      <c r="M5" s="2740">
        <v>783</v>
      </c>
      <c r="N5" s="2740">
        <v>568</v>
      </c>
      <c r="O5" s="2740">
        <v>672</v>
      </c>
      <c r="P5" s="2741">
        <v>392</v>
      </c>
      <c r="Q5" s="2741">
        <v>621</v>
      </c>
      <c r="R5" s="204">
        <f t="shared" si="0"/>
        <v>741.8</v>
      </c>
      <c r="S5" s="204">
        <f t="shared" si="1"/>
        <v>664</v>
      </c>
      <c r="U5" s="190"/>
      <c r="V5" s="435">
        <v>43145</v>
      </c>
      <c r="W5" s="2250">
        <v>1</v>
      </c>
      <c r="X5" s="2250">
        <v>3</v>
      </c>
    </row>
    <row r="6" spans="1:24">
      <c r="A6" s="2990"/>
      <c r="B6" s="199" t="s">
        <v>160</v>
      </c>
      <c r="C6" s="301">
        <v>16</v>
      </c>
      <c r="D6" s="2740">
        <v>8</v>
      </c>
      <c r="E6" s="2740">
        <v>8</v>
      </c>
      <c r="F6" s="2740">
        <v>21</v>
      </c>
      <c r="G6" s="2740">
        <v>18</v>
      </c>
      <c r="H6" s="2740">
        <v>53</v>
      </c>
      <c r="I6" s="2740">
        <v>35</v>
      </c>
      <c r="J6" s="2740">
        <v>24</v>
      </c>
      <c r="K6" s="2740">
        <v>11</v>
      </c>
      <c r="L6" s="2740">
        <v>87</v>
      </c>
      <c r="M6" s="2740">
        <v>5</v>
      </c>
      <c r="N6" s="2740">
        <v>29</v>
      </c>
      <c r="O6" s="2740">
        <v>10</v>
      </c>
      <c r="P6" s="2741">
        <v>6</v>
      </c>
      <c r="Q6" s="2741">
        <v>18</v>
      </c>
      <c r="R6" s="204">
        <f t="shared" si="0"/>
        <v>23.266666666666666</v>
      </c>
      <c r="S6" s="204">
        <f t="shared" si="1"/>
        <v>18</v>
      </c>
      <c r="U6" s="190"/>
      <c r="V6" s="435">
        <v>43179</v>
      </c>
      <c r="W6" s="2250">
        <v>1</v>
      </c>
      <c r="X6" s="2250">
        <v>8</v>
      </c>
    </row>
    <row r="7" spans="1:24">
      <c r="A7" s="2985" t="s">
        <v>517</v>
      </c>
      <c r="B7" s="197" t="s">
        <v>180</v>
      </c>
      <c r="C7" s="1041">
        <v>1050</v>
      </c>
      <c r="D7" s="1524">
        <v>1170</v>
      </c>
      <c r="E7" s="1524">
        <v>906</v>
      </c>
      <c r="F7" s="1524">
        <v>882</v>
      </c>
      <c r="G7" s="1524">
        <v>679</v>
      </c>
      <c r="H7" s="1524">
        <v>627</v>
      </c>
      <c r="I7" s="1524">
        <v>831</v>
      </c>
      <c r="J7" s="1524">
        <v>865</v>
      </c>
      <c r="K7" s="1524">
        <v>632</v>
      </c>
      <c r="L7" s="1524">
        <v>606</v>
      </c>
      <c r="M7" s="1524">
        <v>903</v>
      </c>
      <c r="N7" s="1524">
        <v>542</v>
      </c>
      <c r="O7" s="2742">
        <v>676</v>
      </c>
      <c r="P7" s="1525">
        <v>825</v>
      </c>
      <c r="Q7" s="1525">
        <v>884</v>
      </c>
      <c r="R7" s="204">
        <f t="shared" si="0"/>
        <v>805.2</v>
      </c>
      <c r="S7" s="204">
        <f t="shared" si="1"/>
        <v>831</v>
      </c>
      <c r="U7" s="190"/>
      <c r="V7" s="435">
        <v>43234</v>
      </c>
      <c r="W7" s="2250">
        <v>1</v>
      </c>
      <c r="X7" s="2250">
        <v>23</v>
      </c>
    </row>
    <row r="8" spans="1:24">
      <c r="A8" s="2988"/>
      <c r="B8" s="197" t="s">
        <v>160</v>
      </c>
      <c r="C8" s="1041">
        <v>13</v>
      </c>
      <c r="D8" s="1524">
        <v>25</v>
      </c>
      <c r="E8" s="1524">
        <v>15</v>
      </c>
      <c r="F8" s="1524">
        <v>16</v>
      </c>
      <c r="G8" s="1524">
        <v>16</v>
      </c>
      <c r="H8" s="1524">
        <v>39</v>
      </c>
      <c r="I8" s="1524">
        <v>64</v>
      </c>
      <c r="J8" s="1524">
        <v>35</v>
      </c>
      <c r="K8" s="1524">
        <v>50</v>
      </c>
      <c r="L8" s="1524">
        <v>48</v>
      </c>
      <c r="M8" s="1524">
        <v>94</v>
      </c>
      <c r="N8" s="1524">
        <v>48</v>
      </c>
      <c r="O8" s="1524">
        <v>48</v>
      </c>
      <c r="P8" s="1525">
        <v>69</v>
      </c>
      <c r="Q8" s="1525">
        <v>50</v>
      </c>
      <c r="R8" s="204">
        <f t="shared" si="0"/>
        <v>42</v>
      </c>
      <c r="S8" s="204">
        <f t="shared" si="1"/>
        <v>48</v>
      </c>
      <c r="U8" s="190"/>
      <c r="V8" s="435">
        <v>43262</v>
      </c>
      <c r="W8" s="2250">
        <v>2</v>
      </c>
      <c r="X8" s="2250">
        <v>4</v>
      </c>
    </row>
    <row r="9" spans="1:24" s="303" customFormat="1">
      <c r="A9" s="2988"/>
      <c r="B9" s="200" t="s">
        <v>161</v>
      </c>
      <c r="C9" s="2736">
        <v>0.7</v>
      </c>
      <c r="D9" s="2737">
        <v>15.8</v>
      </c>
      <c r="E9" s="2737">
        <v>5.9</v>
      </c>
      <c r="F9" s="2737">
        <v>1.5</v>
      </c>
      <c r="G9" s="2737">
        <v>8.3000000000000007</v>
      </c>
      <c r="H9" s="2737">
        <v>2.4</v>
      </c>
      <c r="I9" s="1524">
        <v>4.7</v>
      </c>
      <c r="J9" s="2737">
        <v>12.1</v>
      </c>
      <c r="K9" s="2737">
        <v>18.3</v>
      </c>
      <c r="L9" s="2737">
        <v>19.5</v>
      </c>
      <c r="M9" s="2737">
        <v>21.6</v>
      </c>
      <c r="N9" s="2737">
        <v>9.1</v>
      </c>
      <c r="O9" s="1524">
        <v>48</v>
      </c>
      <c r="P9" s="1526">
        <v>42.5</v>
      </c>
      <c r="Q9" s="1526">
        <v>44.5</v>
      </c>
      <c r="R9" s="1520">
        <f t="shared" si="0"/>
        <v>16.993333333333332</v>
      </c>
      <c r="S9" s="1520">
        <f t="shared" si="1"/>
        <v>12.1</v>
      </c>
      <c r="U9" s="190"/>
      <c r="V9" s="435">
        <v>43290</v>
      </c>
      <c r="W9" s="2250">
        <v>4</v>
      </c>
      <c r="X9" s="2250">
        <v>23</v>
      </c>
    </row>
    <row r="10" spans="1:24" s="303" customFormat="1">
      <c r="A10" s="2988"/>
      <c r="B10" s="200" t="s">
        <v>161</v>
      </c>
      <c r="C10" s="2736">
        <v>1.8</v>
      </c>
      <c r="D10" s="2737">
        <v>15.1</v>
      </c>
      <c r="E10" s="2737">
        <v>5.9</v>
      </c>
      <c r="F10" s="2737">
        <v>1.5</v>
      </c>
      <c r="G10" s="2737">
        <v>8</v>
      </c>
      <c r="H10" s="2737">
        <v>2.4</v>
      </c>
      <c r="I10" s="1524">
        <v>6.8</v>
      </c>
      <c r="J10" s="2737">
        <v>12.1</v>
      </c>
      <c r="K10" s="2737">
        <v>17.399999999999999</v>
      </c>
      <c r="L10" s="2737">
        <v>20.9</v>
      </c>
      <c r="M10" s="2737">
        <v>22.6</v>
      </c>
      <c r="N10" s="2737">
        <v>10.6</v>
      </c>
      <c r="O10" s="2737">
        <v>27.9</v>
      </c>
      <c r="P10" s="1526">
        <v>40.4</v>
      </c>
      <c r="Q10" s="1526">
        <v>44.5</v>
      </c>
      <c r="R10" s="1520">
        <f t="shared" si="0"/>
        <v>15.860000000000001</v>
      </c>
      <c r="S10" s="1520">
        <f t="shared" si="1"/>
        <v>12.1</v>
      </c>
      <c r="U10" s="190"/>
      <c r="V10" s="435">
        <v>43319</v>
      </c>
      <c r="W10" s="2250">
        <v>1</v>
      </c>
      <c r="X10" s="2250">
        <v>30</v>
      </c>
    </row>
    <row r="11" spans="1:24" ht="14.5">
      <c r="A11" s="2991"/>
      <c r="B11" s="307" t="s">
        <v>695</v>
      </c>
      <c r="C11" s="1586">
        <f>AVERAGE(C9:C10)</f>
        <v>1.25</v>
      </c>
      <c r="D11" s="1586">
        <f t="shared" ref="D11:Q11" si="2">AVERAGE(D9:D10)</f>
        <v>15.45</v>
      </c>
      <c r="E11" s="1586">
        <f t="shared" si="2"/>
        <v>5.9</v>
      </c>
      <c r="F11" s="1586">
        <f t="shared" si="2"/>
        <v>1.5</v>
      </c>
      <c r="G11" s="1586">
        <f t="shared" si="2"/>
        <v>8.15</v>
      </c>
      <c r="H11" s="1586">
        <f t="shared" si="2"/>
        <v>2.4</v>
      </c>
      <c r="I11" s="1586">
        <f t="shared" si="2"/>
        <v>5.75</v>
      </c>
      <c r="J11" s="1586">
        <f t="shared" si="2"/>
        <v>12.1</v>
      </c>
      <c r="K11" s="1586">
        <f t="shared" si="2"/>
        <v>17.850000000000001</v>
      </c>
      <c r="L11" s="1586">
        <f t="shared" si="2"/>
        <v>20.2</v>
      </c>
      <c r="M11" s="1586">
        <f t="shared" si="2"/>
        <v>22.1</v>
      </c>
      <c r="N11" s="1586">
        <f t="shared" si="2"/>
        <v>9.85</v>
      </c>
      <c r="O11" s="1586">
        <f t="shared" si="2"/>
        <v>37.950000000000003</v>
      </c>
      <c r="P11" s="1586">
        <f t="shared" si="2"/>
        <v>41.45</v>
      </c>
      <c r="Q11" s="1586">
        <f t="shared" si="2"/>
        <v>44.5</v>
      </c>
      <c r="R11" s="1520">
        <f>AVERAGE(C11:Q11)</f>
        <v>16.426666666666666</v>
      </c>
      <c r="S11" s="1520">
        <f>MEDIAN(C11:Q11)</f>
        <v>12.1</v>
      </c>
      <c r="U11" s="192"/>
      <c r="V11" s="435">
        <v>43353</v>
      </c>
      <c r="W11" s="2250">
        <v>4</v>
      </c>
      <c r="X11" s="2250">
        <v>23</v>
      </c>
    </row>
    <row r="12" spans="1:24">
      <c r="A12" s="2989" t="s">
        <v>518</v>
      </c>
      <c r="B12" s="199" t="s">
        <v>180</v>
      </c>
      <c r="C12" s="301">
        <v>1046</v>
      </c>
      <c r="D12" s="2740">
        <v>1267</v>
      </c>
      <c r="E12" s="2740">
        <v>1149</v>
      </c>
      <c r="F12" s="2740">
        <v>866</v>
      </c>
      <c r="G12" s="2740">
        <v>930</v>
      </c>
      <c r="H12" s="2740">
        <v>758</v>
      </c>
      <c r="I12" s="2740">
        <v>836</v>
      </c>
      <c r="J12" s="2740">
        <v>868</v>
      </c>
      <c r="K12" s="2740">
        <v>720</v>
      </c>
      <c r="L12" s="2740">
        <v>650</v>
      </c>
      <c r="M12" s="2740">
        <v>757</v>
      </c>
      <c r="N12" s="2740">
        <v>488</v>
      </c>
      <c r="O12" s="2743">
        <v>550</v>
      </c>
      <c r="P12" s="2741">
        <v>596</v>
      </c>
      <c r="Q12" s="2741">
        <v>1076</v>
      </c>
      <c r="R12" s="204">
        <f>AVERAGE(C12:Q12)</f>
        <v>837.13333333333333</v>
      </c>
      <c r="S12" s="204">
        <f t="shared" ref="S12:S19" si="3">MEDIAN(C12:Q12)</f>
        <v>836</v>
      </c>
      <c r="U12" s="192"/>
      <c r="V12" s="435">
        <v>43388</v>
      </c>
      <c r="W12" s="2250">
        <v>4</v>
      </c>
      <c r="X12" s="2250">
        <v>30</v>
      </c>
    </row>
    <row r="13" spans="1:24">
      <c r="A13" s="2990"/>
      <c r="B13" s="199" t="s">
        <v>160</v>
      </c>
      <c r="C13" s="301">
        <v>14</v>
      </c>
      <c r="D13" s="2740">
        <v>19</v>
      </c>
      <c r="E13" s="2740">
        <v>38</v>
      </c>
      <c r="F13" s="2740">
        <v>24</v>
      </c>
      <c r="G13" s="2740">
        <v>15</v>
      </c>
      <c r="H13" s="2740">
        <v>50</v>
      </c>
      <c r="I13" s="2740">
        <v>45</v>
      </c>
      <c r="J13" s="2740">
        <v>72</v>
      </c>
      <c r="K13" s="2740">
        <v>83</v>
      </c>
      <c r="L13" s="2740">
        <v>69</v>
      </c>
      <c r="M13" s="2740">
        <v>71</v>
      </c>
      <c r="N13" s="2740">
        <v>63</v>
      </c>
      <c r="O13" s="2740">
        <v>54</v>
      </c>
      <c r="P13" s="2741">
        <v>53</v>
      </c>
      <c r="Q13" s="2741">
        <v>61</v>
      </c>
      <c r="R13" s="204">
        <f>AVERAGE(C13:Q13)</f>
        <v>48.733333333333334</v>
      </c>
      <c r="S13" s="204">
        <f t="shared" si="3"/>
        <v>53</v>
      </c>
      <c r="U13" s="192"/>
      <c r="V13" s="435">
        <v>43409</v>
      </c>
      <c r="W13" s="2250">
        <v>2</v>
      </c>
      <c r="X13" s="2250">
        <v>8</v>
      </c>
    </row>
    <row r="14" spans="1:24">
      <c r="A14" s="2985" t="s">
        <v>189</v>
      </c>
      <c r="B14" s="197" t="s">
        <v>180</v>
      </c>
      <c r="C14" s="1041">
        <v>1046</v>
      </c>
      <c r="D14" s="1524">
        <v>1267</v>
      </c>
      <c r="E14" s="1524">
        <v>1149</v>
      </c>
      <c r="F14" s="1524">
        <v>866</v>
      </c>
      <c r="G14" s="1524">
        <v>930</v>
      </c>
      <c r="H14" s="1524">
        <v>758</v>
      </c>
      <c r="I14" s="1524">
        <v>836</v>
      </c>
      <c r="J14" s="1524">
        <v>868</v>
      </c>
      <c r="K14" s="1524">
        <v>720</v>
      </c>
      <c r="L14" s="1524">
        <v>650</v>
      </c>
      <c r="M14" s="1524">
        <v>757</v>
      </c>
      <c r="N14" s="1524">
        <v>488</v>
      </c>
      <c r="O14" s="2737">
        <v>550</v>
      </c>
      <c r="P14" s="1525">
        <v>596</v>
      </c>
      <c r="Q14" s="1525">
        <v>1076</v>
      </c>
      <c r="R14" s="204">
        <f>AVERAGE(C14:Q14)</f>
        <v>837.13333333333333</v>
      </c>
      <c r="S14" s="204">
        <f t="shared" si="3"/>
        <v>836</v>
      </c>
      <c r="U14" s="190"/>
      <c r="V14" s="435">
        <v>43444</v>
      </c>
      <c r="W14" s="2250">
        <v>4</v>
      </c>
      <c r="X14" s="2250">
        <v>8</v>
      </c>
    </row>
    <row r="15" spans="1:24">
      <c r="A15" s="2986"/>
      <c r="B15" s="197" t="s">
        <v>160</v>
      </c>
      <c r="C15" s="1041">
        <v>16</v>
      </c>
      <c r="D15" s="1524">
        <v>15</v>
      </c>
      <c r="E15" s="1524">
        <v>12</v>
      </c>
      <c r="F15" s="1524">
        <v>16</v>
      </c>
      <c r="G15" s="1524">
        <v>14</v>
      </c>
      <c r="H15" s="1524">
        <v>44</v>
      </c>
      <c r="I15" s="1524">
        <v>19</v>
      </c>
      <c r="J15" s="1524">
        <v>33</v>
      </c>
      <c r="K15" s="1524">
        <v>46</v>
      </c>
      <c r="L15" s="1524">
        <v>46</v>
      </c>
      <c r="M15" s="1524">
        <v>62</v>
      </c>
      <c r="N15" s="1524">
        <v>43</v>
      </c>
      <c r="O15" s="1524">
        <v>48</v>
      </c>
      <c r="P15" s="1525">
        <v>36</v>
      </c>
      <c r="Q15" s="1525">
        <v>42</v>
      </c>
      <c r="R15" s="204">
        <f>AVERAGE(C15:Q15)</f>
        <v>32.799999999999997</v>
      </c>
      <c r="S15" s="204">
        <f t="shared" si="3"/>
        <v>36</v>
      </c>
      <c r="U15" s="190"/>
      <c r="V15" s="435" t="s">
        <v>949</v>
      </c>
      <c r="W15" s="2733">
        <f>GEOMEAN(W3:W14)</f>
        <v>2.1300821788799253</v>
      </c>
      <c r="X15" s="2733">
        <f>GEOMEAN(X3:X14)</f>
        <v>11.165937757441736</v>
      </c>
    </row>
    <row r="16" spans="1:24" ht="14.5">
      <c r="A16" s="2987"/>
      <c r="B16" s="198" t="s">
        <v>392</v>
      </c>
      <c r="C16" s="1587">
        <v>4</v>
      </c>
      <c r="D16" s="1587">
        <v>1</v>
      </c>
      <c r="E16" s="1587">
        <v>1</v>
      </c>
      <c r="F16" s="1587"/>
      <c r="G16" s="1587">
        <v>1</v>
      </c>
      <c r="H16" s="1587">
        <v>2</v>
      </c>
      <c r="I16" s="1588">
        <v>4</v>
      </c>
      <c r="J16" s="1587"/>
      <c r="K16" s="1588">
        <v>1</v>
      </c>
      <c r="L16" s="1587"/>
      <c r="M16" s="1588">
        <v>4</v>
      </c>
      <c r="N16" s="1587"/>
      <c r="O16" s="1587">
        <v>4</v>
      </c>
      <c r="P16" s="1587">
        <v>2</v>
      </c>
      <c r="Q16" s="1587">
        <v>4</v>
      </c>
      <c r="R16" s="189">
        <f>GEOMEAN(C16:Q16)</f>
        <v>2.1300821788799253</v>
      </c>
      <c r="S16" s="189">
        <f t="shared" si="3"/>
        <v>2</v>
      </c>
      <c r="U16" s="190"/>
    </row>
    <row r="17" spans="1:21" ht="14" customHeight="1">
      <c r="A17" s="2984" t="s">
        <v>971</v>
      </c>
      <c r="B17" s="199" t="s">
        <v>180</v>
      </c>
      <c r="C17" s="301">
        <v>1037</v>
      </c>
      <c r="D17" s="2740">
        <v>1127</v>
      </c>
      <c r="E17" s="2740">
        <v>1015</v>
      </c>
      <c r="F17" s="2740">
        <v>987</v>
      </c>
      <c r="G17" s="2740">
        <v>823</v>
      </c>
      <c r="H17" s="2740">
        <v>811</v>
      </c>
      <c r="I17" s="2740">
        <v>742</v>
      </c>
      <c r="J17" s="2740">
        <v>1130</v>
      </c>
      <c r="K17" s="2740">
        <v>652</v>
      </c>
      <c r="L17" s="2740">
        <v>864</v>
      </c>
      <c r="M17" s="2740">
        <v>859</v>
      </c>
      <c r="N17" s="2740">
        <v>868</v>
      </c>
      <c r="O17" s="2740">
        <v>896</v>
      </c>
      <c r="P17" s="2741">
        <v>709</v>
      </c>
      <c r="Q17" s="2741">
        <v>1225</v>
      </c>
      <c r="R17" s="204">
        <f>AVERAGE(C17:Q17)</f>
        <v>916.33333333333337</v>
      </c>
      <c r="S17" s="204">
        <f t="shared" si="3"/>
        <v>868</v>
      </c>
      <c r="U17" s="190"/>
    </row>
    <row r="18" spans="1:21">
      <c r="A18" s="2984"/>
      <c r="B18" s="199" t="s">
        <v>160</v>
      </c>
      <c r="C18" s="301">
        <v>17</v>
      </c>
      <c r="D18" s="2740">
        <v>19</v>
      </c>
      <c r="E18" s="2740">
        <v>18</v>
      </c>
      <c r="F18" s="2740">
        <v>27</v>
      </c>
      <c r="G18" s="2740">
        <v>30</v>
      </c>
      <c r="H18" s="2740">
        <v>46</v>
      </c>
      <c r="I18" s="2740">
        <v>20</v>
      </c>
      <c r="J18" s="2740">
        <v>41</v>
      </c>
      <c r="K18" s="2740">
        <v>25</v>
      </c>
      <c r="L18" s="2740">
        <v>26</v>
      </c>
      <c r="M18" s="2740">
        <v>26</v>
      </c>
      <c r="N18" s="2740">
        <v>17</v>
      </c>
      <c r="O18" s="2740">
        <v>26</v>
      </c>
      <c r="P18" s="2741">
        <v>19</v>
      </c>
      <c r="Q18" s="2741">
        <v>19</v>
      </c>
      <c r="R18" s="204">
        <f>AVERAGE(C18:Q18)</f>
        <v>25.066666666666666</v>
      </c>
      <c r="S18" s="204">
        <f t="shared" si="3"/>
        <v>25</v>
      </c>
    </row>
    <row r="19" spans="1:21" ht="14.5">
      <c r="A19" s="2984"/>
      <c r="B19" s="2739" t="s">
        <v>392</v>
      </c>
      <c r="C19" s="1594">
        <v>5</v>
      </c>
      <c r="D19" s="1594">
        <v>3</v>
      </c>
      <c r="E19" s="1594">
        <v>8</v>
      </c>
      <c r="F19" s="1594"/>
      <c r="G19" s="1594">
        <v>23</v>
      </c>
      <c r="H19" s="1594">
        <v>4</v>
      </c>
      <c r="I19" s="1594">
        <v>23</v>
      </c>
      <c r="J19" s="1594"/>
      <c r="K19" s="1592">
        <v>30</v>
      </c>
      <c r="L19" s="1593"/>
      <c r="M19" s="1592">
        <v>23</v>
      </c>
      <c r="N19" s="1593"/>
      <c r="O19" s="1593">
        <v>30</v>
      </c>
      <c r="P19" s="1593">
        <v>8</v>
      </c>
      <c r="Q19" s="1593">
        <v>8</v>
      </c>
      <c r="R19" s="189">
        <f>GEOMEAN(C19:Q19)</f>
        <v>11.165937757441736</v>
      </c>
      <c r="S19" s="189">
        <f t="shared" si="3"/>
        <v>8</v>
      </c>
    </row>
    <row r="20" spans="1:21">
      <c r="A20" s="70"/>
      <c r="B20" s="71"/>
      <c r="C20" s="14"/>
      <c r="D20" s="72"/>
      <c r="E20" s="58"/>
      <c r="F20" s="58"/>
      <c r="G20" s="14"/>
      <c r="H20" s="14"/>
      <c r="I20" s="14"/>
      <c r="J20" s="14"/>
      <c r="K20" s="59"/>
      <c r="L20" s="59"/>
    </row>
    <row r="21" spans="1:21">
      <c r="A21" s="70"/>
      <c r="B21" s="58" t="s">
        <v>1001</v>
      </c>
      <c r="C21" s="736">
        <v>22.2</v>
      </c>
      <c r="D21" s="736">
        <v>22.2</v>
      </c>
      <c r="E21" s="736">
        <v>22.2</v>
      </c>
      <c r="F21" s="736">
        <v>22.2</v>
      </c>
      <c r="G21" s="736">
        <v>22.2</v>
      </c>
      <c r="H21" s="736">
        <v>22.2</v>
      </c>
      <c r="I21" s="736">
        <v>22.2</v>
      </c>
      <c r="J21" s="736">
        <v>22.2</v>
      </c>
      <c r="K21" s="736">
        <v>22.2</v>
      </c>
      <c r="L21" s="736">
        <v>22.2</v>
      </c>
      <c r="M21" s="736">
        <v>22.2</v>
      </c>
      <c r="N21" s="736">
        <v>22.2</v>
      </c>
      <c r="O21" s="736">
        <v>22.2</v>
      </c>
      <c r="P21" s="736">
        <v>22.2</v>
      </c>
      <c r="Q21" s="736">
        <v>22.2</v>
      </c>
    </row>
    <row r="22" spans="1:21">
      <c r="A22" s="70"/>
      <c r="B22" s="58" t="s">
        <v>1002</v>
      </c>
      <c r="C22" s="736">
        <v>12.2</v>
      </c>
      <c r="D22" s="736">
        <v>12.2</v>
      </c>
      <c r="E22" s="736">
        <v>12.2</v>
      </c>
      <c r="F22" s="736">
        <v>12.2</v>
      </c>
      <c r="G22" s="736">
        <v>12.2</v>
      </c>
      <c r="H22" s="736">
        <v>12.2</v>
      </c>
      <c r="I22" s="736">
        <v>12.2</v>
      </c>
      <c r="J22" s="736">
        <v>12.2</v>
      </c>
      <c r="K22" s="736">
        <v>12.2</v>
      </c>
      <c r="L22" s="736">
        <v>12.2</v>
      </c>
      <c r="M22" s="736">
        <v>12.2</v>
      </c>
      <c r="N22" s="736">
        <v>12.2</v>
      </c>
      <c r="O22" s="736">
        <v>12.2</v>
      </c>
      <c r="P22" s="736">
        <v>12.2</v>
      </c>
      <c r="Q22" s="736">
        <v>12.2</v>
      </c>
    </row>
    <row r="23" spans="1:21">
      <c r="A23" s="70"/>
      <c r="B23" s="71"/>
      <c r="C23" s="14"/>
      <c r="D23" s="72"/>
      <c r="E23" s="58"/>
      <c r="F23" s="58"/>
      <c r="G23" s="63"/>
      <c r="H23" s="14"/>
      <c r="I23" s="61"/>
      <c r="J23" s="61"/>
      <c r="K23" s="62"/>
      <c r="L23" s="62"/>
    </row>
    <row r="24" spans="1:21">
      <c r="A24" s="14"/>
      <c r="B24" s="71"/>
      <c r="C24" s="14"/>
      <c r="D24" s="72"/>
      <c r="E24" s="58"/>
      <c r="F24" s="58"/>
      <c r="G24" s="14"/>
      <c r="H24" s="14"/>
      <c r="I24" s="14"/>
      <c r="J24" s="14"/>
      <c r="K24" s="59"/>
      <c r="L24" s="59"/>
    </row>
    <row r="25" spans="1:21">
      <c r="A25" s="14"/>
      <c r="B25" s="71"/>
      <c r="C25" s="14"/>
      <c r="D25" s="72"/>
      <c r="E25" s="58"/>
      <c r="F25" s="58"/>
      <c r="G25" s="14"/>
      <c r="H25" s="14"/>
      <c r="I25" s="14"/>
      <c r="J25" s="14"/>
      <c r="K25" s="59"/>
      <c r="L25" s="59"/>
    </row>
    <row r="26" spans="1:21">
      <c r="A26" s="14"/>
      <c r="B26" s="71"/>
      <c r="C26" s="14"/>
      <c r="D26" s="72"/>
      <c r="E26" s="58"/>
      <c r="F26" s="58"/>
      <c r="G26" s="14"/>
      <c r="H26" s="14"/>
      <c r="I26" s="14"/>
      <c r="J26" s="14"/>
      <c r="K26" s="66"/>
      <c r="L26" s="66"/>
    </row>
    <row r="27" spans="1:21">
      <c r="A27" s="14"/>
      <c r="B27" s="71"/>
      <c r="C27" s="14"/>
      <c r="D27" s="72"/>
      <c r="E27" s="58"/>
      <c r="F27" s="58"/>
      <c r="G27" s="63"/>
      <c r="H27" s="14"/>
      <c r="I27" s="61"/>
      <c r="J27" s="61"/>
      <c r="K27" s="62"/>
      <c r="L27" s="62"/>
    </row>
    <row r="28" spans="1:21">
      <c r="A28" s="70"/>
      <c r="B28" s="71"/>
      <c r="C28" s="14"/>
      <c r="D28" s="72"/>
      <c r="E28" s="58"/>
      <c r="F28" s="58"/>
      <c r="G28" s="68"/>
      <c r="H28" s="14"/>
      <c r="I28" s="64"/>
      <c r="J28" s="64"/>
      <c r="K28" s="69"/>
      <c r="L28" s="69"/>
    </row>
    <row r="29" spans="1:21">
      <c r="A29" s="70"/>
      <c r="B29" s="71"/>
      <c r="C29" s="14"/>
      <c r="D29" s="72"/>
      <c r="E29" s="58"/>
      <c r="F29" s="58"/>
      <c r="G29" s="14"/>
      <c r="H29" s="14"/>
      <c r="I29" s="14"/>
      <c r="J29" s="14"/>
      <c r="K29" s="59"/>
      <c r="L29" s="59"/>
    </row>
    <row r="30" spans="1:21">
      <c r="A30" s="70"/>
      <c r="B30" s="71"/>
      <c r="C30" s="14"/>
      <c r="D30" s="72"/>
      <c r="E30" s="58"/>
      <c r="F30" s="58"/>
      <c r="G30" s="14"/>
      <c r="H30" s="14"/>
      <c r="I30" s="14"/>
      <c r="J30" s="14"/>
      <c r="K30" s="59"/>
      <c r="L30" s="59"/>
    </row>
    <row r="31" spans="1:21">
      <c r="A31" s="70"/>
      <c r="B31" s="71"/>
      <c r="C31" s="14"/>
      <c r="D31" s="72"/>
      <c r="E31" s="58"/>
      <c r="F31" s="58"/>
      <c r="G31" s="14"/>
      <c r="H31" s="14"/>
      <c r="I31" s="14"/>
      <c r="J31" s="14"/>
      <c r="K31" s="66"/>
      <c r="L31" s="66"/>
    </row>
    <row r="32" spans="1:21">
      <c r="A32" s="70"/>
      <c r="B32" s="71"/>
      <c r="C32" s="14"/>
      <c r="D32" s="72"/>
      <c r="E32" s="58"/>
      <c r="F32" s="58"/>
      <c r="G32" s="63"/>
      <c r="H32" s="14"/>
      <c r="I32" s="61"/>
      <c r="J32" s="61"/>
      <c r="K32" s="62"/>
      <c r="L32" s="62"/>
    </row>
    <row r="33" spans="3:12">
      <c r="C33" s="14"/>
      <c r="D33" s="72"/>
      <c r="E33" s="58"/>
      <c r="F33" s="58"/>
      <c r="G33" s="14"/>
      <c r="H33" s="14"/>
      <c r="I33" s="14"/>
      <c r="J33" s="14"/>
      <c r="K33" s="59"/>
      <c r="L33" s="59"/>
    </row>
    <row r="34" spans="3:12">
      <c r="C34" s="14"/>
      <c r="D34" s="72"/>
      <c r="E34" s="58"/>
      <c r="F34" s="58"/>
      <c r="G34" s="14"/>
      <c r="H34" s="14"/>
      <c r="I34" s="14"/>
      <c r="J34" s="14"/>
      <c r="K34" s="59"/>
      <c r="L34" s="59"/>
    </row>
    <row r="35" spans="3:12">
      <c r="C35" s="14"/>
      <c r="D35" s="72"/>
      <c r="E35" s="58"/>
      <c r="F35" s="58"/>
      <c r="G35" s="14"/>
      <c r="H35" s="14"/>
      <c r="I35" s="14"/>
      <c r="J35" s="14"/>
      <c r="K35" s="66"/>
      <c r="L35" s="66"/>
    </row>
    <row r="36" spans="3:12">
      <c r="C36" s="14"/>
      <c r="D36" s="72"/>
      <c r="E36" s="58"/>
      <c r="F36" s="58"/>
      <c r="G36" s="63"/>
      <c r="H36" s="14"/>
      <c r="I36" s="61"/>
      <c r="J36" s="61"/>
      <c r="K36" s="62"/>
      <c r="L36" s="62"/>
    </row>
    <row r="37" spans="3:12">
      <c r="C37" s="14"/>
      <c r="D37" s="72"/>
      <c r="E37" s="58"/>
      <c r="F37" s="58"/>
      <c r="G37" s="14"/>
      <c r="H37" s="14"/>
      <c r="I37" s="14"/>
      <c r="J37" s="14"/>
      <c r="K37" s="59"/>
      <c r="L37" s="59"/>
    </row>
    <row r="38" spans="3:12">
      <c r="C38" s="14"/>
      <c r="D38" s="72"/>
      <c r="E38" s="58"/>
      <c r="F38" s="58"/>
      <c r="G38" s="14"/>
      <c r="H38" s="14"/>
      <c r="I38" s="14"/>
      <c r="J38" s="14"/>
      <c r="K38" s="59"/>
      <c r="L38" s="59"/>
    </row>
    <row r="39" spans="3:12">
      <c r="C39" s="14"/>
      <c r="D39" s="72"/>
      <c r="E39" s="58"/>
      <c r="F39" s="58"/>
      <c r="G39" s="14"/>
      <c r="H39" s="14"/>
      <c r="I39" s="14"/>
      <c r="J39" s="14"/>
      <c r="K39" s="66"/>
      <c r="L39" s="66"/>
    </row>
    <row r="40" spans="3:12">
      <c r="C40" s="14"/>
      <c r="D40" s="72"/>
      <c r="E40" s="58"/>
      <c r="F40" s="58"/>
      <c r="G40" s="63"/>
      <c r="H40" s="14"/>
      <c r="I40" s="61"/>
      <c r="J40" s="61"/>
      <c r="K40" s="62"/>
      <c r="L40" s="62"/>
    </row>
  </sheetData>
  <mergeCells count="7">
    <mergeCell ref="A17:A19"/>
    <mergeCell ref="A14:A16"/>
    <mergeCell ref="A1:R1"/>
    <mergeCell ref="A3:A4"/>
    <mergeCell ref="A5:A6"/>
    <mergeCell ref="A7:A11"/>
    <mergeCell ref="A12:A13"/>
  </mergeCells>
  <pageMargins left="0.7" right="0.7" top="0.75" bottom="0.75" header="0.3" footer="0.3"/>
  <pageSetup scale="94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59999389629810485"/>
  </sheetPr>
  <dimension ref="A1:P41"/>
  <sheetViews>
    <sheetView topLeftCell="A22" workbookViewId="0">
      <selection activeCell="D41" sqref="D41:J41"/>
    </sheetView>
  </sheetViews>
  <sheetFormatPr defaultRowHeight="14"/>
  <cols>
    <col min="1" max="1" width="9.36328125" bestFit="1" customWidth="1"/>
    <col min="2" max="2" width="9.90625" bestFit="1" customWidth="1"/>
    <col min="3" max="3" width="14.6328125" bestFit="1" customWidth="1"/>
    <col min="4" max="4" width="14.08984375" bestFit="1" customWidth="1"/>
    <col min="5" max="5" width="14.90625" bestFit="1" customWidth="1"/>
    <col min="6" max="6" width="8.90625" bestFit="1" customWidth="1"/>
    <col min="7" max="7" width="16.54296875" bestFit="1" customWidth="1"/>
    <col min="8" max="8" width="9.90625" bestFit="1" customWidth="1"/>
    <col min="9" max="9" width="8.90625" bestFit="1" customWidth="1"/>
    <col min="10" max="10" width="9.90625" bestFit="1" customWidth="1"/>
    <col min="11" max="11" width="5.7265625" bestFit="1" customWidth="1"/>
    <col min="12" max="12" width="4.36328125" bestFit="1" customWidth="1"/>
    <col min="13" max="13" width="4.1796875" bestFit="1" customWidth="1"/>
    <col min="14" max="14" width="13.08984375" bestFit="1" customWidth="1"/>
    <col min="16" max="16" width="9.90625" bestFit="1" customWidth="1"/>
    <col min="20" max="20" width="14.81640625" bestFit="1" customWidth="1"/>
  </cols>
  <sheetData>
    <row r="1" spans="1:16">
      <c r="A1" s="662" t="s">
        <v>716</v>
      </c>
      <c r="B1" s="662" t="s">
        <v>717</v>
      </c>
      <c r="C1" s="663" t="s">
        <v>718</v>
      </c>
      <c r="D1" s="663" t="s">
        <v>719</v>
      </c>
      <c r="E1" s="662" t="s">
        <v>720</v>
      </c>
      <c r="F1" s="662" t="s">
        <v>721</v>
      </c>
      <c r="G1" s="662" t="s">
        <v>934</v>
      </c>
      <c r="H1" s="664" t="s">
        <v>722</v>
      </c>
      <c r="I1" s="665" t="s">
        <v>722</v>
      </c>
      <c r="J1" s="662" t="s">
        <v>935</v>
      </c>
      <c r="K1" s="662" t="s">
        <v>936</v>
      </c>
      <c r="L1" s="666" t="s">
        <v>937</v>
      </c>
      <c r="M1" s="666" t="s">
        <v>482</v>
      </c>
      <c r="N1" s="663" t="s">
        <v>938</v>
      </c>
    </row>
    <row r="2" spans="1:16">
      <c r="A2" s="1933" t="s">
        <v>1485</v>
      </c>
      <c r="B2" s="1938" t="s">
        <v>961</v>
      </c>
      <c r="C2" s="1937" t="s">
        <v>1479</v>
      </c>
      <c r="D2" s="1937" t="s">
        <v>1479</v>
      </c>
      <c r="E2" s="1944" t="s">
        <v>181</v>
      </c>
      <c r="F2" s="1933" t="s">
        <v>723</v>
      </c>
      <c r="G2" s="1939" t="s">
        <v>942</v>
      </c>
      <c r="H2" s="1935">
        <v>2403</v>
      </c>
      <c r="I2" s="1940">
        <v>2403</v>
      </c>
      <c r="J2" s="1935"/>
      <c r="K2" s="1933" t="s">
        <v>941</v>
      </c>
      <c r="L2" s="1936">
        <v>6</v>
      </c>
      <c r="M2" s="1936">
        <v>42</v>
      </c>
      <c r="N2" s="1934">
        <v>43160</v>
      </c>
      <c r="P2" s="57">
        <v>43143</v>
      </c>
    </row>
    <row r="3" spans="1:16">
      <c r="A3" s="1933" t="s">
        <v>1485</v>
      </c>
      <c r="B3" s="1938" t="s">
        <v>961</v>
      </c>
      <c r="C3" s="1937" t="s">
        <v>1479</v>
      </c>
      <c r="D3" s="1937" t="s">
        <v>1479</v>
      </c>
      <c r="E3" s="1933" t="s">
        <v>160</v>
      </c>
      <c r="F3" s="1933" t="s">
        <v>723</v>
      </c>
      <c r="G3" s="1939" t="s">
        <v>942</v>
      </c>
      <c r="H3" s="1935">
        <v>22</v>
      </c>
      <c r="I3" s="1940">
        <v>22</v>
      </c>
      <c r="J3" s="1935"/>
      <c r="K3" s="1933" t="s">
        <v>941</v>
      </c>
      <c r="L3" s="1936">
        <v>2</v>
      </c>
      <c r="M3" s="1936">
        <v>8</v>
      </c>
      <c r="N3" s="1934">
        <v>43160</v>
      </c>
      <c r="P3" s="57">
        <v>43199</v>
      </c>
    </row>
    <row r="4" spans="1:16">
      <c r="A4" s="1933" t="s">
        <v>1486</v>
      </c>
      <c r="B4" s="1938" t="s">
        <v>962</v>
      </c>
      <c r="C4" s="1937" t="s">
        <v>1479</v>
      </c>
      <c r="D4" s="1937" t="s">
        <v>1479</v>
      </c>
      <c r="E4" s="1944" t="s">
        <v>181</v>
      </c>
      <c r="F4" s="1933" t="s">
        <v>723</v>
      </c>
      <c r="G4" s="1939" t="s">
        <v>942</v>
      </c>
      <c r="H4" s="1935">
        <v>2409</v>
      </c>
      <c r="I4" s="1940">
        <v>2409</v>
      </c>
      <c r="J4" s="1935"/>
      <c r="K4" s="1933" t="s">
        <v>941</v>
      </c>
      <c r="L4" s="1936">
        <v>6</v>
      </c>
      <c r="M4" s="1936">
        <v>42</v>
      </c>
      <c r="N4" s="1934">
        <v>43160</v>
      </c>
      <c r="P4" s="57">
        <v>43262</v>
      </c>
    </row>
    <row r="5" spans="1:16">
      <c r="A5" s="1933" t="s">
        <v>1486</v>
      </c>
      <c r="B5" s="1938" t="s">
        <v>962</v>
      </c>
      <c r="C5" s="1937" t="s">
        <v>1479</v>
      </c>
      <c r="D5" s="1937" t="s">
        <v>1479</v>
      </c>
      <c r="E5" s="1933" t="s">
        <v>160</v>
      </c>
      <c r="F5" s="1933" t="s">
        <v>723</v>
      </c>
      <c r="G5" s="1939" t="s">
        <v>942</v>
      </c>
      <c r="H5" s="1935">
        <v>22</v>
      </c>
      <c r="I5" s="1940">
        <v>22</v>
      </c>
      <c r="J5" s="1935"/>
      <c r="K5" s="1933" t="s">
        <v>941</v>
      </c>
      <c r="L5" s="1936">
        <v>2</v>
      </c>
      <c r="M5" s="1936">
        <v>8</v>
      </c>
      <c r="N5" s="1934">
        <v>43160</v>
      </c>
      <c r="P5" s="57">
        <v>43319</v>
      </c>
    </row>
    <row r="6" spans="1:16">
      <c r="A6" s="1382"/>
      <c r="B6" s="1379"/>
      <c r="C6" s="1378"/>
      <c r="D6" s="1378"/>
      <c r="E6" s="1383"/>
      <c r="F6" s="1374"/>
      <c r="G6" s="1380"/>
      <c r="H6" s="1376"/>
      <c r="I6" s="1381"/>
      <c r="J6" s="1374"/>
      <c r="K6" s="1384"/>
      <c r="L6" s="1377"/>
      <c r="M6" s="1377"/>
      <c r="N6" s="1375"/>
      <c r="P6" s="57">
        <v>43388</v>
      </c>
    </row>
    <row r="7" spans="1:16">
      <c r="A7" s="2012" t="s">
        <v>1505</v>
      </c>
      <c r="B7" s="2017" t="s">
        <v>961</v>
      </c>
      <c r="C7" s="2016">
        <v>43199</v>
      </c>
      <c r="D7" s="2016">
        <v>43199</v>
      </c>
      <c r="E7" s="2020" t="s">
        <v>181</v>
      </c>
      <c r="F7" s="2012" t="s">
        <v>723</v>
      </c>
      <c r="G7" s="2018" t="s">
        <v>940</v>
      </c>
      <c r="H7" s="2014">
        <v>1237</v>
      </c>
      <c r="I7" s="2019">
        <v>1237</v>
      </c>
      <c r="J7" s="2012"/>
      <c r="K7" s="2021" t="s">
        <v>941</v>
      </c>
      <c r="L7" s="2015">
        <v>6</v>
      </c>
      <c r="M7" s="2015">
        <v>42</v>
      </c>
      <c r="N7" s="2013">
        <v>43216</v>
      </c>
      <c r="P7" s="57">
        <v>43409</v>
      </c>
    </row>
    <row r="8" spans="1:16">
      <c r="A8" s="2012" t="s">
        <v>1505</v>
      </c>
      <c r="B8" s="2017" t="s">
        <v>961</v>
      </c>
      <c r="C8" s="2016">
        <v>43199</v>
      </c>
      <c r="D8" s="2016">
        <v>43199</v>
      </c>
      <c r="E8" s="2012" t="s">
        <v>160</v>
      </c>
      <c r="F8" s="2012" t="s">
        <v>723</v>
      </c>
      <c r="G8" s="2018" t="s">
        <v>942</v>
      </c>
      <c r="H8" s="2014">
        <v>50</v>
      </c>
      <c r="I8" s="2019">
        <v>50</v>
      </c>
      <c r="J8" s="2014"/>
      <c r="K8" s="2012" t="s">
        <v>941</v>
      </c>
      <c r="L8" s="2015">
        <v>2</v>
      </c>
      <c r="M8" s="2015">
        <v>8</v>
      </c>
      <c r="N8" s="2013">
        <v>43216</v>
      </c>
      <c r="P8" s="57">
        <v>43453</v>
      </c>
    </row>
    <row r="9" spans="1:16">
      <c r="A9" s="2012" t="s">
        <v>1506</v>
      </c>
      <c r="B9" s="2017" t="s">
        <v>962</v>
      </c>
      <c r="C9" s="2016">
        <v>43199</v>
      </c>
      <c r="D9" s="2016">
        <v>43199</v>
      </c>
      <c r="E9" s="2020" t="s">
        <v>181</v>
      </c>
      <c r="F9" s="2012" t="s">
        <v>723</v>
      </c>
      <c r="G9" s="2018" t="s">
        <v>940</v>
      </c>
      <c r="H9" s="2014">
        <v>998</v>
      </c>
      <c r="I9" s="2019">
        <v>998</v>
      </c>
      <c r="J9" s="2012"/>
      <c r="K9" s="2021" t="s">
        <v>941</v>
      </c>
      <c r="L9" s="2015">
        <v>6</v>
      </c>
      <c r="M9" s="2015">
        <v>42</v>
      </c>
      <c r="N9" s="2013">
        <v>43216</v>
      </c>
      <c r="P9" s="57"/>
    </row>
    <row r="10" spans="1:16">
      <c r="A10" s="2012" t="s">
        <v>1506</v>
      </c>
      <c r="B10" s="2017" t="s">
        <v>962</v>
      </c>
      <c r="C10" s="2016">
        <v>43199</v>
      </c>
      <c r="D10" s="2016">
        <v>43199</v>
      </c>
      <c r="E10" s="2012" t="s">
        <v>160</v>
      </c>
      <c r="F10" s="2012" t="s">
        <v>723</v>
      </c>
      <c r="G10" s="2018" t="s">
        <v>942</v>
      </c>
      <c r="H10" s="2014">
        <v>27</v>
      </c>
      <c r="I10" s="2019">
        <v>27</v>
      </c>
      <c r="J10" s="2014"/>
      <c r="K10" s="2012" t="s">
        <v>941</v>
      </c>
      <c r="L10" s="2015">
        <v>2</v>
      </c>
      <c r="M10" s="2015">
        <v>8</v>
      </c>
      <c r="N10" s="2013">
        <v>43216</v>
      </c>
      <c r="P10" s="57"/>
    </row>
    <row r="11" spans="1:16">
      <c r="A11" s="1431"/>
      <c r="B11" s="1436"/>
      <c r="C11" s="1435"/>
      <c r="D11" s="1435"/>
      <c r="E11" s="1431"/>
      <c r="F11" s="1431"/>
      <c r="G11" s="1437"/>
      <c r="H11" s="1433"/>
      <c r="I11" s="1438"/>
      <c r="J11" s="1433"/>
      <c r="K11" s="1431"/>
      <c r="L11" s="1434"/>
      <c r="M11" s="1434"/>
      <c r="N11" s="1432"/>
    </row>
    <row r="12" spans="1:16">
      <c r="A12" s="2101" t="s">
        <v>1529</v>
      </c>
      <c r="B12" s="2107" t="s">
        <v>961</v>
      </c>
      <c r="C12" s="2106">
        <v>43262</v>
      </c>
      <c r="D12" s="2106">
        <v>43262</v>
      </c>
      <c r="E12" s="2111" t="s">
        <v>181</v>
      </c>
      <c r="F12" s="2102" t="s">
        <v>723</v>
      </c>
      <c r="G12" s="2108" t="s">
        <v>940</v>
      </c>
      <c r="H12" s="2104">
        <v>974</v>
      </c>
      <c r="I12" s="2109">
        <v>974</v>
      </c>
      <c r="J12" s="2102"/>
      <c r="K12" s="2112" t="s">
        <v>941</v>
      </c>
      <c r="L12" s="2105">
        <v>6</v>
      </c>
      <c r="M12" s="2105">
        <v>42</v>
      </c>
      <c r="N12" s="2103">
        <v>43272</v>
      </c>
    </row>
    <row r="13" spans="1:16">
      <c r="A13" s="2101" t="s">
        <v>1529</v>
      </c>
      <c r="B13" s="2107" t="s">
        <v>961</v>
      </c>
      <c r="C13" s="2106">
        <v>43262</v>
      </c>
      <c r="D13" s="2106">
        <v>43262</v>
      </c>
      <c r="E13" s="2102" t="s">
        <v>160</v>
      </c>
      <c r="F13" s="2102" t="s">
        <v>723</v>
      </c>
      <c r="G13" s="2108" t="s">
        <v>942</v>
      </c>
      <c r="H13" s="2104">
        <v>149</v>
      </c>
      <c r="I13" s="2109">
        <v>149</v>
      </c>
      <c r="J13" s="2104"/>
      <c r="K13" s="2102" t="s">
        <v>941</v>
      </c>
      <c r="L13" s="2105">
        <v>2</v>
      </c>
      <c r="M13" s="2105">
        <v>8</v>
      </c>
      <c r="N13" s="2103">
        <v>43272</v>
      </c>
    </row>
    <row r="14" spans="1:16">
      <c r="A14" s="2110" t="s">
        <v>1530</v>
      </c>
      <c r="B14" s="2107" t="s">
        <v>962</v>
      </c>
      <c r="C14" s="2106">
        <v>43262</v>
      </c>
      <c r="D14" s="2106">
        <v>43262</v>
      </c>
      <c r="E14" s="2111" t="s">
        <v>181</v>
      </c>
      <c r="F14" s="2102" t="s">
        <v>723</v>
      </c>
      <c r="G14" s="2108" t="s">
        <v>940</v>
      </c>
      <c r="H14" s="2104">
        <v>851</v>
      </c>
      <c r="I14" s="2109">
        <v>851</v>
      </c>
      <c r="J14" s="2102"/>
      <c r="K14" s="2112" t="s">
        <v>941</v>
      </c>
      <c r="L14" s="2105">
        <v>6</v>
      </c>
      <c r="M14" s="2105">
        <v>42</v>
      </c>
      <c r="N14" s="2103">
        <v>43272</v>
      </c>
    </row>
    <row r="15" spans="1:16">
      <c r="A15" s="2110" t="s">
        <v>1530</v>
      </c>
      <c r="B15" s="2107" t="s">
        <v>962</v>
      </c>
      <c r="C15" s="2106">
        <v>43262</v>
      </c>
      <c r="D15" s="2106">
        <v>43262</v>
      </c>
      <c r="E15" s="2102" t="s">
        <v>160</v>
      </c>
      <c r="F15" s="2102" t="s">
        <v>723</v>
      </c>
      <c r="G15" s="2108" t="s">
        <v>942</v>
      </c>
      <c r="H15" s="2104">
        <v>122</v>
      </c>
      <c r="I15" s="2109">
        <v>122</v>
      </c>
      <c r="J15" s="2104"/>
      <c r="K15" s="2102" t="s">
        <v>941</v>
      </c>
      <c r="L15" s="2105">
        <v>2</v>
      </c>
      <c r="M15" s="2105">
        <v>8</v>
      </c>
      <c r="N15" s="2103">
        <v>43272</v>
      </c>
    </row>
    <row r="16" spans="1:16">
      <c r="A16" s="1452"/>
      <c r="B16" s="1457"/>
      <c r="C16" s="1456"/>
      <c r="D16" s="1456"/>
      <c r="E16" s="1460"/>
      <c r="F16" s="1452"/>
      <c r="G16" s="1458"/>
      <c r="H16" s="1454"/>
      <c r="I16" s="1459"/>
      <c r="J16" s="1452"/>
      <c r="K16" s="1461"/>
      <c r="L16" s="1455"/>
      <c r="M16" s="1455"/>
      <c r="N16" s="1453"/>
    </row>
    <row r="17" spans="1:14">
      <c r="A17" s="2179" t="s">
        <v>1552</v>
      </c>
      <c r="B17" s="2185" t="s">
        <v>961</v>
      </c>
      <c r="C17" s="2184">
        <v>43319</v>
      </c>
      <c r="D17" s="2184">
        <v>43319</v>
      </c>
      <c r="E17" s="2189" t="s">
        <v>181</v>
      </c>
      <c r="F17" s="2180" t="s">
        <v>723</v>
      </c>
      <c r="G17" s="2186" t="s">
        <v>940</v>
      </c>
      <c r="H17" s="2182">
        <v>911</v>
      </c>
      <c r="I17" s="2187">
        <v>911</v>
      </c>
      <c r="J17" s="2180"/>
      <c r="K17" s="2190" t="s">
        <v>941</v>
      </c>
      <c r="L17" s="2183">
        <v>6</v>
      </c>
      <c r="M17" s="2183">
        <v>42</v>
      </c>
      <c r="N17" s="2181">
        <v>43328</v>
      </c>
    </row>
    <row r="18" spans="1:14">
      <c r="A18" s="2179" t="s">
        <v>1552</v>
      </c>
      <c r="B18" s="2185" t="s">
        <v>961</v>
      </c>
      <c r="C18" s="2184">
        <v>43319</v>
      </c>
      <c r="D18" s="2184">
        <v>43319</v>
      </c>
      <c r="E18" s="2180" t="s">
        <v>160</v>
      </c>
      <c r="F18" s="2180" t="s">
        <v>723</v>
      </c>
      <c r="G18" s="2186" t="s">
        <v>942</v>
      </c>
      <c r="H18" s="2182">
        <v>136</v>
      </c>
      <c r="I18" s="2187">
        <v>136</v>
      </c>
      <c r="J18" s="2182"/>
      <c r="K18" s="2180" t="s">
        <v>941</v>
      </c>
      <c r="L18" s="2183">
        <v>2</v>
      </c>
      <c r="M18" s="2183">
        <v>8</v>
      </c>
      <c r="N18" s="2181">
        <v>43328</v>
      </c>
    </row>
    <row r="19" spans="1:14">
      <c r="A19" s="2188" t="s">
        <v>1553</v>
      </c>
      <c r="B19" s="2185" t="s">
        <v>962</v>
      </c>
      <c r="C19" s="2184">
        <v>43319</v>
      </c>
      <c r="D19" s="2184">
        <v>43319</v>
      </c>
      <c r="E19" s="2189" t="s">
        <v>181</v>
      </c>
      <c r="F19" s="2180" t="s">
        <v>723</v>
      </c>
      <c r="G19" s="2186" t="s">
        <v>940</v>
      </c>
      <c r="H19" s="2182">
        <v>717</v>
      </c>
      <c r="I19" s="2187">
        <v>717</v>
      </c>
      <c r="J19" s="2180"/>
      <c r="K19" s="2190" t="s">
        <v>941</v>
      </c>
      <c r="L19" s="2183">
        <v>6</v>
      </c>
      <c r="M19" s="2183">
        <v>42</v>
      </c>
      <c r="N19" s="2181">
        <v>43328</v>
      </c>
    </row>
    <row r="20" spans="1:14">
      <c r="A20" s="2188" t="s">
        <v>1553</v>
      </c>
      <c r="B20" s="2185" t="s">
        <v>962</v>
      </c>
      <c r="C20" s="2184">
        <v>43319</v>
      </c>
      <c r="D20" s="2184">
        <v>43319</v>
      </c>
      <c r="E20" s="2180" t="s">
        <v>160</v>
      </c>
      <c r="F20" s="2180" t="s">
        <v>723</v>
      </c>
      <c r="G20" s="2186" t="s">
        <v>942</v>
      </c>
      <c r="H20" s="2182">
        <v>120</v>
      </c>
      <c r="I20" s="2187">
        <v>120</v>
      </c>
      <c r="J20" s="2182"/>
      <c r="K20" s="2180" t="s">
        <v>941</v>
      </c>
      <c r="L20" s="2183">
        <v>2</v>
      </c>
      <c r="M20" s="2183">
        <v>8</v>
      </c>
      <c r="N20" s="2181">
        <v>43328</v>
      </c>
    </row>
    <row r="21" spans="1:14">
      <c r="A21" s="667"/>
      <c r="B21" s="1503"/>
      <c r="C21" s="723"/>
      <c r="D21" s="723"/>
      <c r="E21" s="1498"/>
      <c r="F21" s="1498"/>
      <c r="G21" s="1504"/>
      <c r="H21" s="668"/>
      <c r="I21" s="722"/>
      <c r="J21" s="668"/>
      <c r="K21" s="1498"/>
      <c r="L21" s="1501"/>
      <c r="M21" s="1501"/>
      <c r="N21" s="721"/>
    </row>
    <row r="22" spans="1:14">
      <c r="A22" s="2345" t="s">
        <v>1578</v>
      </c>
      <c r="B22" s="2351" t="s">
        <v>961</v>
      </c>
      <c r="C22" s="2350">
        <v>43388</v>
      </c>
      <c r="D22" s="2350">
        <v>43388</v>
      </c>
      <c r="E22" s="2355" t="s">
        <v>181</v>
      </c>
      <c r="F22" s="2346" t="s">
        <v>723</v>
      </c>
      <c r="G22" s="2352" t="s">
        <v>940</v>
      </c>
      <c r="H22" s="2348">
        <v>1304</v>
      </c>
      <c r="I22" s="2353">
        <v>1304</v>
      </c>
      <c r="J22" s="2346"/>
      <c r="K22" s="2356" t="s">
        <v>941</v>
      </c>
      <c r="L22" s="2349">
        <v>6</v>
      </c>
      <c r="M22" s="2349">
        <v>42</v>
      </c>
      <c r="N22" s="2347">
        <v>43392</v>
      </c>
    </row>
    <row r="23" spans="1:14">
      <c r="A23" s="2345" t="s">
        <v>1578</v>
      </c>
      <c r="B23" s="2351" t="s">
        <v>961</v>
      </c>
      <c r="C23" s="2350">
        <v>43388</v>
      </c>
      <c r="D23" s="2350">
        <v>43388</v>
      </c>
      <c r="E23" s="2346" t="s">
        <v>160</v>
      </c>
      <c r="F23" s="2346" t="s">
        <v>723</v>
      </c>
      <c r="G23" s="2352" t="s">
        <v>942</v>
      </c>
      <c r="H23" s="2348">
        <v>43</v>
      </c>
      <c r="I23" s="2353">
        <v>43</v>
      </c>
      <c r="J23" s="2348"/>
      <c r="K23" s="2346" t="s">
        <v>941</v>
      </c>
      <c r="L23" s="2349">
        <v>2</v>
      </c>
      <c r="M23" s="2349">
        <v>8</v>
      </c>
      <c r="N23" s="2347">
        <v>43392</v>
      </c>
    </row>
    <row r="24" spans="1:14">
      <c r="A24" s="2354" t="s">
        <v>1579</v>
      </c>
      <c r="B24" s="2351" t="s">
        <v>962</v>
      </c>
      <c r="C24" s="2350">
        <v>43388</v>
      </c>
      <c r="D24" s="2350">
        <v>43388</v>
      </c>
      <c r="E24" s="2355" t="s">
        <v>181</v>
      </c>
      <c r="F24" s="2346" t="s">
        <v>723</v>
      </c>
      <c r="G24" s="2352" t="s">
        <v>940</v>
      </c>
      <c r="H24" s="2348">
        <v>1239</v>
      </c>
      <c r="I24" s="2353">
        <v>1239</v>
      </c>
      <c r="J24" s="2346"/>
      <c r="K24" s="2356" t="s">
        <v>941</v>
      </c>
      <c r="L24" s="2349">
        <v>6</v>
      </c>
      <c r="M24" s="2349">
        <v>42</v>
      </c>
      <c r="N24" s="2347">
        <v>43392</v>
      </c>
    </row>
    <row r="25" spans="1:14">
      <c r="A25" s="2354" t="s">
        <v>1579</v>
      </c>
      <c r="B25" s="2351" t="s">
        <v>962</v>
      </c>
      <c r="C25" s="2350">
        <v>43388</v>
      </c>
      <c r="D25" s="2350">
        <v>43388</v>
      </c>
      <c r="E25" s="2346" t="s">
        <v>160</v>
      </c>
      <c r="F25" s="2346" t="s">
        <v>723</v>
      </c>
      <c r="G25" s="2352" t="s">
        <v>942</v>
      </c>
      <c r="H25" s="2348">
        <v>31</v>
      </c>
      <c r="I25" s="2353">
        <v>31</v>
      </c>
      <c r="J25" s="2348"/>
      <c r="K25" s="2346" t="s">
        <v>941</v>
      </c>
      <c r="L25" s="2349">
        <v>2</v>
      </c>
      <c r="M25" s="2349">
        <v>8</v>
      </c>
      <c r="N25" s="2347">
        <v>43392</v>
      </c>
    </row>
    <row r="26" spans="1:14">
      <c r="A26" s="287"/>
      <c r="B26" s="285"/>
      <c r="C26" s="109"/>
      <c r="D26" s="109"/>
      <c r="E26" s="286"/>
      <c r="F26" s="287"/>
      <c r="G26" s="288"/>
      <c r="H26" s="287"/>
      <c r="I26" s="285"/>
      <c r="J26" s="287"/>
      <c r="K26" s="205"/>
      <c r="L26" s="218"/>
      <c r="M26" s="218"/>
      <c r="N26" s="219"/>
    </row>
    <row r="27" spans="1:14">
      <c r="A27" s="2434" t="s">
        <v>1595</v>
      </c>
      <c r="B27" s="2440" t="s">
        <v>961</v>
      </c>
      <c r="C27" s="2439">
        <v>43409</v>
      </c>
      <c r="D27" s="2439">
        <v>43409</v>
      </c>
      <c r="E27" s="2444" t="s">
        <v>181</v>
      </c>
      <c r="F27" s="2435" t="s">
        <v>723</v>
      </c>
      <c r="G27" s="2441" t="s">
        <v>940</v>
      </c>
      <c r="H27" s="2437">
        <v>1041</v>
      </c>
      <c r="I27" s="2442">
        <v>1041</v>
      </c>
      <c r="J27" s="2435"/>
      <c r="K27" s="2445" t="s">
        <v>941</v>
      </c>
      <c r="L27" s="2438">
        <v>6</v>
      </c>
      <c r="M27" s="2438">
        <v>42</v>
      </c>
      <c r="N27" s="2436">
        <v>43438</v>
      </c>
    </row>
    <row r="28" spans="1:14">
      <c r="A28" s="2434" t="s">
        <v>1595</v>
      </c>
      <c r="B28" s="2440" t="s">
        <v>961</v>
      </c>
      <c r="C28" s="2439">
        <v>43409</v>
      </c>
      <c r="D28" s="2439">
        <v>43409</v>
      </c>
      <c r="E28" s="2435" t="s">
        <v>160</v>
      </c>
      <c r="F28" s="2435" t="s">
        <v>723</v>
      </c>
      <c r="G28" s="2441" t="s">
        <v>942</v>
      </c>
      <c r="H28" s="2437">
        <v>29</v>
      </c>
      <c r="I28" s="2442">
        <v>29</v>
      </c>
      <c r="J28" s="2437"/>
      <c r="K28" s="2435" t="s">
        <v>941</v>
      </c>
      <c r="L28" s="2438">
        <v>2</v>
      </c>
      <c r="M28" s="2438">
        <v>8</v>
      </c>
      <c r="N28" s="2436">
        <v>43438</v>
      </c>
    </row>
    <row r="29" spans="1:14">
      <c r="A29" s="2443" t="s">
        <v>1596</v>
      </c>
      <c r="B29" s="2440" t="s">
        <v>962</v>
      </c>
      <c r="C29" s="2439">
        <v>43409</v>
      </c>
      <c r="D29" s="2439">
        <v>43409</v>
      </c>
      <c r="E29" s="2444" t="s">
        <v>181</v>
      </c>
      <c r="F29" s="2435" t="s">
        <v>723</v>
      </c>
      <c r="G29" s="2441" t="s">
        <v>940</v>
      </c>
      <c r="H29" s="2437">
        <v>877</v>
      </c>
      <c r="I29" s="2442">
        <v>877</v>
      </c>
      <c r="J29" s="2435"/>
      <c r="K29" s="2445" t="s">
        <v>941</v>
      </c>
      <c r="L29" s="2438">
        <v>6</v>
      </c>
      <c r="M29" s="2438">
        <v>42</v>
      </c>
      <c r="N29" s="2436">
        <v>43438</v>
      </c>
    </row>
    <row r="30" spans="1:14">
      <c r="A30" s="2443" t="s">
        <v>1596</v>
      </c>
      <c r="B30" s="2440" t="s">
        <v>962</v>
      </c>
      <c r="C30" s="2439">
        <v>43409</v>
      </c>
      <c r="D30" s="2439">
        <v>43409</v>
      </c>
      <c r="E30" s="2435" t="s">
        <v>160</v>
      </c>
      <c r="F30" s="2435" t="s">
        <v>723</v>
      </c>
      <c r="G30" s="2441" t="s">
        <v>942</v>
      </c>
      <c r="H30" s="2437">
        <v>24</v>
      </c>
      <c r="I30" s="2442">
        <v>24</v>
      </c>
      <c r="J30" s="2437"/>
      <c r="K30" s="2435" t="s">
        <v>941</v>
      </c>
      <c r="L30" s="2438">
        <v>2</v>
      </c>
      <c r="M30" s="2438">
        <v>8</v>
      </c>
      <c r="N30" s="2436">
        <v>43438</v>
      </c>
    </row>
    <row r="31" spans="1:14">
      <c r="A31" s="1503"/>
      <c r="B31" s="723"/>
      <c r="C31" s="1506"/>
      <c r="D31" s="722"/>
      <c r="E31" s="1530"/>
      <c r="F31" s="287"/>
      <c r="G31" s="288"/>
      <c r="H31" s="290"/>
      <c r="I31" s="289"/>
      <c r="J31" s="205"/>
      <c r="K31" s="287"/>
      <c r="L31" s="291"/>
      <c r="M31" s="291"/>
      <c r="N31" s="219"/>
    </row>
    <row r="32" spans="1:14">
      <c r="A32" s="2446" t="s">
        <v>1597</v>
      </c>
      <c r="B32" s="2452" t="s">
        <v>961</v>
      </c>
      <c r="C32" s="2451">
        <v>43444</v>
      </c>
      <c r="D32" s="2451">
        <v>43444</v>
      </c>
      <c r="E32" s="2456" t="s">
        <v>181</v>
      </c>
      <c r="F32" s="2447" t="s">
        <v>723</v>
      </c>
      <c r="G32" s="2453" t="s">
        <v>940</v>
      </c>
      <c r="H32" s="2449">
        <v>3213</v>
      </c>
      <c r="I32" s="2454">
        <v>3213</v>
      </c>
      <c r="J32" s="2447"/>
      <c r="K32" s="2457" t="s">
        <v>941</v>
      </c>
      <c r="L32" s="2450">
        <v>6</v>
      </c>
      <c r="M32" s="2450">
        <v>42</v>
      </c>
      <c r="N32" s="2448">
        <v>43448</v>
      </c>
    </row>
    <row r="33" spans="1:14">
      <c r="A33" s="2446" t="s">
        <v>1597</v>
      </c>
      <c r="B33" s="2452" t="s">
        <v>961</v>
      </c>
      <c r="C33" s="2451">
        <v>43444</v>
      </c>
      <c r="D33" s="2451">
        <v>43444</v>
      </c>
      <c r="E33" s="2447" t="s">
        <v>160</v>
      </c>
      <c r="F33" s="2447" t="s">
        <v>723</v>
      </c>
      <c r="G33" s="2453" t="s">
        <v>942</v>
      </c>
      <c r="H33" s="2449">
        <v>22</v>
      </c>
      <c r="I33" s="2454">
        <v>22</v>
      </c>
      <c r="J33" s="2449"/>
      <c r="K33" s="2447" t="s">
        <v>941</v>
      </c>
      <c r="L33" s="2450">
        <v>2</v>
      </c>
      <c r="M33" s="2450">
        <v>8</v>
      </c>
      <c r="N33" s="2448">
        <v>43448</v>
      </c>
    </row>
    <row r="34" spans="1:14">
      <c r="A34" s="2455" t="s">
        <v>1598</v>
      </c>
      <c r="B34" s="2452" t="s">
        <v>962</v>
      </c>
      <c r="C34" s="2451">
        <v>43444</v>
      </c>
      <c r="D34" s="2451">
        <v>43444</v>
      </c>
      <c r="E34" s="2456" t="s">
        <v>181</v>
      </c>
      <c r="F34" s="2447" t="s">
        <v>723</v>
      </c>
      <c r="G34" s="2453" t="s">
        <v>940</v>
      </c>
      <c r="H34" s="2449">
        <v>3110</v>
      </c>
      <c r="I34" s="2454">
        <v>3110</v>
      </c>
      <c r="J34" s="2447"/>
      <c r="K34" s="2457" t="s">
        <v>941</v>
      </c>
      <c r="L34" s="2450">
        <v>6</v>
      </c>
      <c r="M34" s="2450">
        <v>42</v>
      </c>
      <c r="N34" s="2448">
        <v>43448</v>
      </c>
    </row>
    <row r="35" spans="1:14">
      <c r="A35" s="2455" t="s">
        <v>1598</v>
      </c>
      <c r="B35" s="2452" t="s">
        <v>962</v>
      </c>
      <c r="C35" s="2451">
        <v>43444</v>
      </c>
      <c r="D35" s="2451">
        <v>43444</v>
      </c>
      <c r="E35" s="2447" t="s">
        <v>160</v>
      </c>
      <c r="F35" s="2447" t="s">
        <v>723</v>
      </c>
      <c r="G35" s="2453" t="s">
        <v>942</v>
      </c>
      <c r="H35" s="2449">
        <v>21</v>
      </c>
      <c r="I35" s="2454">
        <v>21</v>
      </c>
      <c r="J35" s="2449"/>
      <c r="K35" s="2447" t="s">
        <v>941</v>
      </c>
      <c r="L35" s="2450">
        <v>2</v>
      </c>
      <c r="M35" s="2450">
        <v>8</v>
      </c>
      <c r="N35" s="2448">
        <v>43448</v>
      </c>
    </row>
    <row r="36" spans="1:14" s="358" customFormat="1">
      <c r="A36" s="2684"/>
      <c r="B36" s="2681"/>
      <c r="C36" s="2680"/>
      <c r="D36" s="2680"/>
      <c r="E36" s="2676"/>
      <c r="F36" s="2676"/>
      <c r="G36" s="2682"/>
      <c r="H36" s="2678"/>
      <c r="I36" s="2683"/>
      <c r="J36" s="2678"/>
      <c r="K36" s="2676"/>
      <c r="L36" s="2679"/>
      <c r="M36" s="2679"/>
      <c r="N36" s="2677"/>
    </row>
    <row r="37" spans="1:14">
      <c r="A37" s="1503"/>
      <c r="B37" s="1502"/>
      <c r="C37" s="1498"/>
      <c r="D37" s="2703">
        <v>43143</v>
      </c>
      <c r="E37" s="2764">
        <v>43199</v>
      </c>
      <c r="F37" s="57">
        <v>43262</v>
      </c>
      <c r="G37" s="57">
        <v>43319</v>
      </c>
      <c r="H37" s="57">
        <v>43388</v>
      </c>
      <c r="I37" s="57">
        <v>43409</v>
      </c>
      <c r="J37" s="57">
        <v>43453</v>
      </c>
    </row>
    <row r="38" spans="1:14">
      <c r="A38" s="1503"/>
      <c r="B38" s="2707" t="s">
        <v>961</v>
      </c>
      <c r="C38" s="2711" t="s">
        <v>181</v>
      </c>
      <c r="D38" s="2704">
        <v>2403</v>
      </c>
      <c r="E38" s="2704">
        <v>1237</v>
      </c>
      <c r="F38" s="2704">
        <v>974</v>
      </c>
      <c r="G38" s="2704">
        <v>911</v>
      </c>
      <c r="H38" s="2678">
        <v>1304</v>
      </c>
      <c r="I38" s="2678">
        <v>1041</v>
      </c>
      <c r="J38" s="2678">
        <v>3213</v>
      </c>
    </row>
    <row r="39" spans="1:14">
      <c r="A39" s="1503"/>
      <c r="B39" s="2707" t="s">
        <v>961</v>
      </c>
      <c r="C39" s="2702" t="s">
        <v>160</v>
      </c>
      <c r="D39" s="2704">
        <v>22</v>
      </c>
      <c r="E39" s="2704">
        <v>50</v>
      </c>
      <c r="F39" s="2704">
        <v>149</v>
      </c>
      <c r="G39" s="2704">
        <v>136</v>
      </c>
      <c r="H39" s="2678">
        <v>43</v>
      </c>
      <c r="I39" s="2678">
        <v>29</v>
      </c>
      <c r="J39" s="2678">
        <v>22</v>
      </c>
    </row>
    <row r="40" spans="1:14">
      <c r="A40" s="1503"/>
      <c r="B40" s="2707" t="s">
        <v>962</v>
      </c>
      <c r="C40" s="2711" t="s">
        <v>181</v>
      </c>
      <c r="D40" s="2704">
        <v>2409</v>
      </c>
      <c r="E40" s="2704">
        <v>998</v>
      </c>
      <c r="F40" s="2704">
        <v>851</v>
      </c>
      <c r="G40" s="2704">
        <v>717</v>
      </c>
      <c r="H40" s="2678">
        <v>1239</v>
      </c>
      <c r="I40" s="2678">
        <v>877</v>
      </c>
      <c r="J40" s="2678">
        <v>3110</v>
      </c>
    </row>
    <row r="41" spans="1:14">
      <c r="B41" s="2707" t="s">
        <v>962</v>
      </c>
      <c r="C41" s="2702" t="s">
        <v>160</v>
      </c>
      <c r="D41" s="2704">
        <v>22</v>
      </c>
      <c r="E41" s="2704">
        <v>27</v>
      </c>
      <c r="F41" s="2704">
        <v>122</v>
      </c>
      <c r="G41" s="2704">
        <v>120</v>
      </c>
      <c r="H41" s="2678">
        <v>31</v>
      </c>
      <c r="I41" s="2678">
        <v>24</v>
      </c>
      <c r="J41" s="2678">
        <v>21</v>
      </c>
    </row>
  </sheetData>
  <pageMargins left="0.7" right="0.7" top="0.75" bottom="0.75" header="0.3" footer="0.3"/>
  <pageSetup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59999389629810485"/>
  </sheetPr>
  <dimension ref="A2:T79"/>
  <sheetViews>
    <sheetView topLeftCell="C52" workbookViewId="0">
      <selection activeCell="D62" sqref="D62:G68"/>
    </sheetView>
  </sheetViews>
  <sheetFormatPr defaultRowHeight="14"/>
  <cols>
    <col min="1" max="1" width="10.453125" bestFit="1" customWidth="1"/>
    <col min="2" max="2" width="7.1796875" bestFit="1" customWidth="1"/>
    <col min="3" max="3" width="12.08984375" bestFit="1" customWidth="1"/>
    <col min="4" max="4" width="10.26953125" bestFit="1" customWidth="1"/>
    <col min="5" max="5" width="10.1796875" bestFit="1" customWidth="1"/>
    <col min="6" max="6" width="10.36328125" bestFit="1" customWidth="1"/>
    <col min="7" max="7" width="10.1796875" bestFit="1" customWidth="1"/>
    <col min="8" max="8" width="9.26953125" customWidth="1"/>
    <col min="9" max="9" width="8.453125" bestFit="1" customWidth="1"/>
    <col min="10" max="10" width="10.7265625" bestFit="1" customWidth="1"/>
    <col min="11" max="11" width="8.6328125" bestFit="1" customWidth="1"/>
    <col min="12" max="12" width="11.7265625" style="358" customWidth="1"/>
    <col min="13" max="13" width="9.36328125" bestFit="1" customWidth="1"/>
    <col min="14" max="14" width="6" bestFit="1" customWidth="1"/>
  </cols>
  <sheetData>
    <row r="2" spans="1:20" ht="28" customHeight="1">
      <c r="A2" s="249" t="s">
        <v>236</v>
      </c>
      <c r="B2" s="250" t="s">
        <v>9</v>
      </c>
      <c r="C2" s="2765" t="s">
        <v>235</v>
      </c>
      <c r="D2" s="2848" t="s">
        <v>133</v>
      </c>
      <c r="E2" s="2849" t="s">
        <v>135</v>
      </c>
      <c r="F2" s="2850" t="s">
        <v>139</v>
      </c>
      <c r="G2" s="2851" t="s">
        <v>963</v>
      </c>
      <c r="H2" s="1900" t="s">
        <v>964</v>
      </c>
      <c r="I2" s="2850" t="s">
        <v>234</v>
      </c>
      <c r="J2" s="2852" t="s">
        <v>873</v>
      </c>
      <c r="K2" s="2850" t="s">
        <v>250</v>
      </c>
      <c r="L2" s="2853" t="s">
        <v>1741</v>
      </c>
      <c r="M2" s="1900" t="s">
        <v>1742</v>
      </c>
      <c r="N2" s="2853" t="s">
        <v>321</v>
      </c>
      <c r="P2" s="569" t="s">
        <v>151</v>
      </c>
      <c r="Q2" s="569" t="s">
        <v>152</v>
      </c>
      <c r="R2" s="569" t="s">
        <v>153</v>
      </c>
      <c r="S2" s="569" t="s">
        <v>154</v>
      </c>
      <c r="T2" s="569" t="s">
        <v>307</v>
      </c>
    </row>
    <row r="3" spans="1:20">
      <c r="A3" s="3009" t="s">
        <v>495</v>
      </c>
      <c r="B3" s="2995" t="s">
        <v>332</v>
      </c>
      <c r="C3" s="2997" t="s">
        <v>535</v>
      </c>
      <c r="D3" s="1880">
        <v>43143</v>
      </c>
      <c r="E3" s="2766">
        <v>0.4861111111111111</v>
      </c>
      <c r="F3" s="251">
        <v>7.77</v>
      </c>
      <c r="G3" s="252">
        <v>0</v>
      </c>
      <c r="H3" s="309">
        <v>3.6</v>
      </c>
      <c r="I3" s="251">
        <v>4.63</v>
      </c>
      <c r="J3" s="534">
        <v>769.2</v>
      </c>
      <c r="K3" s="251">
        <v>0.74</v>
      </c>
      <c r="L3" s="759">
        <v>0.08</v>
      </c>
      <c r="M3" s="2769">
        <v>2</v>
      </c>
      <c r="N3" s="2770" t="s">
        <v>871</v>
      </c>
      <c r="P3" s="151">
        <v>2</v>
      </c>
      <c r="Q3" s="150">
        <v>0.47</v>
      </c>
      <c r="R3" s="150">
        <v>0.83</v>
      </c>
      <c r="S3" s="150">
        <f>Q3*3</f>
        <v>1.41</v>
      </c>
      <c r="T3" s="7">
        <f>R3*S3</f>
        <v>1.1702999999999999</v>
      </c>
    </row>
    <row r="4" spans="1:20">
      <c r="A4" s="3010"/>
      <c r="B4" s="2995"/>
      <c r="C4" s="2997"/>
      <c r="D4" s="1880">
        <v>43199</v>
      </c>
      <c r="E4" s="2771">
        <v>0.50694444444444442</v>
      </c>
      <c r="F4" s="2772">
        <v>7.99</v>
      </c>
      <c r="G4" s="2772">
        <v>6.5</v>
      </c>
      <c r="H4" s="309">
        <v>14</v>
      </c>
      <c r="I4" s="2772">
        <v>11.11</v>
      </c>
      <c r="J4" s="2773">
        <v>1210</v>
      </c>
      <c r="K4" s="2772">
        <v>0.47</v>
      </c>
      <c r="L4" s="2792">
        <v>0.2</v>
      </c>
      <c r="M4" s="2774">
        <v>3</v>
      </c>
      <c r="N4" s="2775" t="s">
        <v>871</v>
      </c>
      <c r="P4" s="152">
        <v>4</v>
      </c>
      <c r="Q4" s="5">
        <v>0.24</v>
      </c>
      <c r="R4" s="5">
        <v>0.37</v>
      </c>
      <c r="S4" s="150">
        <f>Q4*2.4</f>
        <v>0.57599999999999996</v>
      </c>
      <c r="T4" s="150">
        <f>R4*S4</f>
        <v>0.21311999999999998</v>
      </c>
    </row>
    <row r="5" spans="1:20">
      <c r="A5" s="3010"/>
      <c r="B5" s="2995"/>
      <c r="C5" s="2997"/>
      <c r="D5" s="1880">
        <v>43262</v>
      </c>
      <c r="E5" s="2766">
        <v>0.47916666666666669</v>
      </c>
      <c r="F5" s="251">
        <v>7.83</v>
      </c>
      <c r="G5" s="251">
        <v>15.2</v>
      </c>
      <c r="H5" s="309">
        <v>27.4</v>
      </c>
      <c r="I5" s="251">
        <v>6.37</v>
      </c>
      <c r="J5" s="2776">
        <v>1251</v>
      </c>
      <c r="K5" s="251">
        <v>0.55000000000000004</v>
      </c>
      <c r="L5" s="759">
        <v>0.3</v>
      </c>
      <c r="M5" s="752">
        <v>3</v>
      </c>
      <c r="N5" s="536" t="s">
        <v>871</v>
      </c>
      <c r="P5" s="151">
        <v>6</v>
      </c>
      <c r="Q5" s="5"/>
      <c r="R5" s="5"/>
      <c r="S5" s="150">
        <f>Q5*2</f>
        <v>0</v>
      </c>
      <c r="T5" s="150">
        <f>R5*S5</f>
        <v>0</v>
      </c>
    </row>
    <row r="6" spans="1:20">
      <c r="A6" s="3010"/>
      <c r="B6" s="2995"/>
      <c r="C6" s="2997"/>
      <c r="D6" s="1880">
        <v>43319</v>
      </c>
      <c r="E6" s="2777">
        <v>0.49652777777777773</v>
      </c>
      <c r="F6" s="566">
        <v>7.99</v>
      </c>
      <c r="G6" s="566">
        <v>17.7</v>
      </c>
      <c r="H6" s="309">
        <v>31.4</v>
      </c>
      <c r="I6" s="566">
        <v>6.57</v>
      </c>
      <c r="J6" s="2778">
        <v>1227</v>
      </c>
      <c r="K6" s="566">
        <v>0.41</v>
      </c>
      <c r="L6" s="1807">
        <v>0.15</v>
      </c>
      <c r="M6" s="753">
        <v>3</v>
      </c>
      <c r="N6" s="536" t="s">
        <v>871</v>
      </c>
      <c r="T6" s="3">
        <f>SUM(T3:T5)</f>
        <v>1.3834199999999999</v>
      </c>
    </row>
    <row r="7" spans="1:20" s="303" customFormat="1">
      <c r="A7" s="3010"/>
      <c r="B7" s="2995"/>
      <c r="C7" s="2997"/>
      <c r="D7" s="1880">
        <v>43388</v>
      </c>
      <c r="E7" s="2777">
        <v>4.1666666666666664E-2</v>
      </c>
      <c r="F7" s="566">
        <v>8.26</v>
      </c>
      <c r="G7" s="566">
        <v>2.1</v>
      </c>
      <c r="H7" s="309">
        <v>12.7</v>
      </c>
      <c r="I7" s="566">
        <v>11.71</v>
      </c>
      <c r="J7" s="2778">
        <v>1197</v>
      </c>
      <c r="K7" s="566">
        <v>0.49</v>
      </c>
      <c r="L7" s="1807">
        <v>0.15</v>
      </c>
      <c r="M7" s="753">
        <v>3</v>
      </c>
      <c r="N7" s="536" t="s">
        <v>871</v>
      </c>
      <c r="T7" s="3"/>
    </row>
    <row r="8" spans="1:20" s="358" customFormat="1">
      <c r="A8" s="3010"/>
      <c r="B8" s="2995"/>
      <c r="C8" s="2997"/>
      <c r="D8" s="1880">
        <v>43409</v>
      </c>
      <c r="E8" s="2777">
        <v>0.4513888888888889</v>
      </c>
      <c r="F8" s="566">
        <v>8.19</v>
      </c>
      <c r="G8" s="566">
        <v>4.4000000000000004</v>
      </c>
      <c r="H8" s="309">
        <v>12.4</v>
      </c>
      <c r="I8" s="566">
        <v>11.12</v>
      </c>
      <c r="J8" s="2778">
        <v>1343</v>
      </c>
      <c r="K8" s="566">
        <v>0.79400000000000004</v>
      </c>
      <c r="L8" s="1807">
        <v>0.08</v>
      </c>
      <c r="M8" s="753">
        <v>2</v>
      </c>
      <c r="N8" s="536" t="s">
        <v>871</v>
      </c>
      <c r="T8" s="3"/>
    </row>
    <row r="9" spans="1:20">
      <c r="A9" s="3010"/>
      <c r="B9" s="2995"/>
      <c r="C9" s="2997"/>
      <c r="D9" s="1880">
        <v>43453</v>
      </c>
      <c r="E9" s="2777">
        <v>0.44791666666666669</v>
      </c>
      <c r="F9" s="566">
        <v>7.98</v>
      </c>
      <c r="G9" s="566">
        <v>0</v>
      </c>
      <c r="H9" s="309">
        <v>12</v>
      </c>
      <c r="I9" s="566">
        <v>10.8</v>
      </c>
      <c r="J9" s="2778">
        <v>1617</v>
      </c>
      <c r="K9" s="566">
        <v>0.19</v>
      </c>
      <c r="L9" s="1807">
        <v>0.3</v>
      </c>
      <c r="M9" s="753">
        <v>3</v>
      </c>
      <c r="N9" s="536" t="s">
        <v>871</v>
      </c>
      <c r="Q9" s="299"/>
    </row>
    <row r="10" spans="1:20">
      <c r="A10" s="3010"/>
      <c r="B10" s="2995" t="s">
        <v>334</v>
      </c>
      <c r="C10" s="3008" t="s">
        <v>536</v>
      </c>
      <c r="D10" s="1660">
        <v>43143</v>
      </c>
      <c r="E10" s="2779">
        <v>0.49652777777777773</v>
      </c>
      <c r="F10" s="2780">
        <v>8.02</v>
      </c>
      <c r="G10" s="2780">
        <v>0</v>
      </c>
      <c r="H10" s="2781">
        <v>3.6</v>
      </c>
      <c r="I10" s="2780">
        <v>4.63</v>
      </c>
      <c r="J10" s="2782">
        <v>901</v>
      </c>
      <c r="K10" s="2780">
        <v>0.72</v>
      </c>
      <c r="L10" s="2793">
        <v>0.03</v>
      </c>
      <c r="M10" s="2783">
        <v>1.5</v>
      </c>
      <c r="N10" s="262" t="s">
        <v>871</v>
      </c>
    </row>
    <row r="11" spans="1:20">
      <c r="A11" s="3010"/>
      <c r="B11" s="2995"/>
      <c r="C11" s="3008"/>
      <c r="D11" s="1660">
        <v>43199</v>
      </c>
      <c r="E11" s="2767">
        <v>0.51388888888888895</v>
      </c>
      <c r="F11" s="311">
        <v>8.25</v>
      </c>
      <c r="G11" s="311">
        <v>7.8</v>
      </c>
      <c r="H11" s="2781">
        <v>14.7</v>
      </c>
      <c r="I11" s="311">
        <v>12.3</v>
      </c>
      <c r="J11" s="535">
        <v>1192</v>
      </c>
      <c r="K11" s="311">
        <v>0.43</v>
      </c>
      <c r="L11" s="2768">
        <v>0.6</v>
      </c>
      <c r="M11" s="2783">
        <v>4</v>
      </c>
      <c r="N11" s="262" t="s">
        <v>871</v>
      </c>
    </row>
    <row r="12" spans="1:20">
      <c r="A12" s="3010"/>
      <c r="B12" s="2995"/>
      <c r="C12" s="3008"/>
      <c r="D12" s="1660">
        <v>43262</v>
      </c>
      <c r="E12" s="2779">
        <v>0.48958333333333331</v>
      </c>
      <c r="F12" s="2780">
        <v>8.06</v>
      </c>
      <c r="G12" s="2780">
        <v>18.100000000000001</v>
      </c>
      <c r="H12" s="2781">
        <v>28</v>
      </c>
      <c r="I12" s="2780">
        <v>8.1999999999999993</v>
      </c>
      <c r="J12" s="2782">
        <v>1251</v>
      </c>
      <c r="K12" s="2780">
        <v>0.53600000000000003</v>
      </c>
      <c r="L12" s="2793">
        <v>0.4</v>
      </c>
      <c r="M12" s="2783">
        <v>3</v>
      </c>
      <c r="N12" s="262" t="s">
        <v>871</v>
      </c>
    </row>
    <row r="13" spans="1:20">
      <c r="A13" s="3010"/>
      <c r="B13" s="2995"/>
      <c r="C13" s="3008"/>
      <c r="D13" s="1660">
        <v>43319</v>
      </c>
      <c r="E13" s="2779">
        <v>0.50694444444444442</v>
      </c>
      <c r="F13" s="2780">
        <v>8.09</v>
      </c>
      <c r="G13" s="2780">
        <v>18.7</v>
      </c>
      <c r="H13" s="2781">
        <v>31.4</v>
      </c>
      <c r="I13" s="2780">
        <v>8.9</v>
      </c>
      <c r="J13" s="2782">
        <v>1176</v>
      </c>
      <c r="K13" s="2780">
        <v>0.35</v>
      </c>
      <c r="L13" s="2793">
        <v>0.75</v>
      </c>
      <c r="M13" s="2783">
        <v>5</v>
      </c>
      <c r="N13" s="262" t="s">
        <v>871</v>
      </c>
    </row>
    <row r="14" spans="1:20">
      <c r="A14" s="3010"/>
      <c r="B14" s="2995"/>
      <c r="C14" s="3008"/>
      <c r="D14" s="1660">
        <v>43388</v>
      </c>
      <c r="E14" s="2779">
        <v>4.8611111111111112E-2</v>
      </c>
      <c r="F14" s="2780">
        <v>8.4</v>
      </c>
      <c r="G14" s="2780">
        <v>3.1</v>
      </c>
      <c r="H14" s="2781">
        <v>12.7</v>
      </c>
      <c r="I14" s="2780">
        <v>11.83</v>
      </c>
      <c r="J14" s="2782">
        <v>1188</v>
      </c>
      <c r="K14" s="2780">
        <v>0.47899999999999998</v>
      </c>
      <c r="L14" s="2793">
        <v>1</v>
      </c>
      <c r="M14" s="2783">
        <v>5</v>
      </c>
      <c r="N14" s="262" t="s">
        <v>871</v>
      </c>
    </row>
    <row r="15" spans="1:20">
      <c r="A15" s="3010"/>
      <c r="B15" s="2995"/>
      <c r="C15" s="3008"/>
      <c r="D15" s="1660">
        <v>43409</v>
      </c>
      <c r="E15" s="2784">
        <v>0.45833333333333331</v>
      </c>
      <c r="F15" s="2785">
        <v>8.3699999999999992</v>
      </c>
      <c r="G15" s="2785">
        <v>5.6</v>
      </c>
      <c r="H15" s="2786">
        <v>12.4</v>
      </c>
      <c r="I15" s="2785">
        <v>12.09</v>
      </c>
      <c r="J15" s="2787">
        <v>1320</v>
      </c>
      <c r="K15" s="2785">
        <v>0.76600000000000001</v>
      </c>
      <c r="L15" s="2794">
        <v>1</v>
      </c>
      <c r="M15" s="2788">
        <v>5</v>
      </c>
      <c r="N15" s="2789" t="s">
        <v>871</v>
      </c>
    </row>
    <row r="16" spans="1:20" s="358" customFormat="1">
      <c r="A16" s="3010"/>
      <c r="B16" s="2995"/>
      <c r="C16" s="3008"/>
      <c r="D16" s="1660">
        <v>43453</v>
      </c>
      <c r="E16" s="2790">
        <v>0.45833333333333331</v>
      </c>
      <c r="F16" s="2780">
        <v>8.1199999999999992</v>
      </c>
      <c r="G16" s="2780">
        <v>0</v>
      </c>
      <c r="H16" s="2781">
        <v>12.2</v>
      </c>
      <c r="I16" s="2780">
        <v>14.22</v>
      </c>
      <c r="J16" s="2791">
        <v>1590</v>
      </c>
      <c r="K16" s="2780">
        <v>0.155</v>
      </c>
      <c r="L16" s="2793">
        <v>0.7</v>
      </c>
      <c r="M16" s="2783">
        <v>5</v>
      </c>
      <c r="N16" s="262" t="s">
        <v>871</v>
      </c>
    </row>
    <row r="17" spans="1:13">
      <c r="A17" s="253"/>
      <c r="B17" s="254"/>
      <c r="C17" s="255"/>
      <c r="D17" s="256"/>
    </row>
    <row r="18" spans="1:13" ht="25">
      <c r="A18" s="261" t="s">
        <v>236</v>
      </c>
      <c r="B18" s="261" t="s">
        <v>9</v>
      </c>
      <c r="C18" s="262" t="s">
        <v>235</v>
      </c>
      <c r="D18" s="261" t="s">
        <v>133</v>
      </c>
      <c r="E18" s="263" t="s">
        <v>181</v>
      </c>
      <c r="F18" s="263" t="s">
        <v>64</v>
      </c>
      <c r="G18" s="260"/>
      <c r="H18" s="41"/>
      <c r="J18" s="259"/>
      <c r="K18" s="259"/>
      <c r="L18" s="259"/>
      <c r="M18" s="260"/>
    </row>
    <row r="19" spans="1:13">
      <c r="A19" s="3007" t="s">
        <v>495</v>
      </c>
      <c r="B19" s="2995" t="s">
        <v>332</v>
      </c>
      <c r="C19" s="2996" t="s">
        <v>535</v>
      </c>
      <c r="D19" s="1880">
        <v>43143</v>
      </c>
      <c r="E19" s="1532">
        <v>2403</v>
      </c>
      <c r="F19" s="1532">
        <v>22</v>
      </c>
      <c r="G19" s="674"/>
      <c r="H19" s="125">
        <v>43143</v>
      </c>
      <c r="I19" s="304"/>
      <c r="K19" s="669"/>
      <c r="L19" s="2678"/>
    </row>
    <row r="20" spans="1:13">
      <c r="A20" s="3007"/>
      <c r="B20" s="2995"/>
      <c r="C20" s="2996"/>
      <c r="D20" s="1880">
        <v>43199</v>
      </c>
      <c r="E20" s="1532">
        <v>1237</v>
      </c>
      <c r="F20" s="1532">
        <v>50</v>
      </c>
      <c r="G20" s="674"/>
      <c r="H20" s="125">
        <v>43199</v>
      </c>
      <c r="K20" s="669"/>
      <c r="L20" s="2678"/>
      <c r="M20" s="258"/>
    </row>
    <row r="21" spans="1:13">
      <c r="A21" s="3007"/>
      <c r="B21" s="2995"/>
      <c r="C21" s="2996"/>
      <c r="D21" s="1880">
        <v>43262</v>
      </c>
      <c r="E21" s="1532">
        <v>974</v>
      </c>
      <c r="F21" s="1532">
        <v>149</v>
      </c>
      <c r="G21" s="674"/>
      <c r="H21" s="125">
        <v>43262</v>
      </c>
      <c r="K21" s="669"/>
      <c r="L21" s="2678"/>
      <c r="M21" s="258"/>
    </row>
    <row r="22" spans="1:13">
      <c r="A22" s="3007"/>
      <c r="B22" s="2995"/>
      <c r="C22" s="2996"/>
      <c r="D22" s="1880">
        <v>43319</v>
      </c>
      <c r="E22" s="1532">
        <v>911</v>
      </c>
      <c r="F22" s="1532">
        <v>136</v>
      </c>
      <c r="G22" s="674"/>
      <c r="H22" s="125">
        <v>43319</v>
      </c>
      <c r="K22" s="669"/>
      <c r="L22" s="2678"/>
      <c r="M22" s="258"/>
    </row>
    <row r="23" spans="1:13" s="303" customFormat="1">
      <c r="A23" s="3007"/>
      <c r="B23" s="2995"/>
      <c r="C23" s="2996"/>
      <c r="D23" s="1880">
        <v>43388</v>
      </c>
      <c r="E23" s="541">
        <v>1304</v>
      </c>
      <c r="F23" s="541">
        <v>43</v>
      </c>
      <c r="G23" s="578"/>
      <c r="H23" s="125">
        <v>43388</v>
      </c>
      <c r="K23" s="669"/>
      <c r="L23" s="2678"/>
      <c r="M23" s="258"/>
    </row>
    <row r="24" spans="1:13" s="358" customFormat="1">
      <c r="A24" s="3007"/>
      <c r="B24" s="2995"/>
      <c r="C24" s="2996"/>
      <c r="D24" s="1880">
        <v>43409</v>
      </c>
      <c r="E24" s="541">
        <v>1041</v>
      </c>
      <c r="F24" s="541">
        <v>29</v>
      </c>
      <c r="G24" s="578"/>
      <c r="H24" s="125">
        <v>43409</v>
      </c>
      <c r="K24" s="2678"/>
      <c r="L24" s="2678"/>
      <c r="M24" s="258"/>
    </row>
    <row r="25" spans="1:13">
      <c r="A25" s="3007"/>
      <c r="B25" s="2995"/>
      <c r="C25" s="2996"/>
      <c r="D25" s="1880">
        <v>43453</v>
      </c>
      <c r="E25" s="1532">
        <v>3213</v>
      </c>
      <c r="F25" s="1532">
        <v>22</v>
      </c>
      <c r="G25" s="674"/>
      <c r="H25" s="125">
        <v>43453</v>
      </c>
      <c r="K25" s="669"/>
      <c r="L25" s="2678"/>
      <c r="M25" s="258"/>
    </row>
    <row r="26" spans="1:13">
      <c r="A26" s="3007"/>
      <c r="B26" s="2995" t="s">
        <v>334</v>
      </c>
      <c r="C26" s="2996" t="s">
        <v>536</v>
      </c>
      <c r="D26" s="1880">
        <v>43143</v>
      </c>
      <c r="E26" s="308">
        <v>2409</v>
      </c>
      <c r="F26" s="2687">
        <v>22</v>
      </c>
      <c r="G26" s="674"/>
      <c r="I26" s="304"/>
      <c r="K26" s="669"/>
      <c r="L26" s="2678"/>
      <c r="M26" s="258"/>
    </row>
    <row r="27" spans="1:13">
      <c r="A27" s="3007"/>
      <c r="B27" s="2995"/>
      <c r="C27" s="2996"/>
      <c r="D27" s="1880">
        <v>43199</v>
      </c>
      <c r="E27" s="308">
        <v>998</v>
      </c>
      <c r="F27" s="2687">
        <v>27</v>
      </c>
      <c r="G27" s="674"/>
      <c r="H27" s="674"/>
      <c r="I27" s="257"/>
      <c r="K27" s="669"/>
      <c r="L27" s="2678"/>
      <c r="M27" s="258"/>
    </row>
    <row r="28" spans="1:13">
      <c r="A28" s="3007"/>
      <c r="B28" s="2995"/>
      <c r="C28" s="2996"/>
      <c r="D28" s="1880">
        <v>43262</v>
      </c>
      <c r="E28" s="308">
        <v>851</v>
      </c>
      <c r="F28" s="2687">
        <v>122</v>
      </c>
      <c r="G28" s="674"/>
      <c r="H28" s="674"/>
      <c r="K28" s="669"/>
      <c r="L28" s="2678"/>
    </row>
    <row r="29" spans="1:13">
      <c r="A29" s="3007"/>
      <c r="B29" s="2995"/>
      <c r="C29" s="2996"/>
      <c r="D29" s="1880">
        <v>43319</v>
      </c>
      <c r="E29" s="1533">
        <v>717</v>
      </c>
      <c r="F29" s="2687">
        <v>120</v>
      </c>
      <c r="G29" s="674"/>
      <c r="H29" s="674"/>
      <c r="K29" s="669"/>
      <c r="L29" s="2678"/>
    </row>
    <row r="30" spans="1:13">
      <c r="A30" s="3007"/>
      <c r="B30" s="2995"/>
      <c r="C30" s="2996"/>
      <c r="D30" s="1880">
        <v>43388</v>
      </c>
      <c r="E30" s="1534">
        <v>1239</v>
      </c>
      <c r="F30" s="2687">
        <v>31</v>
      </c>
      <c r="G30" s="675"/>
      <c r="H30" s="675"/>
      <c r="K30" s="669"/>
      <c r="L30" s="2678"/>
    </row>
    <row r="31" spans="1:13" s="303" customFormat="1">
      <c r="A31" s="3007"/>
      <c r="B31" s="2995"/>
      <c r="C31" s="2996"/>
      <c r="D31" s="1880">
        <v>43409</v>
      </c>
      <c r="E31" s="308">
        <v>877</v>
      </c>
      <c r="F31" s="2687">
        <v>24</v>
      </c>
      <c r="G31" s="674"/>
      <c r="H31" s="674"/>
      <c r="K31" s="669"/>
      <c r="L31" s="2678"/>
    </row>
    <row r="32" spans="1:13" s="358" customFormat="1">
      <c r="A32" s="3007"/>
      <c r="B32" s="2995"/>
      <c r="C32" s="2996"/>
      <c r="D32" s="1880">
        <v>43453</v>
      </c>
      <c r="E32" s="308">
        <v>3110</v>
      </c>
      <c r="F32" s="2687">
        <v>21</v>
      </c>
      <c r="G32" s="674"/>
      <c r="H32" s="674"/>
      <c r="K32" s="2678"/>
      <c r="L32" s="2678"/>
    </row>
    <row r="33" spans="1:12">
      <c r="A33" s="190"/>
      <c r="B33" s="109"/>
      <c r="C33" s="109"/>
      <c r="D33" s="194"/>
      <c r="E33" s="194"/>
      <c r="F33" s="194"/>
      <c r="G33" s="194"/>
      <c r="K33" s="669"/>
      <c r="L33" s="2678"/>
    </row>
    <row r="34" spans="1:12">
      <c r="A34" s="190"/>
      <c r="B34" s="109"/>
      <c r="C34" s="109"/>
      <c r="D34" s="302">
        <v>60</v>
      </c>
      <c r="E34" s="302">
        <v>61</v>
      </c>
      <c r="F34" s="302">
        <v>61</v>
      </c>
      <c r="G34" s="302">
        <v>62</v>
      </c>
      <c r="H34" s="302">
        <v>61</v>
      </c>
      <c r="I34" s="302">
        <v>61</v>
      </c>
      <c r="K34" s="669"/>
      <c r="L34" s="2678"/>
    </row>
    <row r="35" spans="1:12">
      <c r="A35" s="190"/>
      <c r="B35" s="109"/>
      <c r="C35" s="109"/>
      <c r="D35" s="196" t="s">
        <v>542</v>
      </c>
      <c r="E35" s="196" t="s">
        <v>537</v>
      </c>
      <c r="F35" s="201" t="s">
        <v>538</v>
      </c>
      <c r="G35" s="196" t="s">
        <v>539</v>
      </c>
      <c r="H35" s="196" t="s">
        <v>540</v>
      </c>
      <c r="I35" s="196" t="s">
        <v>541</v>
      </c>
      <c r="K35" s="669"/>
      <c r="L35" s="2678"/>
    </row>
    <row r="36" spans="1:12">
      <c r="A36" s="190"/>
      <c r="B36" s="109"/>
      <c r="C36" s="109"/>
      <c r="D36" s="2992" t="s">
        <v>156</v>
      </c>
      <c r="E36" s="2993"/>
      <c r="F36" s="2993"/>
      <c r="G36" s="2993"/>
      <c r="H36" s="2993"/>
      <c r="I36" s="2994"/>
      <c r="K36" s="669"/>
      <c r="L36" s="2678"/>
    </row>
    <row r="37" spans="1:12">
      <c r="A37" s="190"/>
      <c r="B37" s="109"/>
      <c r="C37" s="109" t="s">
        <v>543</v>
      </c>
      <c r="D37" s="251">
        <f>K3</f>
        <v>0.74</v>
      </c>
      <c r="E37" s="251">
        <f>K4</f>
        <v>0.47</v>
      </c>
      <c r="F37" s="251">
        <f>K5</f>
        <v>0.55000000000000004</v>
      </c>
      <c r="G37" s="251">
        <f>K6</f>
        <v>0.41</v>
      </c>
      <c r="H37" s="251">
        <f>K7</f>
        <v>0.49</v>
      </c>
      <c r="I37" s="251">
        <f>K9</f>
        <v>0.19</v>
      </c>
      <c r="K37" s="669"/>
      <c r="L37" s="2678"/>
    </row>
    <row r="38" spans="1:12">
      <c r="A38" s="190"/>
      <c r="B38" s="109"/>
      <c r="C38" s="109" t="s">
        <v>544</v>
      </c>
      <c r="D38" s="251">
        <f>K10</f>
        <v>0.72</v>
      </c>
      <c r="E38" s="251">
        <f>K11</f>
        <v>0.43</v>
      </c>
      <c r="F38" s="251">
        <f>K12</f>
        <v>0.53600000000000003</v>
      </c>
      <c r="G38" s="251">
        <f>K13</f>
        <v>0.35</v>
      </c>
      <c r="H38" s="251">
        <f>K14</f>
        <v>0.47899999999999998</v>
      </c>
      <c r="I38" s="251">
        <f>K16</f>
        <v>0.155</v>
      </c>
      <c r="K38" s="669"/>
      <c r="L38" s="2678"/>
    </row>
    <row r="39" spans="1:12">
      <c r="A39" s="190"/>
      <c r="B39" s="109"/>
      <c r="C39" s="109"/>
      <c r="D39" s="3000" t="s">
        <v>545</v>
      </c>
      <c r="E39" s="3001"/>
      <c r="F39" s="3001"/>
      <c r="G39" s="3001"/>
      <c r="H39" s="3001"/>
      <c r="I39" s="3002"/>
      <c r="K39" s="669"/>
      <c r="L39" s="2678"/>
    </row>
    <row r="40" spans="1:12">
      <c r="A40" s="190"/>
      <c r="B40" s="109"/>
      <c r="C40" s="109" t="s">
        <v>543</v>
      </c>
      <c r="D40" s="264">
        <f t="shared" ref="D40:I41" si="0">D37*1.983</f>
        <v>1.4674199999999999</v>
      </c>
      <c r="E40" s="264">
        <f t="shared" si="0"/>
        <v>0.93201000000000001</v>
      </c>
      <c r="F40" s="264">
        <f t="shared" si="0"/>
        <v>1.0906500000000001</v>
      </c>
      <c r="G40" s="264">
        <f t="shared" si="0"/>
        <v>0.81303000000000003</v>
      </c>
      <c r="H40" s="264">
        <f t="shared" si="0"/>
        <v>0.97167000000000003</v>
      </c>
      <c r="I40" s="264">
        <f t="shared" si="0"/>
        <v>0.37677000000000005</v>
      </c>
      <c r="K40" s="669"/>
      <c r="L40" s="2678"/>
    </row>
    <row r="41" spans="1:12">
      <c r="A41" s="190"/>
      <c r="B41" s="109"/>
      <c r="C41" s="109" t="s">
        <v>544</v>
      </c>
      <c r="D41" s="264">
        <f t="shared" si="0"/>
        <v>1.4277599999999999</v>
      </c>
      <c r="E41" s="264">
        <f t="shared" si="0"/>
        <v>0.85269000000000006</v>
      </c>
      <c r="F41" s="264">
        <f t="shared" si="0"/>
        <v>1.0628880000000001</v>
      </c>
      <c r="G41" s="264">
        <f t="shared" si="0"/>
        <v>0.69404999999999994</v>
      </c>
      <c r="H41" s="264">
        <f t="shared" si="0"/>
        <v>0.94985700000000006</v>
      </c>
      <c r="I41" s="264">
        <f t="shared" si="0"/>
        <v>0.307365</v>
      </c>
      <c r="K41" s="669"/>
      <c r="L41" s="2678"/>
    </row>
    <row r="42" spans="1:12">
      <c r="D42" s="3003" t="s">
        <v>546</v>
      </c>
      <c r="E42" s="3004"/>
      <c r="F42" s="3004"/>
      <c r="G42" s="3004"/>
      <c r="H42" s="3004"/>
      <c r="I42" s="3005"/>
      <c r="J42" s="40" t="s">
        <v>1340</v>
      </c>
      <c r="K42" s="669"/>
      <c r="L42" s="2678"/>
    </row>
    <row r="43" spans="1:12">
      <c r="A43" s="190"/>
      <c r="B43" s="109"/>
      <c r="C43" s="109" t="s">
        <v>543</v>
      </c>
      <c r="D43" s="214">
        <f t="shared" ref="D43:H43" si="1">$D$34*D40</f>
        <v>88.045199999999994</v>
      </c>
      <c r="E43" s="214">
        <f t="shared" si="1"/>
        <v>55.9206</v>
      </c>
      <c r="F43" s="214">
        <f t="shared" si="1"/>
        <v>65.439000000000007</v>
      </c>
      <c r="G43" s="214">
        <f t="shared" si="1"/>
        <v>48.781800000000004</v>
      </c>
      <c r="H43" s="214">
        <f t="shared" si="1"/>
        <v>58.300200000000004</v>
      </c>
      <c r="I43" s="214">
        <f>$I$34*I40</f>
        <v>22.982970000000002</v>
      </c>
      <c r="J43" s="214">
        <f>SUM(D43:I43)</f>
        <v>339.46977000000004</v>
      </c>
      <c r="K43" s="669"/>
      <c r="L43" s="2678"/>
    </row>
    <row r="44" spans="1:12">
      <c r="A44" s="190"/>
      <c r="B44" s="109"/>
      <c r="C44" s="109" t="s">
        <v>544</v>
      </c>
      <c r="D44" s="214">
        <f>$D$34*D41</f>
        <v>85.665599999999998</v>
      </c>
      <c r="E44" s="214">
        <f>$E$34*E41</f>
        <v>52.014090000000003</v>
      </c>
      <c r="F44" s="214">
        <f>$F$34*F41</f>
        <v>64.836168000000001</v>
      </c>
      <c r="G44" s="214">
        <f>$G$34*G41</f>
        <v>43.031099999999995</v>
      </c>
      <c r="H44" s="214">
        <f>$H$34*H41</f>
        <v>57.941277000000007</v>
      </c>
      <c r="I44" s="214">
        <f>$I$34*I41</f>
        <v>18.749265000000001</v>
      </c>
      <c r="J44" s="214">
        <f>SUM(D44:I44)</f>
        <v>322.23749999999995</v>
      </c>
      <c r="K44" s="669"/>
      <c r="L44" s="2678"/>
    </row>
    <row r="45" spans="1:12">
      <c r="A45" s="190"/>
      <c r="B45" s="109"/>
      <c r="C45" s="109"/>
      <c r="D45" s="194"/>
      <c r="E45" s="194"/>
      <c r="F45" s="194"/>
      <c r="G45" s="194"/>
    </row>
    <row r="46" spans="1:12">
      <c r="A46" s="190"/>
      <c r="B46" s="109"/>
      <c r="C46" s="109"/>
      <c r="D46" s="312">
        <v>2.7230000000000002E-3</v>
      </c>
      <c r="E46" s="194"/>
      <c r="F46" s="217"/>
      <c r="G46" s="194"/>
    </row>
    <row r="47" spans="1:12">
      <c r="A47" s="190"/>
      <c r="B47" s="109"/>
      <c r="C47" s="109"/>
      <c r="D47" s="191"/>
      <c r="F47" s="3006" t="s">
        <v>547</v>
      </c>
      <c r="G47" s="3006"/>
      <c r="H47" s="671"/>
      <c r="I47" s="671"/>
    </row>
    <row r="48" spans="1:12" ht="25">
      <c r="A48" s="190"/>
      <c r="B48" s="109"/>
      <c r="C48" s="262" t="s">
        <v>235</v>
      </c>
      <c r="D48" s="261" t="s">
        <v>133</v>
      </c>
      <c r="E48" s="265" t="s">
        <v>548</v>
      </c>
      <c r="F48" s="263" t="s">
        <v>181</v>
      </c>
      <c r="G48" s="263" t="s">
        <v>64</v>
      </c>
      <c r="H48" s="260"/>
      <c r="I48" s="41"/>
    </row>
    <row r="49" spans="1:12">
      <c r="A49" s="190"/>
      <c r="B49" s="109"/>
      <c r="C49" s="2996" t="s">
        <v>535</v>
      </c>
      <c r="D49" s="196" t="s">
        <v>542</v>
      </c>
      <c r="E49" s="91">
        <f>D43</f>
        <v>88.045199999999994</v>
      </c>
      <c r="F49" s="74">
        <f>$E49*$D$46*E19</f>
        <v>576.11223227879998</v>
      </c>
      <c r="G49" s="74">
        <f>$E49*$D$46*$F19</f>
        <v>5.2744357511999995</v>
      </c>
      <c r="H49" s="235"/>
      <c r="I49" s="235"/>
      <c r="J49" s="670"/>
      <c r="K49" s="43"/>
      <c r="L49" s="43"/>
    </row>
    <row r="50" spans="1:12">
      <c r="A50" s="190"/>
      <c r="B50" s="109"/>
      <c r="C50" s="2996"/>
      <c r="D50" s="196" t="s">
        <v>537</v>
      </c>
      <c r="E50" s="91">
        <f>E43</f>
        <v>55.9206</v>
      </c>
      <c r="F50" s="74">
        <f>$E50*$D$46*E20</f>
        <v>188.36020893060001</v>
      </c>
      <c r="G50" s="74">
        <f>$E50*$D$46*$F20</f>
        <v>7.6135896899999995</v>
      </c>
      <c r="H50" s="235"/>
      <c r="I50" s="235"/>
      <c r="K50" s="43"/>
      <c r="L50" s="43"/>
    </row>
    <row r="51" spans="1:12">
      <c r="C51" s="2996"/>
      <c r="D51" s="201" t="s">
        <v>538</v>
      </c>
      <c r="E51" s="91">
        <f>F43</f>
        <v>65.439000000000007</v>
      </c>
      <c r="F51" s="74">
        <f>$E51*$D$46*E21</f>
        <v>173.55744667800002</v>
      </c>
      <c r="G51" s="74">
        <f>$E51*$D$46*$F21</f>
        <v>26.550369153000005</v>
      </c>
      <c r="H51" s="235"/>
      <c r="I51" s="235"/>
      <c r="K51" s="43"/>
      <c r="L51" s="43"/>
    </row>
    <row r="52" spans="1:12">
      <c r="A52" s="190"/>
      <c r="B52" s="109"/>
      <c r="C52" s="2996"/>
      <c r="D52" s="196" t="s">
        <v>539</v>
      </c>
      <c r="E52" s="91">
        <f>G43</f>
        <v>48.781800000000004</v>
      </c>
      <c r="F52" s="74">
        <f>$E52*$D$46*E22</f>
        <v>121.01071851540001</v>
      </c>
      <c r="G52" s="74">
        <f>$E52*$D$46*$F22</f>
        <v>18.065266430400001</v>
      </c>
      <c r="H52" s="235"/>
      <c r="I52" s="235"/>
      <c r="K52" s="43"/>
      <c r="L52" s="43"/>
    </row>
    <row r="53" spans="1:12">
      <c r="A53" s="190"/>
      <c r="B53" s="109"/>
      <c r="C53" s="2996"/>
      <c r="D53" s="196" t="s">
        <v>540</v>
      </c>
      <c r="E53" s="91">
        <f>H43</f>
        <v>58.300200000000004</v>
      </c>
      <c r="F53" s="74">
        <f>$E53*$D$46*E25</f>
        <v>510.06839149980004</v>
      </c>
      <c r="G53" s="74">
        <f>$E53*$D$46*$F25</f>
        <v>3.4925317812000003</v>
      </c>
      <c r="H53" s="235"/>
      <c r="I53" s="235"/>
      <c r="K53" s="43"/>
      <c r="L53" s="43"/>
    </row>
    <row r="54" spans="1:12">
      <c r="A54" s="190"/>
      <c r="B54" s="109"/>
      <c r="C54" s="2996"/>
      <c r="D54" s="196" t="s">
        <v>541</v>
      </c>
      <c r="E54" s="91">
        <f>I43</f>
        <v>22.982970000000002</v>
      </c>
      <c r="F54" s="74">
        <f>$E54*$D$46*E26</f>
        <v>150.76154918979003</v>
      </c>
      <c r="G54" s="74">
        <f>$E54*$D$46*$F26</f>
        <v>1.3768178008200003</v>
      </c>
      <c r="H54" s="235"/>
      <c r="I54" s="235"/>
      <c r="K54" s="43"/>
      <c r="L54" s="43"/>
    </row>
    <row r="55" spans="1:12">
      <c r="A55" s="190"/>
      <c r="B55" s="109"/>
      <c r="C55" s="2996" t="s">
        <v>536</v>
      </c>
      <c r="D55" s="196" t="s">
        <v>542</v>
      </c>
      <c r="E55" s="74">
        <f>D44</f>
        <v>85.665599999999998</v>
      </c>
      <c r="F55" s="74">
        <f t="shared" ref="F55:F60" si="2">$E55*$D$46*E26</f>
        <v>561.94123597919997</v>
      </c>
      <c r="G55" s="74">
        <f t="shared" ref="G55:G60" si="3">$E55*$D$46*$F26</f>
        <v>5.1318834336000005</v>
      </c>
      <c r="H55" s="235"/>
      <c r="I55" s="235"/>
      <c r="J55" s="670"/>
      <c r="K55" s="43"/>
      <c r="L55" s="43"/>
    </row>
    <row r="56" spans="1:12">
      <c r="A56" s="190"/>
      <c r="B56" s="109"/>
      <c r="C56" s="2996"/>
      <c r="D56" s="196" t="s">
        <v>537</v>
      </c>
      <c r="E56" s="74">
        <f>E44</f>
        <v>52.014090000000003</v>
      </c>
      <c r="F56" s="74">
        <f t="shared" si="2"/>
        <v>141.35109833586003</v>
      </c>
      <c r="G56" s="74">
        <f t="shared" si="3"/>
        <v>3.8241279108900006</v>
      </c>
      <c r="H56" s="235"/>
      <c r="I56" s="235"/>
      <c r="K56" s="43"/>
      <c r="L56" s="43"/>
    </row>
    <row r="57" spans="1:12">
      <c r="A57" s="190"/>
      <c r="B57" s="109"/>
      <c r="C57" s="2996"/>
      <c r="D57" s="201" t="s">
        <v>538</v>
      </c>
      <c r="E57" s="74">
        <f>F44</f>
        <v>64.836168000000001</v>
      </c>
      <c r="F57" s="74">
        <f t="shared" si="2"/>
        <v>150.24310152986402</v>
      </c>
      <c r="G57" s="74">
        <f t="shared" si="3"/>
        <v>21.538964026608003</v>
      </c>
      <c r="H57" s="235"/>
      <c r="I57" s="235"/>
    </row>
    <row r="58" spans="1:12">
      <c r="A58" s="190"/>
      <c r="B58" s="109"/>
      <c r="C58" s="2996"/>
      <c r="D58" s="196" t="s">
        <v>539</v>
      </c>
      <c r="E58" s="74">
        <f>G44</f>
        <v>43.031099999999995</v>
      </c>
      <c r="F58" s="74">
        <f t="shared" si="2"/>
        <v>84.013532360100001</v>
      </c>
      <c r="G58" s="74">
        <f t="shared" si="3"/>
        <v>14.060842235999999</v>
      </c>
      <c r="H58" s="235"/>
      <c r="I58" s="235"/>
    </row>
    <row r="59" spans="1:12">
      <c r="A59" s="190"/>
      <c r="B59" s="109"/>
      <c r="C59" s="2996"/>
      <c r="D59" s="196" t="s">
        <v>540</v>
      </c>
      <c r="E59" s="91">
        <f>H44</f>
        <v>57.941277000000007</v>
      </c>
      <c r="F59" s="74">
        <f t="shared" si="2"/>
        <v>195.48210651876903</v>
      </c>
      <c r="G59" s="74">
        <f t="shared" si="3"/>
        <v>4.890997015401001</v>
      </c>
      <c r="H59" s="235"/>
      <c r="I59" s="235"/>
    </row>
    <row r="60" spans="1:12">
      <c r="A60" s="190"/>
      <c r="B60" s="109"/>
      <c r="C60" s="2996"/>
      <c r="D60" s="196" t="s">
        <v>541</v>
      </c>
      <c r="E60" s="74">
        <f>I44</f>
        <v>18.749265000000001</v>
      </c>
      <c r="F60" s="74">
        <f t="shared" si="2"/>
        <v>44.774576017815001</v>
      </c>
      <c r="G60" s="74">
        <f t="shared" si="3"/>
        <v>1.22530196628</v>
      </c>
      <c r="H60" s="235"/>
      <c r="I60" s="235"/>
    </row>
    <row r="62" spans="1:12">
      <c r="A62" s="190"/>
      <c r="B62" s="109"/>
      <c r="C62" s="109"/>
      <c r="D62" s="122"/>
      <c r="E62" s="2999" t="s">
        <v>549</v>
      </c>
      <c r="F62" s="2999"/>
      <c r="G62" s="2999"/>
      <c r="H62" s="672"/>
      <c r="I62" s="672"/>
    </row>
    <row r="63" spans="1:12" ht="26">
      <c r="A63" s="190"/>
      <c r="B63" s="109"/>
      <c r="C63" s="109"/>
      <c r="D63" s="122"/>
      <c r="E63" s="760" t="s">
        <v>550</v>
      </c>
      <c r="F63" s="761" t="s">
        <v>181</v>
      </c>
      <c r="G63" s="762" t="s">
        <v>64</v>
      </c>
      <c r="H63" s="673"/>
      <c r="I63" s="41"/>
    </row>
    <row r="64" spans="1:12">
      <c r="A64" s="190"/>
      <c r="B64" s="109"/>
      <c r="D64" s="763" t="s">
        <v>543</v>
      </c>
      <c r="E64" s="764">
        <f>SUM(E49:E54)</f>
        <v>339.46977000000004</v>
      </c>
      <c r="F64" s="764">
        <f>SUM(F49:F54)</f>
        <v>1719.8705470923901</v>
      </c>
      <c r="G64" s="764">
        <f>SUM(G49:G54)</f>
        <v>62.373010606620007</v>
      </c>
      <c r="H64" s="670"/>
      <c r="I64" s="670"/>
    </row>
    <row r="65" spans="1:9">
      <c r="A65" s="190"/>
      <c r="B65" s="109"/>
      <c r="D65" s="763" t="s">
        <v>544</v>
      </c>
      <c r="E65" s="764">
        <f>SUM(E55:E60)</f>
        <v>322.23749999999995</v>
      </c>
      <c r="F65" s="764">
        <f>SUM(F55:F60)</f>
        <v>1177.8056507416081</v>
      </c>
      <c r="G65" s="764">
        <f>SUM(G55:G60)</f>
        <v>50.672116588779005</v>
      </c>
      <c r="H65" s="676"/>
      <c r="I65" s="670"/>
    </row>
    <row r="66" spans="1:9">
      <c r="A66" s="190"/>
      <c r="B66" s="109"/>
      <c r="D66" s="765"/>
      <c r="E66" s="2998" t="s">
        <v>551</v>
      </c>
      <c r="F66" s="2998"/>
      <c r="G66" s="2998"/>
      <c r="H66" s="41"/>
      <c r="I66" s="41"/>
    </row>
    <row r="67" spans="1:9">
      <c r="A67" s="190"/>
      <c r="B67" s="109"/>
      <c r="D67" s="763" t="s">
        <v>543</v>
      </c>
      <c r="E67" s="764"/>
      <c r="F67" s="764">
        <f>AVERAGE(F49:F54)</f>
        <v>286.64509118206502</v>
      </c>
      <c r="G67" s="764">
        <f>AVERAGE(G49:G54)</f>
        <v>10.395501767770002</v>
      </c>
      <c r="H67" s="670"/>
      <c r="I67" s="670"/>
    </row>
    <row r="68" spans="1:9">
      <c r="A68" s="190"/>
      <c r="B68" s="109"/>
      <c r="D68" s="763" t="s">
        <v>544</v>
      </c>
      <c r="E68" s="764"/>
      <c r="F68" s="764">
        <f>AVERAGE(F55:F60)</f>
        <v>196.30094179026801</v>
      </c>
      <c r="G68" s="764">
        <f>AVERAGE(G55:G60)</f>
        <v>8.4453527647965014</v>
      </c>
      <c r="H68" s="670"/>
      <c r="I68" s="670"/>
    </row>
    <row r="69" spans="1:9">
      <c r="A69" s="190"/>
      <c r="B69" s="109"/>
      <c r="C69" s="109"/>
      <c r="D69" s="194"/>
      <c r="E69" s="194"/>
      <c r="F69" s="194"/>
      <c r="G69" s="194"/>
    </row>
    <row r="70" spans="1:9">
      <c r="A70" s="190"/>
      <c r="B70" s="109"/>
      <c r="C70" s="109"/>
      <c r="D70" s="194"/>
      <c r="E70" s="194"/>
      <c r="F70" s="217"/>
      <c r="G70" s="194"/>
    </row>
    <row r="72" spans="1:9">
      <c r="A72" s="190"/>
      <c r="B72" s="109"/>
      <c r="C72" s="109"/>
      <c r="D72" s="191"/>
      <c r="E72" s="194"/>
      <c r="F72" s="217"/>
      <c r="G72" s="194"/>
    </row>
    <row r="73" spans="1:9">
      <c r="A73" s="190"/>
      <c r="B73" s="109"/>
      <c r="C73" s="109"/>
      <c r="D73" s="194"/>
      <c r="E73" s="194"/>
      <c r="F73" s="194"/>
      <c r="G73" s="194"/>
    </row>
    <row r="74" spans="1:9">
      <c r="A74" s="190"/>
      <c r="B74" s="109"/>
      <c r="C74" s="109"/>
      <c r="D74" s="194"/>
      <c r="E74" s="194"/>
      <c r="F74" s="194"/>
      <c r="G74" s="194"/>
    </row>
    <row r="75" spans="1:9">
      <c r="A75" s="190"/>
      <c r="B75" s="109"/>
      <c r="C75" s="109"/>
      <c r="D75" s="194"/>
      <c r="E75" s="194"/>
      <c r="F75" s="217"/>
      <c r="G75" s="194"/>
    </row>
    <row r="76" spans="1:9">
      <c r="A76" s="190"/>
      <c r="B76" s="109"/>
      <c r="C76" s="109"/>
      <c r="D76" s="191"/>
      <c r="E76" s="194"/>
      <c r="F76" s="217"/>
      <c r="G76" s="194"/>
    </row>
    <row r="77" spans="1:9">
      <c r="A77" s="190"/>
      <c r="B77" s="109"/>
      <c r="C77" s="109"/>
      <c r="D77" s="194"/>
      <c r="E77" s="194"/>
      <c r="F77" s="194"/>
      <c r="G77" s="194"/>
    </row>
    <row r="78" spans="1:9">
      <c r="A78" s="190"/>
      <c r="B78" s="109"/>
      <c r="C78" s="109"/>
      <c r="D78" s="194"/>
      <c r="E78" s="194"/>
      <c r="F78" s="194"/>
      <c r="G78" s="194"/>
    </row>
    <row r="79" spans="1:9">
      <c r="A79" s="190"/>
      <c r="B79" s="109"/>
      <c r="C79" s="109"/>
      <c r="D79" s="194"/>
      <c r="E79" s="194"/>
      <c r="F79" s="217"/>
      <c r="G79" s="194"/>
    </row>
  </sheetData>
  <mergeCells count="18">
    <mergeCell ref="A19:A32"/>
    <mergeCell ref="C10:C16"/>
    <mergeCell ref="B10:B16"/>
    <mergeCell ref="A3:A16"/>
    <mergeCell ref="E66:G66"/>
    <mergeCell ref="E62:G62"/>
    <mergeCell ref="D39:I39"/>
    <mergeCell ref="D42:I42"/>
    <mergeCell ref="C49:C54"/>
    <mergeCell ref="C55:C60"/>
    <mergeCell ref="F47:G47"/>
    <mergeCell ref="D36:I36"/>
    <mergeCell ref="B3:B9"/>
    <mergeCell ref="B19:B25"/>
    <mergeCell ref="C19:C25"/>
    <mergeCell ref="C3:C9"/>
    <mergeCell ref="C26:C32"/>
    <mergeCell ref="B26:B32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0.59999389629810485"/>
  </sheetPr>
  <dimension ref="A1:P81"/>
  <sheetViews>
    <sheetView topLeftCell="A37" workbookViewId="0">
      <selection activeCell="F52" sqref="F52:I52"/>
    </sheetView>
  </sheetViews>
  <sheetFormatPr defaultRowHeight="14"/>
  <cols>
    <col min="1" max="1" width="10.453125" bestFit="1" customWidth="1"/>
    <col min="2" max="2" width="9" bestFit="1" customWidth="1"/>
    <col min="5" max="5" width="14.81640625" bestFit="1" customWidth="1"/>
    <col min="6" max="6" width="8.1796875" bestFit="1" customWidth="1"/>
    <col min="7" max="7" width="16.54296875" bestFit="1" customWidth="1"/>
    <col min="8" max="8" width="9" bestFit="1" customWidth="1"/>
    <col min="9" max="10" width="8.90625" bestFit="1" customWidth="1"/>
    <col min="11" max="11" width="6.453125" bestFit="1" customWidth="1"/>
    <col min="12" max="12" width="5.81640625" bestFit="1" customWidth="1"/>
    <col min="13" max="13" width="8.90625" bestFit="1" customWidth="1"/>
    <col min="14" max="14" width="14.1796875" bestFit="1" customWidth="1"/>
    <col min="16" max="16" width="8.90625" bestFit="1" customWidth="1"/>
  </cols>
  <sheetData>
    <row r="1" spans="1:16">
      <c r="A1" s="677" t="s">
        <v>716</v>
      </c>
      <c r="B1" s="677" t="s">
        <v>717</v>
      </c>
      <c r="C1" s="678" t="s">
        <v>718</v>
      </c>
      <c r="D1" s="678" t="s">
        <v>719</v>
      </c>
      <c r="E1" s="677" t="s">
        <v>720</v>
      </c>
      <c r="F1" s="677" t="s">
        <v>721</v>
      </c>
      <c r="G1" s="677" t="s">
        <v>934</v>
      </c>
      <c r="H1" s="679" t="s">
        <v>722</v>
      </c>
      <c r="I1" s="680" t="s">
        <v>722</v>
      </c>
      <c r="J1" s="677" t="s">
        <v>935</v>
      </c>
      <c r="K1" s="677" t="s">
        <v>936</v>
      </c>
      <c r="L1" s="681" t="s">
        <v>937</v>
      </c>
      <c r="M1" s="681" t="s">
        <v>482</v>
      </c>
      <c r="N1" s="678" t="s">
        <v>938</v>
      </c>
    </row>
    <row r="2" spans="1:16" s="358" customFormat="1">
      <c r="A2" s="2688" t="s">
        <v>1710</v>
      </c>
      <c r="B2" s="2694">
        <v>36</v>
      </c>
      <c r="C2" s="2693">
        <v>43259</v>
      </c>
      <c r="D2" s="2693">
        <v>43259</v>
      </c>
      <c r="E2" s="2699" t="s">
        <v>181</v>
      </c>
      <c r="F2" s="2689" t="s">
        <v>723</v>
      </c>
      <c r="G2" s="2695" t="s">
        <v>940</v>
      </c>
      <c r="H2" s="2691">
        <v>241</v>
      </c>
      <c r="I2" s="2696">
        <v>241</v>
      </c>
      <c r="J2" s="2689"/>
      <c r="K2" s="2700" t="s">
        <v>941</v>
      </c>
      <c r="L2" s="2692">
        <v>6</v>
      </c>
      <c r="M2" s="2692">
        <v>42</v>
      </c>
      <c r="N2" s="2690">
        <v>43265</v>
      </c>
    </row>
    <row r="3" spans="1:16" s="358" customFormat="1">
      <c r="A3" s="2688" t="s">
        <v>1710</v>
      </c>
      <c r="B3" s="2694">
        <v>36</v>
      </c>
      <c r="C3" s="2693">
        <v>43259</v>
      </c>
      <c r="D3" s="2693">
        <v>43259</v>
      </c>
      <c r="E3" s="2689" t="s">
        <v>160</v>
      </c>
      <c r="F3" s="2689" t="s">
        <v>723</v>
      </c>
      <c r="G3" s="2695" t="s">
        <v>942</v>
      </c>
      <c r="H3" s="2691">
        <v>2</v>
      </c>
      <c r="I3" s="2696"/>
      <c r="J3" s="2691" t="s">
        <v>943</v>
      </c>
      <c r="K3" s="2689" t="s">
        <v>941</v>
      </c>
      <c r="L3" s="2692">
        <v>2</v>
      </c>
      <c r="M3" s="2692">
        <v>8</v>
      </c>
      <c r="N3" s="2690">
        <v>43265</v>
      </c>
    </row>
    <row r="4" spans="1:16" s="358" customFormat="1">
      <c r="A4" s="2697" t="s">
        <v>1711</v>
      </c>
      <c r="B4" s="2694">
        <v>37</v>
      </c>
      <c r="C4" s="2693">
        <v>43259</v>
      </c>
      <c r="D4" s="2693">
        <v>43259</v>
      </c>
      <c r="E4" s="2699" t="s">
        <v>181</v>
      </c>
      <c r="F4" s="2689" t="s">
        <v>723</v>
      </c>
      <c r="G4" s="2695" t="s">
        <v>940</v>
      </c>
      <c r="H4" s="2691">
        <v>495</v>
      </c>
      <c r="I4" s="2696">
        <v>495</v>
      </c>
      <c r="J4" s="2689"/>
      <c r="K4" s="2700" t="s">
        <v>941</v>
      </c>
      <c r="L4" s="2692">
        <v>6</v>
      </c>
      <c r="M4" s="2692">
        <v>42</v>
      </c>
      <c r="N4" s="2690">
        <v>43265</v>
      </c>
    </row>
    <row r="5" spans="1:16" s="358" customFormat="1">
      <c r="A5" s="2688" t="s">
        <v>1711</v>
      </c>
      <c r="B5" s="2694">
        <v>37</v>
      </c>
      <c r="C5" s="2693">
        <v>43259</v>
      </c>
      <c r="D5" s="2693">
        <v>43259</v>
      </c>
      <c r="E5" s="2689" t="s">
        <v>160</v>
      </c>
      <c r="F5" s="2689" t="s">
        <v>723</v>
      </c>
      <c r="G5" s="2695" t="s">
        <v>942</v>
      </c>
      <c r="H5" s="2691">
        <v>8</v>
      </c>
      <c r="I5" s="2696">
        <v>8</v>
      </c>
      <c r="J5" s="2691" t="s">
        <v>953</v>
      </c>
      <c r="K5" s="2689" t="s">
        <v>941</v>
      </c>
      <c r="L5" s="2692">
        <v>2</v>
      </c>
      <c r="M5" s="2692">
        <v>8</v>
      </c>
      <c r="N5" s="2690">
        <v>43265</v>
      </c>
    </row>
    <row r="6" spans="1:16" s="358" customFormat="1">
      <c r="A6" s="2689" t="s">
        <v>1712</v>
      </c>
      <c r="B6" s="2694">
        <v>63</v>
      </c>
      <c r="C6" s="2693">
        <v>43259</v>
      </c>
      <c r="D6" s="2693">
        <v>43259</v>
      </c>
      <c r="E6" s="2699" t="s">
        <v>181</v>
      </c>
      <c r="F6" s="2689" t="s">
        <v>723</v>
      </c>
      <c r="G6" s="2695" t="s">
        <v>940</v>
      </c>
      <c r="H6" s="2691">
        <v>256</v>
      </c>
      <c r="I6" s="2696">
        <v>256</v>
      </c>
      <c r="J6" s="2689"/>
      <c r="K6" s="2700" t="s">
        <v>941</v>
      </c>
      <c r="L6" s="2692">
        <v>6</v>
      </c>
      <c r="M6" s="2692">
        <v>42</v>
      </c>
      <c r="N6" s="2690">
        <v>43265</v>
      </c>
    </row>
    <row r="7" spans="1:16" s="358" customFormat="1">
      <c r="A7" s="2697" t="s">
        <v>1712</v>
      </c>
      <c r="B7" s="2694">
        <v>63</v>
      </c>
      <c r="C7" s="2693">
        <v>43259</v>
      </c>
      <c r="D7" s="2693">
        <v>43259</v>
      </c>
      <c r="E7" s="2689" t="s">
        <v>160</v>
      </c>
      <c r="F7" s="2689" t="s">
        <v>723</v>
      </c>
      <c r="G7" s="2695" t="s">
        <v>942</v>
      </c>
      <c r="H7" s="2691">
        <v>115</v>
      </c>
      <c r="I7" s="2696">
        <v>115</v>
      </c>
      <c r="J7" s="2691"/>
      <c r="K7" s="2689" t="s">
        <v>941</v>
      </c>
      <c r="L7" s="2692">
        <v>2</v>
      </c>
      <c r="M7" s="2692">
        <v>8</v>
      </c>
      <c r="N7" s="2690">
        <v>43265</v>
      </c>
    </row>
    <row r="8" spans="1:16" s="358" customFormat="1">
      <c r="A8" s="2689" t="s">
        <v>1713</v>
      </c>
      <c r="B8" s="2694">
        <v>76</v>
      </c>
      <c r="C8" s="2693">
        <v>43259</v>
      </c>
      <c r="D8" s="2693">
        <v>43259</v>
      </c>
      <c r="E8" s="2699" t="s">
        <v>181</v>
      </c>
      <c r="F8" s="2689" t="s">
        <v>723</v>
      </c>
      <c r="G8" s="2695" t="s">
        <v>940</v>
      </c>
      <c r="H8" s="2691">
        <v>101</v>
      </c>
      <c r="I8" s="2696">
        <v>101</v>
      </c>
      <c r="J8" s="2689"/>
      <c r="K8" s="2700" t="s">
        <v>941</v>
      </c>
      <c r="L8" s="2692">
        <v>6</v>
      </c>
      <c r="M8" s="2692">
        <v>42</v>
      </c>
      <c r="N8" s="2690">
        <v>43265</v>
      </c>
    </row>
    <row r="9" spans="1:16" s="358" customFormat="1">
      <c r="A9" s="2689" t="s">
        <v>1713</v>
      </c>
      <c r="B9" s="2694">
        <v>76</v>
      </c>
      <c r="C9" s="2693">
        <v>43259</v>
      </c>
      <c r="D9" s="2693">
        <v>43259</v>
      </c>
      <c r="E9" s="2689" t="s">
        <v>160</v>
      </c>
      <c r="F9" s="2689" t="s">
        <v>723</v>
      </c>
      <c r="G9" s="2695" t="s">
        <v>942</v>
      </c>
      <c r="H9" s="2691">
        <v>17</v>
      </c>
      <c r="I9" s="2696">
        <v>17</v>
      </c>
      <c r="J9" s="2689"/>
      <c r="K9" s="2689" t="s">
        <v>941</v>
      </c>
      <c r="L9" s="2692">
        <v>2</v>
      </c>
      <c r="M9" s="2692">
        <v>8</v>
      </c>
      <c r="N9" s="2690">
        <v>43265</v>
      </c>
    </row>
    <row r="10" spans="1:16" s="358" customFormat="1">
      <c r="A10" s="2697" t="s">
        <v>1714</v>
      </c>
      <c r="B10" s="2698">
        <v>95</v>
      </c>
      <c r="C10" s="2693">
        <v>43259</v>
      </c>
      <c r="D10" s="2693">
        <v>43259</v>
      </c>
      <c r="E10" s="2699" t="s">
        <v>181</v>
      </c>
      <c r="F10" s="2689" t="s">
        <v>723</v>
      </c>
      <c r="G10" s="2695" t="s">
        <v>940</v>
      </c>
      <c r="H10" s="2691">
        <v>286</v>
      </c>
      <c r="I10" s="2696">
        <v>286</v>
      </c>
      <c r="J10" s="2689"/>
      <c r="K10" s="2700" t="s">
        <v>941</v>
      </c>
      <c r="L10" s="2692">
        <v>6</v>
      </c>
      <c r="M10" s="2692">
        <v>42</v>
      </c>
      <c r="N10" s="2690">
        <v>43265</v>
      </c>
    </row>
    <row r="11" spans="1:16" s="358" customFormat="1">
      <c r="A11" s="2697" t="s">
        <v>1714</v>
      </c>
      <c r="B11" s="2698">
        <v>95</v>
      </c>
      <c r="C11" s="2693">
        <v>43259</v>
      </c>
      <c r="D11" s="2693">
        <v>43259</v>
      </c>
      <c r="E11" s="2689" t="s">
        <v>160</v>
      </c>
      <c r="F11" s="2689" t="s">
        <v>723</v>
      </c>
      <c r="G11" s="2695" t="s">
        <v>942</v>
      </c>
      <c r="H11" s="2691">
        <v>14</v>
      </c>
      <c r="I11" s="2696">
        <v>14</v>
      </c>
      <c r="J11" s="2691"/>
      <c r="K11" s="2689" t="s">
        <v>941</v>
      </c>
      <c r="L11" s="2692">
        <v>2</v>
      </c>
      <c r="M11" s="2692">
        <v>8</v>
      </c>
      <c r="N11" s="2690">
        <v>43265</v>
      </c>
    </row>
    <row r="12" spans="1:16" s="358" customFormat="1">
      <c r="A12" s="677"/>
      <c r="B12" s="677"/>
      <c r="C12" s="678"/>
      <c r="D12" s="678"/>
      <c r="E12" s="677"/>
      <c r="F12" s="677"/>
      <c r="G12" s="677"/>
      <c r="H12" s="679"/>
      <c r="I12" s="680"/>
      <c r="J12" s="677"/>
      <c r="K12" s="677"/>
      <c r="L12" s="681"/>
      <c r="M12" s="681"/>
      <c r="N12" s="678"/>
    </row>
    <row r="13" spans="1:16">
      <c r="A13" s="1535"/>
      <c r="B13" s="1541"/>
      <c r="C13" s="1540"/>
      <c r="D13" s="1540"/>
      <c r="E13" s="1546"/>
      <c r="F13" s="1536"/>
      <c r="G13" s="1542"/>
      <c r="H13" s="1538"/>
      <c r="I13" s="1543"/>
      <c r="J13" s="1536"/>
      <c r="K13" s="1547"/>
      <c r="L13" s="1539"/>
      <c r="M13" s="1539"/>
      <c r="N13" s="1537"/>
      <c r="P13" s="57">
        <v>43259</v>
      </c>
    </row>
    <row r="14" spans="1:16">
      <c r="A14" s="2593" t="s">
        <v>1624</v>
      </c>
      <c r="B14" s="2599">
        <v>36</v>
      </c>
      <c r="C14" s="2598">
        <v>43294</v>
      </c>
      <c r="D14" s="2598">
        <v>43294</v>
      </c>
      <c r="E14" s="2604" t="s">
        <v>181</v>
      </c>
      <c r="F14" s="2594" t="s">
        <v>723</v>
      </c>
      <c r="G14" s="2600" t="s">
        <v>940</v>
      </c>
      <c r="H14" s="2596">
        <v>133</v>
      </c>
      <c r="I14" s="2601">
        <v>133</v>
      </c>
      <c r="J14" s="2596"/>
      <c r="K14" s="2605" t="s">
        <v>941</v>
      </c>
      <c r="L14" s="2597">
        <v>6</v>
      </c>
      <c r="M14" s="2597">
        <v>42</v>
      </c>
      <c r="N14" s="2595">
        <v>43300</v>
      </c>
      <c r="P14" s="57">
        <v>43294</v>
      </c>
    </row>
    <row r="15" spans="1:16">
      <c r="A15" s="2593" t="s">
        <v>1624</v>
      </c>
      <c r="B15" s="2599">
        <v>36</v>
      </c>
      <c r="C15" s="2598">
        <v>43294</v>
      </c>
      <c r="D15" s="2598">
        <v>43294</v>
      </c>
      <c r="E15" s="2594" t="s">
        <v>160</v>
      </c>
      <c r="F15" s="2594" t="s">
        <v>723</v>
      </c>
      <c r="G15" s="2600" t="s">
        <v>942</v>
      </c>
      <c r="H15" s="2596">
        <v>2</v>
      </c>
      <c r="I15" s="2601"/>
      <c r="J15" s="2596" t="s">
        <v>943</v>
      </c>
      <c r="K15" s="2594" t="s">
        <v>941</v>
      </c>
      <c r="L15" s="2597">
        <v>2</v>
      </c>
      <c r="M15" s="2597">
        <v>8</v>
      </c>
      <c r="N15" s="2595">
        <v>43300</v>
      </c>
      <c r="P15" s="57">
        <v>43322</v>
      </c>
    </row>
    <row r="16" spans="1:16">
      <c r="A16" s="2602" t="s">
        <v>1625</v>
      </c>
      <c r="B16" s="2599">
        <v>37</v>
      </c>
      <c r="C16" s="2598">
        <v>43294</v>
      </c>
      <c r="D16" s="2598">
        <v>43294</v>
      </c>
      <c r="E16" s="2604" t="s">
        <v>181</v>
      </c>
      <c r="F16" s="2594" t="s">
        <v>723</v>
      </c>
      <c r="G16" s="2600" t="s">
        <v>940</v>
      </c>
      <c r="H16" s="2596">
        <v>187</v>
      </c>
      <c r="I16" s="2601">
        <v>187</v>
      </c>
      <c r="J16" s="2596"/>
      <c r="K16" s="2605" t="s">
        <v>941</v>
      </c>
      <c r="L16" s="2597">
        <v>6</v>
      </c>
      <c r="M16" s="2597">
        <v>42</v>
      </c>
      <c r="N16" s="2595">
        <v>43300</v>
      </c>
      <c r="P16" s="57">
        <v>43356</v>
      </c>
    </row>
    <row r="17" spans="1:16">
      <c r="A17" s="2593" t="s">
        <v>1625</v>
      </c>
      <c r="B17" s="2599">
        <v>37</v>
      </c>
      <c r="C17" s="2598">
        <v>43294</v>
      </c>
      <c r="D17" s="2598">
        <v>43294</v>
      </c>
      <c r="E17" s="2594" t="s">
        <v>160</v>
      </c>
      <c r="F17" s="2594" t="s">
        <v>723</v>
      </c>
      <c r="G17" s="2600" t="s">
        <v>942</v>
      </c>
      <c r="H17" s="2596">
        <v>5</v>
      </c>
      <c r="I17" s="2601">
        <v>5</v>
      </c>
      <c r="J17" s="2596" t="s">
        <v>953</v>
      </c>
      <c r="K17" s="2594" t="s">
        <v>941</v>
      </c>
      <c r="L17" s="2597">
        <v>2</v>
      </c>
      <c r="M17" s="2597">
        <v>8</v>
      </c>
      <c r="N17" s="2595">
        <v>43300</v>
      </c>
      <c r="P17" s="57"/>
    </row>
    <row r="18" spans="1:16">
      <c r="A18" s="2594" t="s">
        <v>1626</v>
      </c>
      <c r="B18" s="2599">
        <v>63</v>
      </c>
      <c r="C18" s="2598">
        <v>43294</v>
      </c>
      <c r="D18" s="2598">
        <v>43294</v>
      </c>
      <c r="E18" s="2604" t="s">
        <v>181</v>
      </c>
      <c r="F18" s="2594" t="s">
        <v>723</v>
      </c>
      <c r="G18" s="2600" t="s">
        <v>940</v>
      </c>
      <c r="H18" s="2596">
        <v>3197</v>
      </c>
      <c r="I18" s="2601">
        <v>3197</v>
      </c>
      <c r="J18" s="2594"/>
      <c r="K18" s="2605" t="s">
        <v>941</v>
      </c>
      <c r="L18" s="2597">
        <v>6</v>
      </c>
      <c r="M18" s="2597">
        <v>42</v>
      </c>
      <c r="N18" s="2595">
        <v>43300</v>
      </c>
      <c r="P18" s="57"/>
    </row>
    <row r="19" spans="1:16">
      <c r="A19" s="2602" t="s">
        <v>1626</v>
      </c>
      <c r="B19" s="2599">
        <v>63</v>
      </c>
      <c r="C19" s="2598">
        <v>43294</v>
      </c>
      <c r="D19" s="2598">
        <v>43294</v>
      </c>
      <c r="E19" s="2594" t="s">
        <v>160</v>
      </c>
      <c r="F19" s="2594" t="s">
        <v>723</v>
      </c>
      <c r="G19" s="2600" t="s">
        <v>942</v>
      </c>
      <c r="H19" s="2596">
        <v>1492</v>
      </c>
      <c r="I19" s="2601">
        <v>1492</v>
      </c>
      <c r="J19" s="2596"/>
      <c r="K19" s="2594" t="s">
        <v>941</v>
      </c>
      <c r="L19" s="2597">
        <v>2</v>
      </c>
      <c r="M19" s="2597">
        <v>8</v>
      </c>
      <c r="N19" s="2595">
        <v>43300</v>
      </c>
      <c r="P19" s="57"/>
    </row>
    <row r="20" spans="1:16">
      <c r="A20" s="2602" t="s">
        <v>1627</v>
      </c>
      <c r="B20" s="2603">
        <v>95</v>
      </c>
      <c r="C20" s="2598">
        <v>43294</v>
      </c>
      <c r="D20" s="2598">
        <v>43294</v>
      </c>
      <c r="E20" s="2604" t="s">
        <v>181</v>
      </c>
      <c r="F20" s="2594" t="s">
        <v>723</v>
      </c>
      <c r="G20" s="2600" t="s">
        <v>940</v>
      </c>
      <c r="H20" s="2596">
        <v>195</v>
      </c>
      <c r="I20" s="2601">
        <v>195</v>
      </c>
      <c r="J20" s="2596"/>
      <c r="K20" s="2605" t="s">
        <v>941</v>
      </c>
      <c r="L20" s="2597">
        <v>6</v>
      </c>
      <c r="M20" s="2597">
        <v>42</v>
      </c>
      <c r="N20" s="2595">
        <v>43300</v>
      </c>
      <c r="P20" s="57"/>
    </row>
    <row r="21" spans="1:16" s="358" customFormat="1">
      <c r="A21" s="2602" t="s">
        <v>1627</v>
      </c>
      <c r="B21" s="2603">
        <v>95</v>
      </c>
      <c r="C21" s="2598">
        <v>43294</v>
      </c>
      <c r="D21" s="2598">
        <v>43294</v>
      </c>
      <c r="E21" s="2594" t="s">
        <v>160</v>
      </c>
      <c r="F21" s="2594" t="s">
        <v>723</v>
      </c>
      <c r="G21" s="2600" t="s">
        <v>942</v>
      </c>
      <c r="H21" s="2596">
        <v>8</v>
      </c>
      <c r="I21" s="2601">
        <v>8</v>
      </c>
      <c r="J21" s="2596" t="s">
        <v>953</v>
      </c>
      <c r="K21" s="2594" t="s">
        <v>941</v>
      </c>
      <c r="L21" s="2597">
        <v>2</v>
      </c>
      <c r="M21" s="2597">
        <v>8</v>
      </c>
      <c r="N21" s="2595">
        <v>43300</v>
      </c>
    </row>
    <row r="22" spans="1:16" s="358" customFormat="1">
      <c r="A22" s="1544"/>
      <c r="B22" s="1545"/>
      <c r="C22" s="1540"/>
      <c r="D22" s="1540"/>
      <c r="E22" s="1536"/>
      <c r="F22" s="1536"/>
      <c r="G22" s="1542"/>
      <c r="H22" s="1538"/>
      <c r="I22" s="1543"/>
      <c r="J22" s="1538"/>
      <c r="K22" s="1536"/>
      <c r="L22" s="1539"/>
      <c r="M22" s="1539"/>
      <c r="N22" s="1537"/>
    </row>
    <row r="23" spans="1:16" s="358" customFormat="1">
      <c r="A23" s="2606" t="s">
        <v>1628</v>
      </c>
      <c r="B23" s="2612">
        <v>36</v>
      </c>
      <c r="C23" s="2611">
        <v>43322</v>
      </c>
      <c r="D23" s="2611">
        <v>43322</v>
      </c>
      <c r="E23" s="2617" t="s">
        <v>181</v>
      </c>
      <c r="F23" s="2607" t="s">
        <v>723</v>
      </c>
      <c r="G23" s="2613" t="s">
        <v>940</v>
      </c>
      <c r="H23" s="2609">
        <v>180</v>
      </c>
      <c r="I23" s="2614">
        <v>180</v>
      </c>
      <c r="J23" s="2609"/>
      <c r="K23" s="2618" t="s">
        <v>941</v>
      </c>
      <c r="L23" s="2610">
        <v>6</v>
      </c>
      <c r="M23" s="2610">
        <v>42</v>
      </c>
      <c r="N23" s="2608">
        <v>43343</v>
      </c>
    </row>
    <row r="24" spans="1:16" s="358" customFormat="1">
      <c r="A24" s="2606" t="s">
        <v>1628</v>
      </c>
      <c r="B24" s="2612">
        <v>36</v>
      </c>
      <c r="C24" s="2611">
        <v>43322</v>
      </c>
      <c r="D24" s="2611">
        <v>43322</v>
      </c>
      <c r="E24" s="2607" t="s">
        <v>160</v>
      </c>
      <c r="F24" s="2607" t="s">
        <v>723</v>
      </c>
      <c r="G24" s="2613" t="s">
        <v>942</v>
      </c>
      <c r="H24" s="2609">
        <v>4</v>
      </c>
      <c r="I24" s="2614">
        <v>4</v>
      </c>
      <c r="J24" s="2609" t="s">
        <v>953</v>
      </c>
      <c r="K24" s="2607" t="s">
        <v>941</v>
      </c>
      <c r="L24" s="2610">
        <v>2</v>
      </c>
      <c r="M24" s="2610">
        <v>8</v>
      </c>
      <c r="N24" s="2608">
        <v>43343</v>
      </c>
    </row>
    <row r="25" spans="1:16" s="358" customFormat="1">
      <c r="A25" s="2615" t="s">
        <v>1629</v>
      </c>
      <c r="B25" s="2612">
        <v>37</v>
      </c>
      <c r="C25" s="2611">
        <v>43322</v>
      </c>
      <c r="D25" s="2611">
        <v>43322</v>
      </c>
      <c r="E25" s="2617" t="s">
        <v>181</v>
      </c>
      <c r="F25" s="2607" t="s">
        <v>723</v>
      </c>
      <c r="G25" s="2613" t="s">
        <v>940</v>
      </c>
      <c r="H25" s="2609">
        <v>253</v>
      </c>
      <c r="I25" s="2614">
        <v>253</v>
      </c>
      <c r="J25" s="2609"/>
      <c r="K25" s="2618" t="s">
        <v>941</v>
      </c>
      <c r="L25" s="2610">
        <v>6</v>
      </c>
      <c r="M25" s="2610">
        <v>42</v>
      </c>
      <c r="N25" s="2608">
        <v>43343</v>
      </c>
    </row>
    <row r="26" spans="1:16">
      <c r="A26" s="2606" t="s">
        <v>1629</v>
      </c>
      <c r="B26" s="2612">
        <v>37</v>
      </c>
      <c r="C26" s="2611">
        <v>43322</v>
      </c>
      <c r="D26" s="2611">
        <v>43322</v>
      </c>
      <c r="E26" s="2607" t="s">
        <v>160</v>
      </c>
      <c r="F26" s="2607" t="s">
        <v>723</v>
      </c>
      <c r="G26" s="2613" t="s">
        <v>942</v>
      </c>
      <c r="H26" s="2609">
        <v>9</v>
      </c>
      <c r="I26" s="2614">
        <v>9</v>
      </c>
      <c r="J26" s="2609"/>
      <c r="K26" s="2607" t="s">
        <v>941</v>
      </c>
      <c r="L26" s="2610">
        <v>2</v>
      </c>
      <c r="M26" s="2610">
        <v>8</v>
      </c>
      <c r="N26" s="2608">
        <v>43343</v>
      </c>
    </row>
    <row r="27" spans="1:16">
      <c r="A27" s="2615" t="s">
        <v>1630</v>
      </c>
      <c r="B27" s="2616">
        <v>95</v>
      </c>
      <c r="C27" s="2611">
        <v>43322</v>
      </c>
      <c r="D27" s="2611">
        <v>43322</v>
      </c>
      <c r="E27" s="2617" t="s">
        <v>181</v>
      </c>
      <c r="F27" s="2607" t="s">
        <v>723</v>
      </c>
      <c r="G27" s="2613" t="s">
        <v>940</v>
      </c>
      <c r="H27" s="2609">
        <v>51</v>
      </c>
      <c r="I27" s="2614">
        <v>51</v>
      </c>
      <c r="J27" s="2609"/>
      <c r="K27" s="2618" t="s">
        <v>941</v>
      </c>
      <c r="L27" s="2610">
        <v>6</v>
      </c>
      <c r="M27" s="2610">
        <v>42</v>
      </c>
      <c r="N27" s="2608">
        <v>43349</v>
      </c>
    </row>
    <row r="28" spans="1:16">
      <c r="A28" s="2615" t="s">
        <v>1630</v>
      </c>
      <c r="B28" s="2616">
        <v>95</v>
      </c>
      <c r="C28" s="2611">
        <v>43322</v>
      </c>
      <c r="D28" s="2611">
        <v>43322</v>
      </c>
      <c r="E28" s="2607" t="s">
        <v>160</v>
      </c>
      <c r="F28" s="2607" t="s">
        <v>723</v>
      </c>
      <c r="G28" s="2613" t="s">
        <v>942</v>
      </c>
      <c r="H28" s="2609">
        <v>10</v>
      </c>
      <c r="I28" s="2614">
        <v>10</v>
      </c>
      <c r="J28" s="2609"/>
      <c r="K28" s="2607" t="s">
        <v>941</v>
      </c>
      <c r="L28" s="2610">
        <v>2</v>
      </c>
      <c r="M28" s="2610">
        <v>8</v>
      </c>
      <c r="N28" s="2608">
        <v>43343</v>
      </c>
    </row>
    <row r="29" spans="1:16">
      <c r="A29" s="1548"/>
      <c r="B29" s="1553"/>
      <c r="C29" s="1552"/>
      <c r="D29" s="1552"/>
      <c r="E29" s="1556"/>
      <c r="F29" s="1548"/>
      <c r="G29" s="1554"/>
      <c r="H29" s="1550"/>
      <c r="I29" s="1555"/>
      <c r="J29" s="1548"/>
      <c r="K29" s="1557"/>
      <c r="L29" s="1551"/>
      <c r="M29" s="1551"/>
      <c r="N29" s="1549"/>
    </row>
    <row r="30" spans="1:16">
      <c r="A30" s="2619" t="s">
        <v>1631</v>
      </c>
      <c r="B30" s="2625">
        <v>36</v>
      </c>
      <c r="C30" s="2624">
        <v>43356</v>
      </c>
      <c r="D30" s="2624">
        <v>43356</v>
      </c>
      <c r="E30" s="2630" t="s">
        <v>181</v>
      </c>
      <c r="F30" s="2620" t="s">
        <v>723</v>
      </c>
      <c r="G30" s="2626" t="s">
        <v>940</v>
      </c>
      <c r="H30" s="2622">
        <v>211</v>
      </c>
      <c r="I30" s="2627">
        <v>211</v>
      </c>
      <c r="J30" s="2622"/>
      <c r="K30" s="2631" t="s">
        <v>941</v>
      </c>
      <c r="L30" s="2623">
        <v>6</v>
      </c>
      <c r="M30" s="2623">
        <v>42</v>
      </c>
      <c r="N30" s="2621">
        <v>43376</v>
      </c>
    </row>
    <row r="31" spans="1:16">
      <c r="A31" s="2619" t="s">
        <v>1631</v>
      </c>
      <c r="B31" s="2625">
        <v>36</v>
      </c>
      <c r="C31" s="2624">
        <v>43356</v>
      </c>
      <c r="D31" s="2624">
        <v>43356</v>
      </c>
      <c r="E31" s="2620" t="s">
        <v>160</v>
      </c>
      <c r="F31" s="2620" t="s">
        <v>723</v>
      </c>
      <c r="G31" s="2626" t="s">
        <v>942</v>
      </c>
      <c r="H31" s="2622">
        <v>7</v>
      </c>
      <c r="I31" s="2627">
        <v>7</v>
      </c>
      <c r="J31" s="2622" t="s">
        <v>953</v>
      </c>
      <c r="K31" s="2620" t="s">
        <v>941</v>
      </c>
      <c r="L31" s="2623">
        <v>2</v>
      </c>
      <c r="M31" s="2623">
        <v>8</v>
      </c>
      <c r="N31" s="2621">
        <v>43376</v>
      </c>
    </row>
    <row r="32" spans="1:16">
      <c r="A32" s="2628" t="s">
        <v>1632</v>
      </c>
      <c r="B32" s="2625">
        <v>37</v>
      </c>
      <c r="C32" s="2624">
        <v>43356</v>
      </c>
      <c r="D32" s="2624">
        <v>43356</v>
      </c>
      <c r="E32" s="2630" t="s">
        <v>181</v>
      </c>
      <c r="F32" s="2620" t="s">
        <v>723</v>
      </c>
      <c r="G32" s="2626" t="s">
        <v>940</v>
      </c>
      <c r="H32" s="2622">
        <v>326</v>
      </c>
      <c r="I32" s="2627">
        <v>326</v>
      </c>
      <c r="J32" s="2622"/>
      <c r="K32" s="2631" t="s">
        <v>941</v>
      </c>
      <c r="L32" s="2623">
        <v>6</v>
      </c>
      <c r="M32" s="2623">
        <v>42</v>
      </c>
      <c r="N32" s="2621">
        <v>43376</v>
      </c>
    </row>
    <row r="33" spans="1:16">
      <c r="A33" s="2619" t="s">
        <v>1632</v>
      </c>
      <c r="B33" s="2625">
        <v>37</v>
      </c>
      <c r="C33" s="2624">
        <v>43356</v>
      </c>
      <c r="D33" s="2624">
        <v>43356</v>
      </c>
      <c r="E33" s="2620" t="s">
        <v>160</v>
      </c>
      <c r="F33" s="2620" t="s">
        <v>723</v>
      </c>
      <c r="G33" s="2626" t="s">
        <v>942</v>
      </c>
      <c r="H33" s="2622">
        <v>12</v>
      </c>
      <c r="I33" s="2627">
        <v>12</v>
      </c>
      <c r="J33" s="2622"/>
      <c r="K33" s="2620" t="s">
        <v>941</v>
      </c>
      <c r="L33" s="2623">
        <v>2</v>
      </c>
      <c r="M33" s="2623">
        <v>8</v>
      </c>
      <c r="N33" s="2621">
        <v>43376</v>
      </c>
    </row>
    <row r="34" spans="1:16">
      <c r="A34" s="2620" t="s">
        <v>1633</v>
      </c>
      <c r="B34" s="2625">
        <v>63</v>
      </c>
      <c r="C34" s="2624">
        <v>43356</v>
      </c>
      <c r="D34" s="2624">
        <v>43356</v>
      </c>
      <c r="E34" s="2630" t="s">
        <v>181</v>
      </c>
      <c r="F34" s="2620" t="s">
        <v>723</v>
      </c>
      <c r="G34" s="2626" t="s">
        <v>940</v>
      </c>
      <c r="H34" s="2622">
        <v>1614</v>
      </c>
      <c r="I34" s="2627">
        <v>1614</v>
      </c>
      <c r="J34" s="2620"/>
      <c r="K34" s="2631" t="s">
        <v>941</v>
      </c>
      <c r="L34" s="2623">
        <v>6</v>
      </c>
      <c r="M34" s="2623">
        <v>42</v>
      </c>
      <c r="N34" s="2621">
        <v>43376</v>
      </c>
    </row>
    <row r="35" spans="1:16">
      <c r="A35" s="2628" t="s">
        <v>1633</v>
      </c>
      <c r="B35" s="2625">
        <v>63</v>
      </c>
      <c r="C35" s="2624">
        <v>43356</v>
      </c>
      <c r="D35" s="2624">
        <v>43356</v>
      </c>
      <c r="E35" s="2620" t="s">
        <v>160</v>
      </c>
      <c r="F35" s="2620" t="s">
        <v>723</v>
      </c>
      <c r="G35" s="2626" t="s">
        <v>942</v>
      </c>
      <c r="H35" s="2622">
        <v>746</v>
      </c>
      <c r="I35" s="2627">
        <v>746</v>
      </c>
      <c r="J35" s="2622"/>
      <c r="K35" s="2620" t="s">
        <v>941</v>
      </c>
      <c r="L35" s="2623">
        <v>2</v>
      </c>
      <c r="M35" s="2623">
        <v>8</v>
      </c>
      <c r="N35" s="2621">
        <v>43376</v>
      </c>
    </row>
    <row r="36" spans="1:16">
      <c r="A36" s="2620" t="s">
        <v>1634</v>
      </c>
      <c r="B36" s="2625">
        <v>76</v>
      </c>
      <c r="C36" s="2624">
        <v>43356</v>
      </c>
      <c r="D36" s="2624">
        <v>43356</v>
      </c>
      <c r="E36" s="2630" t="s">
        <v>181</v>
      </c>
      <c r="F36" s="2620" t="s">
        <v>723</v>
      </c>
      <c r="G36" s="2626" t="s">
        <v>940</v>
      </c>
      <c r="H36" s="2622">
        <v>284</v>
      </c>
      <c r="I36" s="2627">
        <v>284</v>
      </c>
      <c r="J36" s="2620"/>
      <c r="K36" s="2631" t="s">
        <v>941</v>
      </c>
      <c r="L36" s="2623">
        <v>6</v>
      </c>
      <c r="M36" s="2623">
        <v>42</v>
      </c>
      <c r="N36" s="2621">
        <v>43376</v>
      </c>
    </row>
    <row r="37" spans="1:16">
      <c r="A37" s="2628" t="s">
        <v>1634</v>
      </c>
      <c r="B37" s="2625">
        <v>76</v>
      </c>
      <c r="C37" s="2624">
        <v>43356</v>
      </c>
      <c r="D37" s="2624">
        <v>43356</v>
      </c>
      <c r="E37" s="2620" t="s">
        <v>160</v>
      </c>
      <c r="F37" s="2620" t="s">
        <v>723</v>
      </c>
      <c r="G37" s="2626" t="s">
        <v>942</v>
      </c>
      <c r="H37" s="2622">
        <v>55</v>
      </c>
      <c r="I37" s="2627">
        <v>55</v>
      </c>
      <c r="J37" s="2622"/>
      <c r="K37" s="2620" t="s">
        <v>941</v>
      </c>
      <c r="L37" s="2623">
        <v>2</v>
      </c>
      <c r="M37" s="2623">
        <v>8</v>
      </c>
      <c r="N37" s="2621">
        <v>43376</v>
      </c>
    </row>
    <row r="38" spans="1:16">
      <c r="A38" s="2628" t="s">
        <v>1635</v>
      </c>
      <c r="B38" s="2629">
        <v>95</v>
      </c>
      <c r="C38" s="2624">
        <v>43356</v>
      </c>
      <c r="D38" s="2624">
        <v>43356</v>
      </c>
      <c r="E38" s="2630" t="s">
        <v>181</v>
      </c>
      <c r="F38" s="2620" t="s">
        <v>723</v>
      </c>
      <c r="G38" s="2626" t="s">
        <v>940</v>
      </c>
      <c r="H38" s="2622">
        <v>256</v>
      </c>
      <c r="I38" s="2627">
        <v>256</v>
      </c>
      <c r="J38" s="2622"/>
      <c r="K38" s="2631" t="s">
        <v>941</v>
      </c>
      <c r="L38" s="2623">
        <v>6</v>
      </c>
      <c r="M38" s="2623">
        <v>42</v>
      </c>
      <c r="N38" s="2621">
        <v>43376</v>
      </c>
    </row>
    <row r="39" spans="1:16">
      <c r="A39" s="2628" t="s">
        <v>1635</v>
      </c>
      <c r="B39" s="2629">
        <v>95</v>
      </c>
      <c r="C39" s="2624">
        <v>43356</v>
      </c>
      <c r="D39" s="2624">
        <v>43356</v>
      </c>
      <c r="E39" s="2620" t="s">
        <v>160</v>
      </c>
      <c r="F39" s="2620" t="s">
        <v>723</v>
      </c>
      <c r="G39" s="2626" t="s">
        <v>942</v>
      </c>
      <c r="H39" s="2622">
        <v>70</v>
      </c>
      <c r="I39" s="2627">
        <v>70</v>
      </c>
      <c r="J39" s="2622"/>
      <c r="K39" s="2620" t="s">
        <v>941</v>
      </c>
      <c r="L39" s="2623">
        <v>2</v>
      </c>
      <c r="M39" s="2623">
        <v>8</v>
      </c>
      <c r="N39" s="2621">
        <v>43376</v>
      </c>
    </row>
    <row r="40" spans="1:16" s="358" customFormat="1">
      <c r="A40" s="2684"/>
      <c r="B40" s="2629"/>
      <c r="C40" s="2680"/>
      <c r="D40" s="2680"/>
      <c r="E40" s="2676"/>
      <c r="F40" s="2677">
        <v>43259</v>
      </c>
      <c r="G40" s="2795">
        <v>43294</v>
      </c>
      <c r="H40" s="2677">
        <v>43322</v>
      </c>
      <c r="I40" s="2796">
        <v>43356</v>
      </c>
      <c r="J40" s="2678"/>
      <c r="K40" s="2676"/>
      <c r="L40" s="2679"/>
      <c r="M40" s="2679"/>
      <c r="N40" s="2677"/>
    </row>
    <row r="41" spans="1:16">
      <c r="D41" s="2723"/>
      <c r="E41" s="2684" t="s">
        <v>9</v>
      </c>
      <c r="F41" s="2728" t="s">
        <v>28</v>
      </c>
      <c r="G41" s="2728" t="s">
        <v>28</v>
      </c>
      <c r="H41" s="2728" t="s">
        <v>28</v>
      </c>
      <c r="I41" s="2728" t="s">
        <v>28</v>
      </c>
    </row>
    <row r="42" spans="1:16">
      <c r="A42" s="57"/>
      <c r="B42" s="1563"/>
      <c r="C42" s="1561"/>
      <c r="E42" s="2707">
        <v>36</v>
      </c>
      <c r="F42" s="1783">
        <v>241</v>
      </c>
      <c r="G42" s="1738">
        <v>133</v>
      </c>
      <c r="H42" s="1738">
        <v>180</v>
      </c>
      <c r="I42" s="1738">
        <v>211</v>
      </c>
      <c r="N42" s="1559"/>
      <c r="O42" s="285"/>
    </row>
    <row r="43" spans="1:16">
      <c r="A43" s="57"/>
      <c r="B43" s="637"/>
      <c r="C43" s="639"/>
      <c r="E43" s="2707">
        <v>37</v>
      </c>
      <c r="F43" s="1783">
        <v>495</v>
      </c>
      <c r="G43" s="1738">
        <v>187</v>
      </c>
      <c r="H43" s="1738">
        <v>253</v>
      </c>
      <c r="I43" s="1738">
        <v>326</v>
      </c>
    </row>
    <row r="44" spans="1:16">
      <c r="A44" s="638"/>
      <c r="B44" s="637"/>
      <c r="C44" s="639"/>
      <c r="E44" s="2707">
        <v>63</v>
      </c>
      <c r="F44" s="1783">
        <v>256</v>
      </c>
      <c r="G44" s="1738">
        <v>3197</v>
      </c>
      <c r="H44" s="1738"/>
      <c r="I44" s="1738">
        <v>1614</v>
      </c>
      <c r="N44" s="1564"/>
      <c r="O44" s="1560"/>
      <c r="P44" s="287"/>
    </row>
    <row r="45" spans="1:16">
      <c r="A45" s="638"/>
      <c r="B45" s="637"/>
      <c r="C45" s="639"/>
      <c r="E45" s="2707">
        <v>76</v>
      </c>
      <c r="F45" s="1783">
        <v>101</v>
      </c>
      <c r="G45" s="1738"/>
      <c r="H45" s="1736"/>
      <c r="I45" s="1738">
        <v>284</v>
      </c>
      <c r="N45" s="1564"/>
      <c r="O45" s="1560"/>
      <c r="P45" s="287"/>
    </row>
    <row r="46" spans="1:16">
      <c r="A46" s="638"/>
      <c r="B46" s="637"/>
      <c r="C46" s="639"/>
      <c r="E46" s="2698">
        <v>95</v>
      </c>
      <c r="F46" s="1783">
        <v>286</v>
      </c>
      <c r="G46" s="2727">
        <v>195</v>
      </c>
      <c r="H46" s="1736">
        <v>51</v>
      </c>
      <c r="I46" s="1738">
        <v>256</v>
      </c>
    </row>
    <row r="47" spans="1:16">
      <c r="E47" s="287"/>
      <c r="F47" s="1735" t="s">
        <v>27</v>
      </c>
      <c r="G47" s="1735" t="s">
        <v>27</v>
      </c>
      <c r="H47" s="1735" t="s">
        <v>27</v>
      </c>
      <c r="I47" s="1735" t="s">
        <v>27</v>
      </c>
      <c r="J47" s="287"/>
      <c r="K47" s="205"/>
      <c r="L47" s="220"/>
      <c r="M47" s="220"/>
    </row>
    <row r="48" spans="1:16">
      <c r="A48" s="638"/>
      <c r="B48" s="637"/>
      <c r="C48" s="635"/>
      <c r="D48" s="636"/>
      <c r="E48" s="2707">
        <v>36</v>
      </c>
      <c r="F48" s="2724">
        <v>2</v>
      </c>
      <c r="G48" s="1738">
        <v>2</v>
      </c>
      <c r="H48" s="1777">
        <v>4</v>
      </c>
      <c r="I48" s="1778">
        <v>7</v>
      </c>
      <c r="J48" s="287"/>
      <c r="K48" s="287"/>
      <c r="L48" s="218"/>
      <c r="M48" s="218"/>
    </row>
    <row r="49" spans="1:14">
      <c r="A49" s="638"/>
      <c r="B49" s="637"/>
      <c r="C49" s="635"/>
      <c r="D49" s="636"/>
      <c r="E49" s="2707">
        <v>37</v>
      </c>
      <c r="F49" s="1778">
        <v>8</v>
      </c>
      <c r="G49" s="1738">
        <v>5</v>
      </c>
      <c r="H49" s="2726">
        <v>9</v>
      </c>
      <c r="I49" s="2725">
        <v>12</v>
      </c>
      <c r="J49" s="287"/>
      <c r="K49" s="205"/>
      <c r="L49" s="218"/>
      <c r="M49" s="218"/>
    </row>
    <row r="50" spans="1:14">
      <c r="A50" s="638"/>
      <c r="B50" s="637"/>
      <c r="C50" s="635"/>
      <c r="D50" s="636"/>
      <c r="E50" s="2707">
        <v>63</v>
      </c>
      <c r="F50" s="1778">
        <v>115</v>
      </c>
      <c r="G50" s="1738">
        <v>1492</v>
      </c>
      <c r="H50" s="1736"/>
      <c r="I50" s="1778">
        <v>746</v>
      </c>
      <c r="J50" s="287"/>
      <c r="K50" s="287"/>
      <c r="L50" s="218"/>
      <c r="M50" s="218"/>
    </row>
    <row r="51" spans="1:14">
      <c r="A51" s="638"/>
      <c r="B51" s="637"/>
      <c r="C51" s="635"/>
      <c r="D51" s="636"/>
      <c r="E51" s="2707">
        <v>76</v>
      </c>
      <c r="F51" s="1778">
        <v>17</v>
      </c>
      <c r="G51" s="1738"/>
      <c r="H51" s="1736"/>
      <c r="I51" s="1778">
        <v>55</v>
      </c>
      <c r="J51" s="287"/>
      <c r="K51" s="205"/>
      <c r="L51" s="220"/>
      <c r="M51" s="220"/>
      <c r="N51" s="219"/>
    </row>
    <row r="52" spans="1:14">
      <c r="A52" s="638"/>
      <c r="B52" s="637"/>
      <c r="C52" s="635"/>
      <c r="D52" s="636"/>
      <c r="E52" s="2698">
        <v>95</v>
      </c>
      <c r="F52" s="1778">
        <v>14</v>
      </c>
      <c r="G52" s="1738">
        <v>8</v>
      </c>
      <c r="H52" s="1736">
        <v>10</v>
      </c>
      <c r="I52" s="550">
        <v>70</v>
      </c>
      <c r="J52" s="287"/>
      <c r="K52" s="287"/>
      <c r="L52" s="218"/>
      <c r="M52" s="218"/>
      <c r="N52" s="219"/>
    </row>
    <row r="53" spans="1:14">
      <c r="A53" s="638"/>
      <c r="B53" s="637"/>
      <c r="C53" s="635"/>
      <c r="D53" s="636"/>
      <c r="E53" s="1562"/>
      <c r="F53" s="1567"/>
      <c r="G53" s="1564"/>
      <c r="H53" s="1560"/>
      <c r="J53" s="287"/>
      <c r="K53" s="205"/>
      <c r="L53" s="218"/>
      <c r="M53" s="218"/>
      <c r="N53" s="219"/>
    </row>
    <row r="54" spans="1:14">
      <c r="A54" s="638"/>
      <c r="B54" s="637"/>
      <c r="C54" s="635"/>
      <c r="D54" s="636"/>
      <c r="E54" s="1562"/>
      <c r="F54" s="1567"/>
      <c r="G54" s="1558"/>
      <c r="H54" s="1560"/>
      <c r="J54" s="287"/>
      <c r="K54" s="287"/>
      <c r="L54" s="218"/>
      <c r="M54" s="218"/>
      <c r="N54" s="219"/>
    </row>
    <row r="55" spans="1:14">
      <c r="A55" s="638"/>
      <c r="B55" s="637"/>
      <c r="C55" s="635"/>
      <c r="D55" s="636"/>
      <c r="E55" s="1562"/>
      <c r="F55" s="1567"/>
      <c r="G55" s="1564"/>
      <c r="H55" s="1560"/>
      <c r="J55" s="287"/>
      <c r="K55" s="205"/>
      <c r="L55" s="220"/>
      <c r="M55" s="220"/>
      <c r="N55" s="219"/>
    </row>
    <row r="56" spans="1:14">
      <c r="A56" s="287"/>
      <c r="B56" s="285"/>
      <c r="C56" s="109"/>
      <c r="D56" s="109"/>
      <c r="E56" s="1562"/>
      <c r="F56" s="1567"/>
      <c r="G56" s="1558"/>
      <c r="H56" s="1560"/>
      <c r="J56" s="287"/>
      <c r="K56" s="287"/>
      <c r="L56" s="218"/>
      <c r="M56" s="218"/>
      <c r="N56" s="219"/>
    </row>
    <row r="57" spans="1:14">
      <c r="A57" s="284"/>
      <c r="B57" s="427"/>
      <c r="C57" s="109"/>
      <c r="D57" s="109"/>
      <c r="E57" s="1562"/>
      <c r="F57" s="1567"/>
      <c r="G57" s="1564"/>
      <c r="H57" s="1560"/>
      <c r="J57" s="287"/>
      <c r="K57" s="205"/>
      <c r="L57" s="218"/>
      <c r="M57" s="218"/>
      <c r="N57" s="219"/>
    </row>
    <row r="58" spans="1:14">
      <c r="A58" s="284"/>
      <c r="B58" s="427"/>
      <c r="C58" s="109"/>
      <c r="D58" s="109"/>
      <c r="E58" s="1562"/>
      <c r="F58" s="1567"/>
      <c r="G58" s="1558"/>
      <c r="H58" s="1560"/>
      <c r="J58" s="287"/>
      <c r="K58" s="287"/>
      <c r="L58" s="218"/>
      <c r="M58" s="218"/>
      <c r="N58" s="219"/>
    </row>
    <row r="59" spans="1:14">
      <c r="A59" s="284"/>
      <c r="B59" s="427"/>
      <c r="C59" s="109"/>
      <c r="D59" s="109"/>
      <c r="E59" s="219"/>
      <c r="F59" s="569"/>
      <c r="J59" s="287"/>
      <c r="K59" s="205"/>
      <c r="L59" s="220"/>
      <c r="M59" s="220"/>
      <c r="N59" s="219"/>
    </row>
    <row r="60" spans="1:14">
      <c r="A60" s="284"/>
      <c r="B60" s="427"/>
      <c r="C60" s="109"/>
      <c r="D60" s="109"/>
      <c r="E60" s="1563"/>
      <c r="F60" s="1567"/>
      <c r="G60" s="1564"/>
      <c r="H60" s="1560"/>
      <c r="J60" s="287"/>
      <c r="K60" s="287"/>
      <c r="L60" s="218"/>
      <c r="M60" s="218"/>
      <c r="N60" s="219"/>
    </row>
    <row r="61" spans="1:14">
      <c r="A61" s="284"/>
      <c r="B61" s="427"/>
      <c r="C61" s="2717"/>
      <c r="D61" s="2717"/>
      <c r="E61" s="1563"/>
      <c r="F61" s="1567"/>
      <c r="G61" s="1558"/>
      <c r="H61" s="1560"/>
      <c r="J61" s="293"/>
      <c r="K61" s="284"/>
      <c r="L61" s="2719"/>
      <c r="M61" s="2719"/>
      <c r="N61" s="2720"/>
    </row>
    <row r="62" spans="1:14">
      <c r="A62" s="284"/>
      <c r="B62" s="427"/>
      <c r="C62" s="2717"/>
      <c r="D62" s="2717"/>
      <c r="E62" s="1563"/>
      <c r="F62" s="1567"/>
      <c r="G62" s="1564"/>
      <c r="H62" s="1560"/>
      <c r="J62" s="293"/>
      <c r="K62" s="284"/>
      <c r="L62" s="2719"/>
      <c r="M62" s="2719"/>
      <c r="N62" s="2720"/>
    </row>
    <row r="63" spans="1:14">
      <c r="A63" s="284"/>
      <c r="B63" s="427"/>
      <c r="C63" s="2717"/>
      <c r="D63" s="2717"/>
      <c r="E63" s="1563"/>
      <c r="F63" s="1567"/>
      <c r="G63" s="1558"/>
      <c r="H63" s="1560"/>
      <c r="J63" s="284"/>
      <c r="K63" s="284"/>
      <c r="L63" s="2721"/>
      <c r="M63" s="2721"/>
      <c r="N63" s="2720"/>
    </row>
    <row r="64" spans="1:14">
      <c r="A64" s="284"/>
      <c r="B64" s="427"/>
      <c r="C64" s="2717"/>
      <c r="D64" s="2717"/>
      <c r="E64" s="1563"/>
      <c r="F64" s="1567"/>
      <c r="G64" s="1564"/>
      <c r="H64" s="1560"/>
      <c r="J64" s="293"/>
      <c r="K64" s="284"/>
      <c r="L64" s="2719"/>
      <c r="M64" s="2719"/>
      <c r="N64" s="2720"/>
    </row>
    <row r="65" spans="1:14">
      <c r="A65" s="284"/>
      <c r="B65" s="2718"/>
      <c r="C65" s="2717"/>
      <c r="D65" s="2717"/>
      <c r="E65" s="1563"/>
      <c r="F65" s="1567"/>
      <c r="G65" s="1558"/>
      <c r="H65" s="1560"/>
      <c r="J65" s="293"/>
      <c r="K65" s="284"/>
      <c r="L65" s="291"/>
      <c r="M65" s="291"/>
      <c r="N65" s="2722"/>
    </row>
    <row r="66" spans="1:14">
      <c r="A66" s="296"/>
      <c r="B66" s="285"/>
      <c r="C66" s="109"/>
      <c r="D66" s="109"/>
      <c r="E66" s="1563"/>
      <c r="F66" s="1567"/>
      <c r="G66" s="1564"/>
      <c r="H66" s="1560"/>
      <c r="J66" s="287"/>
      <c r="K66" s="205"/>
      <c r="L66" s="218"/>
      <c r="M66" s="218"/>
      <c r="N66" s="219"/>
    </row>
    <row r="67" spans="1:14">
      <c r="A67" s="296"/>
      <c r="B67" s="285"/>
      <c r="C67" s="109"/>
      <c r="D67" s="109"/>
      <c r="E67" s="1563"/>
      <c r="F67" s="1567"/>
      <c r="G67" s="1558"/>
      <c r="H67" s="1560"/>
      <c r="J67" s="287"/>
      <c r="K67" s="287"/>
      <c r="L67" s="218"/>
      <c r="M67" s="218"/>
      <c r="N67" s="219"/>
    </row>
    <row r="68" spans="1:14">
      <c r="A68" s="296"/>
      <c r="B68" s="285"/>
      <c r="C68" s="109"/>
      <c r="D68" s="109"/>
      <c r="J68" s="287"/>
      <c r="K68" s="205"/>
      <c r="L68" s="220"/>
      <c r="M68" s="220"/>
      <c r="N68" s="219"/>
    </row>
    <row r="69" spans="1:14">
      <c r="A69" s="296"/>
      <c r="B69" s="285"/>
      <c r="C69" s="109"/>
      <c r="D69" s="109"/>
      <c r="J69" s="287"/>
      <c r="K69" s="287"/>
      <c r="L69" s="218"/>
      <c r="M69" s="218"/>
      <c r="N69" s="219"/>
    </row>
    <row r="70" spans="1:14">
      <c r="A70" s="284"/>
      <c r="B70" s="285"/>
      <c r="C70" s="109"/>
      <c r="D70" s="109"/>
      <c r="J70" s="287"/>
      <c r="K70" s="205"/>
      <c r="L70" s="218"/>
      <c r="M70" s="218"/>
      <c r="N70" s="219"/>
    </row>
    <row r="71" spans="1:14">
      <c r="A71" s="284"/>
      <c r="B71" s="285"/>
      <c r="C71" s="109"/>
      <c r="D71" s="109"/>
      <c r="F71" s="287"/>
      <c r="G71" s="287"/>
      <c r="H71" s="287"/>
      <c r="I71" s="285"/>
      <c r="J71" s="287"/>
      <c r="K71" s="287"/>
      <c r="L71" s="218"/>
      <c r="M71" s="218"/>
      <c r="N71" s="219"/>
    </row>
    <row r="72" spans="1:14">
      <c r="A72" s="284"/>
      <c r="B72" s="285"/>
      <c r="C72" s="109"/>
      <c r="D72" s="109"/>
      <c r="F72" s="287"/>
      <c r="G72" s="287"/>
      <c r="H72" s="287"/>
      <c r="I72" s="285"/>
      <c r="J72" s="287"/>
      <c r="K72" s="205"/>
      <c r="L72" s="220"/>
      <c r="M72" s="220"/>
      <c r="N72" s="219"/>
    </row>
    <row r="73" spans="1:14">
      <c r="A73" s="284"/>
      <c r="B73" s="285"/>
      <c r="C73" s="109"/>
      <c r="D73" s="109"/>
      <c r="F73" s="287"/>
      <c r="G73" s="288"/>
      <c r="H73" s="287"/>
      <c r="I73" s="285"/>
      <c r="J73" s="287"/>
      <c r="K73" s="287"/>
      <c r="L73" s="218"/>
      <c r="M73" s="218"/>
      <c r="N73" s="219"/>
    </row>
    <row r="74" spans="1:14">
      <c r="A74" s="287"/>
      <c r="B74" s="285"/>
      <c r="C74" s="109"/>
      <c r="D74" s="109"/>
      <c r="F74" s="287"/>
      <c r="G74" s="288"/>
      <c r="H74" s="287"/>
      <c r="I74" s="285"/>
      <c r="J74" s="287"/>
      <c r="K74" s="205"/>
      <c r="L74" s="218"/>
      <c r="M74" s="218"/>
      <c r="N74" s="219"/>
    </row>
    <row r="75" spans="1:14">
      <c r="A75" s="287"/>
      <c r="B75" s="285"/>
      <c r="C75" s="109"/>
      <c r="D75" s="109"/>
      <c r="F75" s="287"/>
      <c r="G75" s="287"/>
      <c r="H75" s="287"/>
      <c r="I75" s="285"/>
      <c r="J75" s="287"/>
      <c r="K75" s="287"/>
      <c r="L75" s="218"/>
      <c r="M75" s="218"/>
      <c r="N75" s="219"/>
    </row>
    <row r="76" spans="1:14">
      <c r="A76" s="287"/>
      <c r="B76" s="285"/>
      <c r="C76" s="109"/>
      <c r="D76" s="109"/>
      <c r="F76" s="287"/>
      <c r="G76" s="287"/>
      <c r="H76" s="287"/>
      <c r="I76" s="285"/>
      <c r="J76" s="287"/>
      <c r="K76" s="205"/>
      <c r="L76" s="220"/>
      <c r="M76" s="220"/>
      <c r="N76" s="219"/>
    </row>
    <row r="77" spans="1:14">
      <c r="A77" s="287"/>
      <c r="B77" s="285"/>
      <c r="C77" s="109"/>
      <c r="D77" s="109"/>
      <c r="E77" s="287"/>
      <c r="F77" s="287"/>
      <c r="G77" s="288"/>
      <c r="H77" s="287"/>
      <c r="I77" s="285"/>
      <c r="J77" s="287"/>
      <c r="K77" s="287"/>
      <c r="L77" s="218"/>
      <c r="M77" s="218"/>
      <c r="N77" s="219"/>
    </row>
    <row r="78" spans="1:14">
      <c r="A78" s="284"/>
      <c r="B78" s="427"/>
      <c r="C78" s="109"/>
      <c r="D78" s="109"/>
      <c r="E78" s="286"/>
      <c r="F78" s="287"/>
      <c r="G78" s="288"/>
      <c r="H78" s="287"/>
      <c r="I78" s="285"/>
      <c r="J78" s="287"/>
      <c r="K78" s="205"/>
      <c r="L78" s="218"/>
      <c r="M78" s="218"/>
      <c r="N78" s="219"/>
    </row>
    <row r="79" spans="1:14">
      <c r="A79" s="284"/>
      <c r="B79" s="427"/>
      <c r="C79" s="109"/>
      <c r="D79" s="109"/>
      <c r="E79" s="287"/>
      <c r="F79" s="287"/>
      <c r="G79" s="287"/>
      <c r="H79" s="287"/>
      <c r="I79" s="285"/>
      <c r="J79" s="287"/>
      <c r="K79" s="287"/>
      <c r="L79" s="218"/>
      <c r="M79" s="218"/>
      <c r="N79" s="219"/>
    </row>
    <row r="80" spans="1:14">
      <c r="A80" s="284"/>
      <c r="B80" s="427"/>
      <c r="C80" s="109"/>
      <c r="D80" s="109"/>
      <c r="E80" s="287"/>
      <c r="F80" s="287"/>
      <c r="G80" s="287"/>
      <c r="H80" s="287"/>
      <c r="I80" s="285"/>
      <c r="J80" s="287"/>
      <c r="K80" s="205"/>
      <c r="L80" s="220"/>
      <c r="M80" s="220"/>
      <c r="N80" s="219"/>
    </row>
    <row r="81" spans="1:14">
      <c r="A81" s="284"/>
      <c r="B81" s="427"/>
      <c r="C81" s="109"/>
      <c r="D81" s="109"/>
      <c r="E81" s="287"/>
      <c r="F81" s="287"/>
      <c r="G81" s="288"/>
      <c r="H81" s="287"/>
      <c r="I81" s="285"/>
      <c r="J81" s="287"/>
      <c r="K81" s="287"/>
      <c r="L81" s="218"/>
      <c r="M81" s="218"/>
      <c r="N81" s="219"/>
    </row>
  </sheetData>
  <pageMargins left="0.7" right="0.7" top="0.75" bottom="0.75" header="0.3" footer="0.3"/>
  <pageSetup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0.59999389629810485"/>
  </sheetPr>
  <dimension ref="B1:AC85"/>
  <sheetViews>
    <sheetView topLeftCell="A54" zoomScaleNormal="100" workbookViewId="0">
      <selection activeCell="D62" sqref="D62:G63"/>
    </sheetView>
  </sheetViews>
  <sheetFormatPr defaultRowHeight="16.5" customHeight="1"/>
  <cols>
    <col min="2" max="2" width="21.81640625" bestFit="1" customWidth="1"/>
    <col min="3" max="3" width="8.26953125" bestFit="1" customWidth="1"/>
    <col min="4" max="4" width="8.90625" bestFit="1" customWidth="1"/>
    <col min="5" max="6" width="8.26953125" bestFit="1" customWidth="1"/>
    <col min="9" max="9" width="18.453125" bestFit="1" customWidth="1"/>
    <col min="10" max="10" width="17" bestFit="1" customWidth="1"/>
    <col min="11" max="13" width="8.26953125" bestFit="1" customWidth="1"/>
    <col min="14" max="14" width="12" customWidth="1"/>
    <col min="15" max="15" width="8" bestFit="1" customWidth="1"/>
    <col min="17" max="17" width="12.81640625" customWidth="1"/>
    <col min="18" max="18" width="10.81640625" customWidth="1"/>
    <col min="22" max="22" width="12" customWidth="1"/>
    <col min="24" max="24" width="4.54296875" bestFit="1" customWidth="1"/>
    <col min="25" max="25" width="15.26953125" customWidth="1"/>
    <col min="26" max="26" width="4.453125" bestFit="1" customWidth="1"/>
    <col min="27" max="27" width="4.54296875" bestFit="1" customWidth="1"/>
    <col min="28" max="28" width="6.453125" bestFit="1" customWidth="1"/>
    <col min="29" max="29" width="4.453125" bestFit="1" customWidth="1"/>
  </cols>
  <sheetData>
    <row r="1" spans="2:29" ht="16.5" customHeight="1">
      <c r="B1" s="785"/>
      <c r="C1" s="1660">
        <v>43259</v>
      </c>
      <c r="D1" s="1660">
        <v>43294</v>
      </c>
      <c r="E1" s="1660">
        <v>43322</v>
      </c>
      <c r="F1" s="1660">
        <v>43356</v>
      </c>
    </row>
    <row r="2" spans="2:29" ht="16.5" customHeight="1">
      <c r="B2" s="116"/>
      <c r="C2" s="3030" t="s">
        <v>1341</v>
      </c>
      <c r="D2" s="3031"/>
      <c r="E2" s="3031"/>
      <c r="F2" s="3032"/>
      <c r="I2" s="112" t="s">
        <v>9</v>
      </c>
      <c r="J2" s="112" t="s">
        <v>8</v>
      </c>
      <c r="K2" s="1570">
        <v>43259</v>
      </c>
      <c r="L2" s="1570">
        <v>43294</v>
      </c>
      <c r="M2" s="1570">
        <v>43322</v>
      </c>
      <c r="N2" s="1570">
        <v>43356</v>
      </c>
      <c r="O2" s="647" t="s">
        <v>15</v>
      </c>
      <c r="Q2" s="108" t="s">
        <v>258</v>
      </c>
      <c r="R2" s="3037" t="s">
        <v>582</v>
      </c>
      <c r="S2" s="3037"/>
      <c r="T2" s="3037"/>
      <c r="U2" s="3037"/>
      <c r="V2" s="3037"/>
      <c r="Y2" s="125">
        <v>41899</v>
      </c>
      <c r="Z2" s="108"/>
      <c r="AA2" s="108"/>
      <c r="AB2" s="108"/>
      <c r="AC2" s="108"/>
    </row>
    <row r="3" spans="2:29" ht="16.5" customHeight="1">
      <c r="B3" s="588" t="s">
        <v>135</v>
      </c>
      <c r="C3" s="793">
        <v>0.39930555555555558</v>
      </c>
      <c r="D3" s="1659">
        <v>0.40277777777777773</v>
      </c>
      <c r="E3" s="1659">
        <v>0.46527777777777773</v>
      </c>
      <c r="F3" s="1659">
        <v>0.43402777777777773</v>
      </c>
      <c r="I3" s="3051" t="s">
        <v>479</v>
      </c>
      <c r="J3" s="3051"/>
      <c r="K3" s="3051"/>
      <c r="L3" s="3051"/>
      <c r="M3" s="3051"/>
      <c r="N3" s="3051"/>
      <c r="O3" s="3051"/>
      <c r="Q3" s="108" t="s">
        <v>259</v>
      </c>
      <c r="R3" s="3036" t="s">
        <v>583</v>
      </c>
      <c r="S3" s="3036"/>
      <c r="T3" s="3036"/>
      <c r="U3" s="3036"/>
      <c r="V3" s="3036"/>
      <c r="Y3" s="366" t="s">
        <v>9</v>
      </c>
      <c r="Z3" s="366" t="s">
        <v>138</v>
      </c>
      <c r="AA3" s="366" t="s">
        <v>139</v>
      </c>
      <c r="AB3" s="366" t="s">
        <v>136</v>
      </c>
      <c r="AC3" s="366" t="s">
        <v>137</v>
      </c>
    </row>
    <row r="4" spans="2:29" ht="16.5" customHeight="1">
      <c r="B4" s="588" t="s">
        <v>958</v>
      </c>
      <c r="C4" s="365">
        <v>4.5999999999999996</v>
      </c>
      <c r="D4" s="1565">
        <v>11</v>
      </c>
      <c r="E4" s="1565">
        <v>10.7</v>
      </c>
      <c r="F4" s="1565">
        <v>6.8</v>
      </c>
      <c r="G4" s="143"/>
      <c r="H4" s="287"/>
      <c r="I4" s="3049" t="s">
        <v>299</v>
      </c>
      <c r="J4" s="207" t="s">
        <v>480</v>
      </c>
      <c r="K4" s="1532">
        <v>241</v>
      </c>
      <c r="L4" s="541">
        <v>133</v>
      </c>
      <c r="M4" s="541">
        <v>180</v>
      </c>
      <c r="N4" s="541">
        <v>211</v>
      </c>
      <c r="O4" s="1568">
        <f t="shared" ref="O4:O9" si="0">AVERAGE(K4:N4)</f>
        <v>191.25</v>
      </c>
      <c r="Q4" s="108" t="s">
        <v>5</v>
      </c>
      <c r="R4" s="3036" t="s">
        <v>583</v>
      </c>
      <c r="S4" s="3036"/>
      <c r="T4" s="3036"/>
      <c r="U4" s="3036"/>
      <c r="V4" s="3036"/>
      <c r="Y4" s="277" t="s">
        <v>601</v>
      </c>
      <c r="Z4" s="279">
        <v>5.3</v>
      </c>
      <c r="AA4" s="280">
        <v>8.8000000000000007</v>
      </c>
      <c r="AB4" s="281">
        <v>2.58E-2</v>
      </c>
      <c r="AC4" s="280">
        <v>8.36</v>
      </c>
    </row>
    <row r="5" spans="2:29" ht="16.5" customHeight="1">
      <c r="B5" s="116" t="s">
        <v>959</v>
      </c>
      <c r="C5" s="661">
        <v>13.4</v>
      </c>
      <c r="D5" s="661">
        <v>13.5</v>
      </c>
      <c r="E5" s="661">
        <v>20.100000000000001</v>
      </c>
      <c r="F5" s="661">
        <v>14.3</v>
      </c>
      <c r="G5" s="43"/>
      <c r="H5" s="287"/>
      <c r="I5" s="3050"/>
      <c r="J5" s="591" t="s">
        <v>481</v>
      </c>
      <c r="K5" s="2797">
        <v>2</v>
      </c>
      <c r="L5" s="541">
        <v>2</v>
      </c>
      <c r="M5" s="2798">
        <v>4</v>
      </c>
      <c r="N5" s="854">
        <v>7</v>
      </c>
      <c r="O5" s="1568">
        <f t="shared" si="0"/>
        <v>3.75</v>
      </c>
      <c r="Q5" s="108" t="s">
        <v>133</v>
      </c>
      <c r="R5" s="125"/>
      <c r="S5" s="108"/>
      <c r="T5" s="108"/>
      <c r="U5" s="108"/>
      <c r="V5" s="108"/>
      <c r="Y5" s="278" t="s">
        <v>595</v>
      </c>
      <c r="Z5" s="282">
        <v>4.5</v>
      </c>
      <c r="AA5" s="283">
        <v>7.45</v>
      </c>
      <c r="AB5" s="281">
        <v>4.3999999999999997E-2</v>
      </c>
      <c r="AC5" s="280">
        <v>0.89</v>
      </c>
    </row>
    <row r="6" spans="2:29" ht="16.5" customHeight="1">
      <c r="B6" s="588" t="s">
        <v>139</v>
      </c>
      <c r="C6" s="786">
        <v>8.82</v>
      </c>
      <c r="D6" s="787">
        <v>7.8</v>
      </c>
      <c r="E6" s="787">
        <v>7.54</v>
      </c>
      <c r="F6" s="788">
        <v>8.6</v>
      </c>
      <c r="G6" s="144"/>
      <c r="H6" s="287"/>
      <c r="I6" s="3047" t="s">
        <v>300</v>
      </c>
      <c r="J6" s="207" t="s">
        <v>480</v>
      </c>
      <c r="K6" s="1532">
        <v>495</v>
      </c>
      <c r="L6" s="541">
        <v>187</v>
      </c>
      <c r="M6" s="541">
        <v>253</v>
      </c>
      <c r="N6" s="541">
        <v>326</v>
      </c>
      <c r="O6" s="1568">
        <f t="shared" si="0"/>
        <v>315.25</v>
      </c>
      <c r="Q6" s="112" t="s">
        <v>584</v>
      </c>
      <c r="R6" s="3040" t="s">
        <v>585</v>
      </c>
      <c r="S6" s="3041"/>
      <c r="T6" s="3041"/>
      <c r="U6" s="3041"/>
      <c r="V6" s="3042"/>
      <c r="Y6" s="277" t="s">
        <v>597</v>
      </c>
      <c r="Z6" s="279">
        <v>4.4000000000000004</v>
      </c>
      <c r="AA6" s="280">
        <v>7.12</v>
      </c>
      <c r="AB6" s="281">
        <v>3.9300000000000002E-2</v>
      </c>
      <c r="AC6" s="280">
        <v>1.32</v>
      </c>
    </row>
    <row r="7" spans="2:29" ht="16.5" customHeight="1">
      <c r="B7" s="588" t="s">
        <v>288</v>
      </c>
      <c r="C7" s="789">
        <v>21.3</v>
      </c>
      <c r="D7" s="790">
        <v>23.5</v>
      </c>
      <c r="E7" s="790">
        <v>23.2</v>
      </c>
      <c r="F7" s="791">
        <v>24</v>
      </c>
      <c r="G7" s="145"/>
      <c r="H7" s="287"/>
      <c r="I7" s="3048"/>
      <c r="J7" s="591" t="s">
        <v>481</v>
      </c>
      <c r="K7" s="854">
        <v>8</v>
      </c>
      <c r="L7" s="541">
        <v>5</v>
      </c>
      <c r="M7" s="1745">
        <v>9</v>
      </c>
      <c r="N7" s="2799">
        <v>12</v>
      </c>
      <c r="O7" s="1568">
        <f t="shared" si="0"/>
        <v>8.5</v>
      </c>
      <c r="Q7" s="116" t="s">
        <v>135</v>
      </c>
      <c r="R7" s="116"/>
      <c r="S7" s="209"/>
      <c r="T7" s="3038" t="s">
        <v>592</v>
      </c>
      <c r="U7" s="3039"/>
      <c r="V7" s="116" t="s">
        <v>761</v>
      </c>
      <c r="Y7" s="277" t="s">
        <v>596</v>
      </c>
      <c r="Z7" s="279">
        <v>4.4000000000000004</v>
      </c>
      <c r="AA7" s="280">
        <v>7.43</v>
      </c>
      <c r="AB7" s="281">
        <v>2.4E-2</v>
      </c>
      <c r="AC7" s="280">
        <v>8</v>
      </c>
    </row>
    <row r="8" spans="2:29" ht="16.5" customHeight="1">
      <c r="B8" s="588" t="s">
        <v>289</v>
      </c>
      <c r="C8" s="786">
        <v>9.2200000000000006</v>
      </c>
      <c r="D8" s="787">
        <v>7.07</v>
      </c>
      <c r="E8" s="787">
        <v>7.48</v>
      </c>
      <c r="F8" s="788">
        <v>8.69</v>
      </c>
      <c r="G8" s="145"/>
      <c r="H8" s="287"/>
      <c r="I8" s="3045" t="s">
        <v>965</v>
      </c>
      <c r="J8" s="207" t="s">
        <v>480</v>
      </c>
      <c r="K8" s="1532">
        <v>256</v>
      </c>
      <c r="L8" s="541">
        <v>3197</v>
      </c>
      <c r="M8" s="541"/>
      <c r="N8" s="541">
        <v>1614</v>
      </c>
      <c r="O8" s="1568">
        <f t="shared" si="0"/>
        <v>1689</v>
      </c>
      <c r="Q8" s="115" t="s">
        <v>577</v>
      </c>
      <c r="R8" s="3043"/>
      <c r="S8" s="3044"/>
      <c r="T8" s="131" t="s">
        <v>139</v>
      </c>
      <c r="U8" s="131"/>
      <c r="V8" s="116"/>
      <c r="Y8" s="277" t="s">
        <v>598</v>
      </c>
      <c r="Z8" s="279">
        <v>4.5</v>
      </c>
      <c r="AA8" s="280">
        <v>7.19</v>
      </c>
      <c r="AB8" s="281">
        <v>3.5499999999999997E-2</v>
      </c>
      <c r="AC8" s="280">
        <v>1.91</v>
      </c>
    </row>
    <row r="9" spans="2:29" ht="16.5" customHeight="1">
      <c r="B9" s="116"/>
      <c r="C9" s="3030" t="s">
        <v>294</v>
      </c>
      <c r="D9" s="3031"/>
      <c r="E9" s="3031"/>
      <c r="F9" s="3032"/>
      <c r="G9" s="145"/>
      <c r="H9" s="287"/>
      <c r="I9" s="3046"/>
      <c r="J9" s="747" t="s">
        <v>481</v>
      </c>
      <c r="K9" s="854">
        <v>115</v>
      </c>
      <c r="L9" s="541">
        <v>1492</v>
      </c>
      <c r="M9" s="308"/>
      <c r="N9" s="854">
        <v>746</v>
      </c>
      <c r="O9" s="1568">
        <f t="shared" si="0"/>
        <v>784.33333333333337</v>
      </c>
      <c r="Q9" s="116"/>
      <c r="R9" s="273" t="s">
        <v>591</v>
      </c>
      <c r="S9" s="130" t="s">
        <v>256</v>
      </c>
      <c r="T9" s="131" t="s">
        <v>138</v>
      </c>
      <c r="U9" s="131"/>
      <c r="V9" s="116"/>
      <c r="Y9" s="277" t="s">
        <v>599</v>
      </c>
      <c r="Z9" s="279">
        <v>6.8</v>
      </c>
      <c r="AA9" s="280">
        <v>7.35</v>
      </c>
      <c r="AB9" s="281">
        <v>2.35E-2</v>
      </c>
      <c r="AC9" s="280">
        <v>7.92</v>
      </c>
    </row>
    <row r="10" spans="2:29" ht="16.5" customHeight="1">
      <c r="B10" s="792" t="s">
        <v>135</v>
      </c>
      <c r="C10" s="793">
        <v>0.42708333333333331</v>
      </c>
      <c r="D10" s="793">
        <v>0.4201388888888889</v>
      </c>
      <c r="E10" s="794">
        <v>0.47916666666666669</v>
      </c>
      <c r="F10" s="794">
        <v>0.46527777777777773</v>
      </c>
      <c r="G10" s="145"/>
      <c r="H10" s="287"/>
      <c r="I10" s="3017" t="s">
        <v>494</v>
      </c>
      <c r="J10" s="3018"/>
      <c r="K10" s="3018"/>
      <c r="L10" s="3018"/>
      <c r="M10" s="3018"/>
      <c r="N10" s="3019"/>
      <c r="O10" s="645"/>
      <c r="Q10" s="116" t="s">
        <v>586</v>
      </c>
      <c r="R10" s="116"/>
      <c r="S10" s="116"/>
      <c r="T10" s="131" t="s">
        <v>137</v>
      </c>
      <c r="U10" s="131"/>
      <c r="V10" s="116"/>
      <c r="Y10" s="277" t="s">
        <v>600</v>
      </c>
      <c r="Z10" s="279">
        <v>4.5999999999999996</v>
      </c>
      <c r="AA10" s="280">
        <v>7.43</v>
      </c>
      <c r="AB10" s="281">
        <v>2.4E-2</v>
      </c>
      <c r="AC10" s="280">
        <v>6.83</v>
      </c>
    </row>
    <row r="11" spans="2:29" ht="16.5" customHeight="1">
      <c r="B11" s="792" t="s">
        <v>958</v>
      </c>
      <c r="C11" s="365">
        <v>7.5</v>
      </c>
      <c r="D11" s="365">
        <v>11.3</v>
      </c>
      <c r="E11" s="365">
        <v>12</v>
      </c>
      <c r="F11" s="788">
        <v>8.6</v>
      </c>
      <c r="G11" s="43"/>
      <c r="H11" s="287"/>
      <c r="I11" s="211"/>
      <c r="J11" s="640" t="s">
        <v>266</v>
      </c>
      <c r="K11" s="587" t="s">
        <v>260</v>
      </c>
      <c r="L11" s="587" t="s">
        <v>261</v>
      </c>
      <c r="M11" s="587" t="s">
        <v>73</v>
      </c>
      <c r="N11" s="587" t="s">
        <v>493</v>
      </c>
      <c r="O11" s="645"/>
      <c r="P11" s="72"/>
      <c r="Q11" s="116" t="s">
        <v>587</v>
      </c>
      <c r="R11" s="116"/>
      <c r="S11" s="116"/>
      <c r="T11" s="131" t="s">
        <v>136</v>
      </c>
      <c r="U11" s="131"/>
      <c r="V11" s="116"/>
    </row>
    <row r="12" spans="2:29" ht="16.5" customHeight="1">
      <c r="B12" s="116" t="s">
        <v>959</v>
      </c>
      <c r="C12" s="661">
        <v>14</v>
      </c>
      <c r="D12" s="661">
        <v>13.5</v>
      </c>
      <c r="E12" s="661">
        <v>16.5</v>
      </c>
      <c r="F12" s="661">
        <v>17.399999999999999</v>
      </c>
      <c r="G12" s="144"/>
      <c r="H12" s="287"/>
      <c r="I12" s="588" t="s">
        <v>489</v>
      </c>
      <c r="J12" s="748">
        <f>(C25*1.93)*30</f>
        <v>0.57900000000000007</v>
      </c>
      <c r="K12" s="748">
        <f>(D25*1.983)*31</f>
        <v>108.80721</v>
      </c>
      <c r="L12" s="748">
        <f>(E25*1.983)*31</f>
        <v>82.988550000000018</v>
      </c>
      <c r="M12" s="748">
        <f>(F25*1.983)*30</f>
        <v>14.8725</v>
      </c>
      <c r="N12" s="749">
        <f>SUM(J12:M12)</f>
        <v>207.24726000000001</v>
      </c>
      <c r="O12" s="41"/>
      <c r="P12" s="72"/>
      <c r="Q12" s="3021" t="s">
        <v>588</v>
      </c>
      <c r="R12" s="3022"/>
      <c r="S12" s="3022"/>
      <c r="T12" s="3022"/>
      <c r="U12" s="3022"/>
      <c r="V12" s="3023"/>
    </row>
    <row r="13" spans="2:29" ht="16.5" customHeight="1">
      <c r="B13" s="792" t="s">
        <v>139</v>
      </c>
      <c r="C13" s="365">
        <v>7.67</v>
      </c>
      <c r="D13" s="365">
        <v>7.01</v>
      </c>
      <c r="E13" s="365">
        <v>7.62</v>
      </c>
      <c r="F13" s="788">
        <v>7.5</v>
      </c>
      <c r="G13" s="145"/>
      <c r="H13" s="287"/>
      <c r="I13" s="588" t="s">
        <v>490</v>
      </c>
      <c r="J13" s="748">
        <f>(C26*1.983)*30</f>
        <v>91.0197</v>
      </c>
      <c r="K13" s="748">
        <f>(D26*1.983)*31</f>
        <v>100.20098999999999</v>
      </c>
      <c r="L13" s="748">
        <f>(E26*1.983)*31</f>
        <v>76.226519999999994</v>
      </c>
      <c r="M13" s="748">
        <f>(F26*1.983)*30</f>
        <v>15.467400000000001</v>
      </c>
      <c r="N13" s="749">
        <f>SUM(J13:M13)</f>
        <v>282.91460999999998</v>
      </c>
      <c r="O13" s="645"/>
      <c r="P13" s="72"/>
      <c r="Q13" s="116" t="s">
        <v>135</v>
      </c>
      <c r="R13" s="432"/>
      <c r="S13" s="433"/>
      <c r="T13" s="438" t="s">
        <v>577</v>
      </c>
      <c r="U13" s="116"/>
      <c r="V13" s="116"/>
    </row>
    <row r="14" spans="2:29" ht="16.5" customHeight="1">
      <c r="B14" s="792" t="s">
        <v>288</v>
      </c>
      <c r="C14" s="795">
        <v>28.4</v>
      </c>
      <c r="D14" s="795">
        <v>22.7</v>
      </c>
      <c r="E14" s="795">
        <v>22.9</v>
      </c>
      <c r="F14" s="791">
        <v>25.4</v>
      </c>
      <c r="G14" s="145"/>
      <c r="H14" s="287"/>
      <c r="I14" s="588" t="s">
        <v>965</v>
      </c>
      <c r="J14" s="661">
        <f>(C27*1.983)*30</f>
        <v>4.1643000000000008</v>
      </c>
      <c r="K14" s="661">
        <f>(D27*1.983)*30</f>
        <v>1.7847</v>
      </c>
      <c r="L14" s="661">
        <f>(E27*1.983)*30</f>
        <v>0</v>
      </c>
      <c r="M14" s="661">
        <f>(F27*1.983)*30</f>
        <v>1.7847</v>
      </c>
      <c r="N14" s="749">
        <f>SUM(J14:M14)</f>
        <v>7.7337000000000007</v>
      </c>
      <c r="O14" s="645"/>
      <c r="P14" s="72"/>
      <c r="Q14" s="429" t="s">
        <v>592</v>
      </c>
      <c r="R14" s="3015" t="s">
        <v>761</v>
      </c>
      <c r="S14" s="3016"/>
      <c r="T14" s="116" t="s">
        <v>257</v>
      </c>
      <c r="U14" s="116"/>
      <c r="V14" s="116"/>
    </row>
    <row r="15" spans="2:29" ht="16.5" customHeight="1">
      <c r="B15" s="792" t="s">
        <v>289</v>
      </c>
      <c r="C15" s="365">
        <v>7.21</v>
      </c>
      <c r="D15" s="365">
        <v>7.4</v>
      </c>
      <c r="E15" s="365">
        <v>6.99</v>
      </c>
      <c r="F15" s="788">
        <v>7.02</v>
      </c>
      <c r="G15" s="145"/>
      <c r="H15" s="287"/>
      <c r="I15" s="3017" t="s">
        <v>492</v>
      </c>
      <c r="J15" s="3018"/>
      <c r="K15" s="3018"/>
      <c r="L15" s="3018"/>
      <c r="M15" s="3018"/>
      <c r="N15" s="3019"/>
      <c r="O15" s="41"/>
      <c r="Q15" s="116"/>
      <c r="R15" s="129" t="s">
        <v>152</v>
      </c>
      <c r="S15" s="130" t="s">
        <v>256</v>
      </c>
    </row>
    <row r="16" spans="2:29" ht="16.5" customHeight="1">
      <c r="B16" s="40"/>
      <c r="C16" s="3020" t="s">
        <v>1342</v>
      </c>
      <c r="D16" s="3020"/>
      <c r="E16" s="3020"/>
      <c r="F16" s="3020"/>
      <c r="G16" s="145"/>
      <c r="I16" s="588" t="s">
        <v>489</v>
      </c>
      <c r="J16" s="540">
        <f>J12*$I$23*K5</f>
        <v>3.1532340000000004E-3</v>
      </c>
      <c r="K16" s="540">
        <f>K12*$I$23*L5</f>
        <v>0.59256406565999997</v>
      </c>
      <c r="L16" s="540">
        <f>L12*$I$23*M5</f>
        <v>0.9039112866000002</v>
      </c>
      <c r="M16" s="540">
        <f>M12*$I$23*N5</f>
        <v>0.28348472250000001</v>
      </c>
      <c r="N16" s="749">
        <f>SUM(J16:M16)</f>
        <v>1.78311330876</v>
      </c>
      <c r="O16" s="646"/>
      <c r="Q16" s="92">
        <v>2</v>
      </c>
      <c r="R16" s="116"/>
      <c r="S16" s="116"/>
      <c r="T16" s="131" t="s">
        <v>139</v>
      </c>
      <c r="U16" s="131"/>
      <c r="V16" s="272"/>
    </row>
    <row r="17" spans="2:23" ht="16.5" customHeight="1">
      <c r="B17" s="588" t="s">
        <v>135</v>
      </c>
      <c r="C17" s="1659">
        <v>0.41319444444444442</v>
      </c>
      <c r="D17" s="1659">
        <v>0.40972222222222227</v>
      </c>
      <c r="E17" s="1659"/>
      <c r="F17" s="1659">
        <v>0.4513888888888889</v>
      </c>
      <c r="G17" s="43"/>
      <c r="I17" s="588" t="s">
        <v>490</v>
      </c>
      <c r="J17" s="540">
        <f>J13*$I$23*K7</f>
        <v>1.9827731448000001</v>
      </c>
      <c r="K17" s="540">
        <f>K13*$I$23*L7</f>
        <v>1.3642364788500001</v>
      </c>
      <c r="L17" s="540">
        <f>L13*$I$23*M7</f>
        <v>1.8680833256399998</v>
      </c>
      <c r="M17" s="540">
        <f>M13*$I$23*N7</f>
        <v>0.5054127624000001</v>
      </c>
      <c r="N17" s="749">
        <f>SUM(J17:M17)</f>
        <v>5.7205057116899996</v>
      </c>
      <c r="O17" s="645"/>
      <c r="Q17" s="92">
        <v>4</v>
      </c>
      <c r="R17" s="116"/>
      <c r="S17" s="116"/>
      <c r="T17" s="131" t="s">
        <v>138</v>
      </c>
      <c r="U17" s="131"/>
      <c r="V17" s="116"/>
    </row>
    <row r="18" spans="2:23" ht="16.5" customHeight="1">
      <c r="B18" s="588" t="s">
        <v>958</v>
      </c>
      <c r="C18" s="295">
        <v>10.8</v>
      </c>
      <c r="D18" s="295">
        <v>10.9</v>
      </c>
      <c r="E18" s="295"/>
      <c r="F18" s="295">
        <v>9.4</v>
      </c>
      <c r="G18" s="43"/>
      <c r="I18" s="588" t="s">
        <v>965</v>
      </c>
      <c r="J18" s="540">
        <f>J14*$I$23*K9</f>
        <v>1.3040297235000002</v>
      </c>
      <c r="K18" s="540">
        <f>K14*$I$23*L9</f>
        <v>7.2507292452000005</v>
      </c>
      <c r="L18" s="540">
        <f>L14*$I$23*M9</f>
        <v>0</v>
      </c>
      <c r="M18" s="540">
        <f>M14*$I$23*N9</f>
        <v>3.6253646226000003</v>
      </c>
      <c r="N18" s="749">
        <f>SUM(J18:M18)</f>
        <v>12.180123591299999</v>
      </c>
      <c r="O18" s="645"/>
      <c r="Q18" s="92">
        <v>6</v>
      </c>
      <c r="R18" s="116"/>
      <c r="S18" s="116"/>
      <c r="T18" s="131" t="s">
        <v>137</v>
      </c>
      <c r="U18" s="131"/>
      <c r="V18" s="116"/>
    </row>
    <row r="19" spans="2:23" ht="16.5" customHeight="1">
      <c r="B19" s="116" t="s">
        <v>959</v>
      </c>
      <c r="C19" s="295">
        <v>17.399999999999999</v>
      </c>
      <c r="D19" s="295">
        <v>13.5</v>
      </c>
      <c r="E19" s="295"/>
      <c r="F19" s="295">
        <v>14.9</v>
      </c>
      <c r="G19" s="43"/>
      <c r="I19" s="3033" t="s">
        <v>491</v>
      </c>
      <c r="J19" s="3034"/>
      <c r="K19" s="3034"/>
      <c r="L19" s="3034"/>
      <c r="M19" s="3034"/>
      <c r="N19" s="3035"/>
      <c r="O19" s="645"/>
      <c r="Q19" s="92">
        <v>8</v>
      </c>
      <c r="R19" s="116"/>
      <c r="S19" s="116"/>
      <c r="T19" s="131" t="s">
        <v>136</v>
      </c>
      <c r="U19" s="131"/>
      <c r="V19" s="116"/>
    </row>
    <row r="20" spans="2:23" ht="16.5" customHeight="1">
      <c r="B20" s="588" t="s">
        <v>139</v>
      </c>
      <c r="C20" s="295">
        <v>7.44</v>
      </c>
      <c r="D20" s="295">
        <v>6.91</v>
      </c>
      <c r="E20" s="295"/>
      <c r="F20" s="295">
        <v>7.93</v>
      </c>
      <c r="G20" s="43"/>
      <c r="I20" s="588" t="s">
        <v>489</v>
      </c>
      <c r="J20" s="661">
        <f>J12*$I$23*K4</f>
        <v>0.37996469700000007</v>
      </c>
      <c r="K20" s="661">
        <f>K12*$I$23*L4</f>
        <v>39.405510366389997</v>
      </c>
      <c r="L20" s="661">
        <f>L12*$I$23*M4</f>
        <v>40.676007897000012</v>
      </c>
      <c r="M20" s="661">
        <f>M12*$I$23*N4</f>
        <v>8.5450394925000008</v>
      </c>
      <c r="N20" s="749">
        <f>SUM(J20:M20)</f>
        <v>89.00652245289001</v>
      </c>
      <c r="O20" s="645"/>
      <c r="Q20" s="3024" t="s">
        <v>290</v>
      </c>
      <c r="R20" s="3025"/>
      <c r="S20" s="3026"/>
      <c r="T20" s="3024" t="s">
        <v>589</v>
      </c>
      <c r="U20" s="3025"/>
      <c r="V20" s="3026"/>
    </row>
    <row r="21" spans="2:23" ht="16.5" customHeight="1">
      <c r="B21" s="588" t="s">
        <v>288</v>
      </c>
      <c r="C21" s="295">
        <v>41.1</v>
      </c>
      <c r="D21" s="295">
        <v>55.7</v>
      </c>
      <c r="E21" s="295"/>
      <c r="F21" s="295">
        <v>75.2</v>
      </c>
      <c r="G21" s="43"/>
      <c r="I21" s="588" t="s">
        <v>490</v>
      </c>
      <c r="J21" s="661">
        <f>J13*$I$23*K6</f>
        <v>122.6840883345</v>
      </c>
      <c r="K21" s="661">
        <f>K13*$I$23*L6</f>
        <v>51.022444308989996</v>
      </c>
      <c r="L21" s="661">
        <f>L13*$I$23*M6</f>
        <v>52.513897931879995</v>
      </c>
      <c r="M21" s="661">
        <f>M13*$I$23*N6</f>
        <v>13.730380045200002</v>
      </c>
      <c r="N21" s="749">
        <f>SUM(J21:M21)</f>
        <v>239.95081062057</v>
      </c>
      <c r="Q21" s="434" t="s">
        <v>135</v>
      </c>
      <c r="R21" s="430"/>
      <c r="S21" s="431"/>
      <c r="T21" s="434" t="s">
        <v>135</v>
      </c>
      <c r="U21" s="430"/>
      <c r="V21" s="437" t="s">
        <v>760</v>
      </c>
    </row>
    <row r="22" spans="2:23" ht="16.5" customHeight="1">
      <c r="B22" s="588" t="s">
        <v>289</v>
      </c>
      <c r="C22" s="295">
        <v>3.22</v>
      </c>
      <c r="D22" s="295">
        <v>5.68</v>
      </c>
      <c r="E22" s="295"/>
      <c r="F22" s="295">
        <v>5.59</v>
      </c>
      <c r="G22" s="43"/>
      <c r="I22" s="588" t="s">
        <v>965</v>
      </c>
      <c r="J22" s="661">
        <f>J14*$I$23*K8</f>
        <v>2.9028835584000006</v>
      </c>
      <c r="K22" s="661">
        <f>K14*$I$23*L8</f>
        <v>15.536582705700001</v>
      </c>
      <c r="L22" s="661">
        <f>L14*$I$23*M8</f>
        <v>0</v>
      </c>
      <c r="M22" s="661">
        <f>M14*$I$23*N8</f>
        <v>7.8436172934000004</v>
      </c>
      <c r="N22" s="749">
        <f>SUM(J22:M22)</f>
        <v>26.283083557500003</v>
      </c>
      <c r="Q22" s="429" t="s">
        <v>592</v>
      </c>
      <c r="R22" s="3015" t="s">
        <v>761</v>
      </c>
      <c r="S22" s="3016"/>
      <c r="T22" s="88" t="s">
        <v>590</v>
      </c>
      <c r="U22" s="430"/>
      <c r="V22" s="440" t="s">
        <v>761</v>
      </c>
      <c r="W22" s="439"/>
    </row>
    <row r="23" spans="2:23" ht="15.5">
      <c r="G23" s="43"/>
      <c r="I23" s="210">
        <v>2.7230000000000002E-3</v>
      </c>
      <c r="Q23" s="187" t="s">
        <v>138</v>
      </c>
      <c r="R23" s="50"/>
      <c r="S23" s="50"/>
      <c r="T23" s="271">
        <v>2</v>
      </c>
      <c r="U23" s="50"/>
      <c r="V23" s="50"/>
    </row>
    <row r="24" spans="2:23" ht="18.649999999999999" customHeight="1">
      <c r="B24" s="116"/>
      <c r="C24" s="3030" t="s">
        <v>477</v>
      </c>
      <c r="D24" s="3031"/>
      <c r="E24" s="3031"/>
      <c r="F24" s="3032"/>
      <c r="G24" s="43"/>
      <c r="Q24" s="187" t="s">
        <v>139</v>
      </c>
      <c r="R24" s="50"/>
      <c r="S24" s="50"/>
      <c r="T24" s="49">
        <v>3</v>
      </c>
      <c r="U24" s="40"/>
      <c r="V24" s="40"/>
    </row>
    <row r="25" spans="2:23" ht="15.5">
      <c r="B25" s="588" t="s">
        <v>489</v>
      </c>
      <c r="C25" s="796">
        <v>0.01</v>
      </c>
      <c r="D25" s="365">
        <v>1.77</v>
      </c>
      <c r="E25" s="365">
        <v>1.35</v>
      </c>
      <c r="F25" s="365">
        <v>0.25</v>
      </c>
      <c r="G25" s="43"/>
      <c r="Q25" s="187" t="s">
        <v>136</v>
      </c>
      <c r="R25" s="40"/>
      <c r="S25" s="40"/>
      <c r="T25" s="187" t="s">
        <v>138</v>
      </c>
      <c r="U25" s="50"/>
      <c r="V25" s="50"/>
    </row>
    <row r="26" spans="2:23" ht="15.5">
      <c r="B26" s="588" t="s">
        <v>490</v>
      </c>
      <c r="C26" s="796">
        <v>1.53</v>
      </c>
      <c r="D26" s="365">
        <v>1.63</v>
      </c>
      <c r="E26" s="365">
        <v>1.24</v>
      </c>
      <c r="F26" s="365">
        <v>0.26</v>
      </c>
      <c r="G26" s="43"/>
      <c r="P26" s="14"/>
      <c r="Q26" s="187" t="s">
        <v>137</v>
      </c>
      <c r="R26" s="40"/>
      <c r="S26" s="40"/>
      <c r="T26" s="187" t="s">
        <v>139</v>
      </c>
      <c r="U26" s="50"/>
      <c r="V26" s="50"/>
    </row>
    <row r="27" spans="2:23" ht="14">
      <c r="B27" s="588" t="s">
        <v>965</v>
      </c>
      <c r="C27" s="1566">
        <v>7.0000000000000007E-2</v>
      </c>
      <c r="D27" s="1566">
        <v>0.03</v>
      </c>
      <c r="E27" s="1566">
        <v>0</v>
      </c>
      <c r="F27" s="1569">
        <v>0.03</v>
      </c>
      <c r="G27" s="43"/>
      <c r="Q27" s="3011" t="s">
        <v>593</v>
      </c>
      <c r="R27" s="3012"/>
      <c r="S27" s="3011" t="s">
        <v>594</v>
      </c>
      <c r="T27" s="3012"/>
      <c r="U27" s="3011" t="s">
        <v>747</v>
      </c>
      <c r="V27" s="3012"/>
    </row>
    <row r="28" spans="2:23" ht="16.5" customHeight="1">
      <c r="B28" s="116"/>
      <c r="C28" s="3030" t="s">
        <v>478</v>
      </c>
      <c r="D28" s="3031"/>
      <c r="E28" s="3031"/>
      <c r="F28" s="3032"/>
      <c r="G28" s="43"/>
      <c r="Q28" s="40" t="s">
        <v>135</v>
      </c>
      <c r="R28" s="40"/>
      <c r="S28" s="40" t="s">
        <v>135</v>
      </c>
      <c r="T28" s="40"/>
      <c r="U28" s="40" t="s">
        <v>135</v>
      </c>
      <c r="V28" s="40"/>
    </row>
    <row r="29" spans="2:23" ht="14">
      <c r="B29" s="588" t="s">
        <v>488</v>
      </c>
      <c r="C29" s="797">
        <v>0.01</v>
      </c>
      <c r="D29" s="798">
        <v>0.05</v>
      </c>
      <c r="E29" s="798">
        <v>0.08</v>
      </c>
      <c r="F29" s="798">
        <v>0.02</v>
      </c>
      <c r="G29" s="43"/>
      <c r="Q29" s="276" t="s">
        <v>138</v>
      </c>
      <c r="R29" s="436"/>
      <c r="S29" s="276" t="s">
        <v>138</v>
      </c>
      <c r="T29" s="436"/>
      <c r="U29" s="276" t="s">
        <v>138</v>
      </c>
      <c r="V29" s="436"/>
    </row>
    <row r="30" spans="2:23" ht="14">
      <c r="B30" s="588" t="s">
        <v>490</v>
      </c>
      <c r="C30" s="797">
        <v>0.15</v>
      </c>
      <c r="D30" s="798">
        <v>0.2</v>
      </c>
      <c r="E30" s="798">
        <v>0.25</v>
      </c>
      <c r="F30" s="798">
        <v>0.3</v>
      </c>
      <c r="G30" s="43"/>
      <c r="Q30" s="187" t="s">
        <v>139</v>
      </c>
      <c r="R30" s="40"/>
      <c r="S30" s="187" t="s">
        <v>139</v>
      </c>
      <c r="T30" s="40"/>
      <c r="U30" s="187" t="s">
        <v>139</v>
      </c>
      <c r="V30" s="40"/>
    </row>
    <row r="31" spans="2:23" ht="14">
      <c r="B31" s="116"/>
      <c r="C31" s="3027" t="s">
        <v>487</v>
      </c>
      <c r="D31" s="3028"/>
      <c r="E31" s="3028"/>
      <c r="F31" s="3029"/>
      <c r="G31" s="43"/>
      <c r="Q31" s="187" t="s">
        <v>136</v>
      </c>
      <c r="R31" s="40"/>
      <c r="S31" s="187" t="s">
        <v>136</v>
      </c>
      <c r="T31" s="40"/>
      <c r="U31" s="187" t="s">
        <v>136</v>
      </c>
      <c r="V31" s="40"/>
    </row>
    <row r="32" spans="2:23" ht="14">
      <c r="B32" s="588" t="s">
        <v>488</v>
      </c>
      <c r="C32" s="772">
        <v>1</v>
      </c>
      <c r="D32" s="772">
        <v>1</v>
      </c>
      <c r="E32" s="772">
        <v>1</v>
      </c>
      <c r="F32" s="772">
        <v>1</v>
      </c>
      <c r="G32" s="43"/>
      <c r="Q32" s="187" t="s">
        <v>137</v>
      </c>
      <c r="R32" s="40"/>
      <c r="S32" s="187" t="s">
        <v>137</v>
      </c>
      <c r="T32" s="40"/>
      <c r="U32" s="187" t="s">
        <v>137</v>
      </c>
      <c r="V32" s="40"/>
    </row>
    <row r="33" spans="2:22" ht="14">
      <c r="B33" s="588" t="s">
        <v>490</v>
      </c>
      <c r="C33" s="772">
        <v>0</v>
      </c>
      <c r="D33" s="772">
        <v>0</v>
      </c>
      <c r="E33" s="772">
        <v>3</v>
      </c>
      <c r="F33" s="772">
        <v>0</v>
      </c>
      <c r="G33" s="43"/>
      <c r="Q33" s="3011" t="s">
        <v>749</v>
      </c>
      <c r="R33" s="3012"/>
      <c r="S33" s="3013" t="s">
        <v>759</v>
      </c>
      <c r="T33" s="3014"/>
      <c r="U33" s="3013" t="s">
        <v>748</v>
      </c>
      <c r="V33" s="3014"/>
    </row>
    <row r="34" spans="2:22" ht="16.5" customHeight="1">
      <c r="B34" s="358" t="s">
        <v>151</v>
      </c>
      <c r="C34" s="305" t="s">
        <v>152</v>
      </c>
      <c r="D34" s="305" t="s">
        <v>153</v>
      </c>
      <c r="E34" s="305" t="s">
        <v>154</v>
      </c>
      <c r="F34" s="305" t="s">
        <v>960</v>
      </c>
      <c r="J34" s="643"/>
      <c r="K34" s="643"/>
      <c r="L34" s="643"/>
      <c r="M34" s="643"/>
      <c r="N34" s="643"/>
      <c r="O34" s="643"/>
      <c r="Q34" s="40" t="s">
        <v>135</v>
      </c>
      <c r="R34" s="40"/>
      <c r="S34" s="40" t="s">
        <v>135</v>
      </c>
      <c r="T34" s="40"/>
      <c r="U34" s="40" t="s">
        <v>135</v>
      </c>
      <c r="V34" s="40"/>
    </row>
    <row r="35" spans="2:22" ht="16.5" customHeight="1">
      <c r="B35" s="151">
        <v>2</v>
      </c>
      <c r="C35" s="150">
        <v>0.21</v>
      </c>
      <c r="D35" s="150">
        <v>0.24</v>
      </c>
      <c r="E35" s="150">
        <f>C35*2</f>
        <v>0.42</v>
      </c>
      <c r="F35" s="7">
        <f>D35*E35</f>
        <v>0.10079999999999999</v>
      </c>
      <c r="J35" s="641"/>
      <c r="K35" s="642"/>
      <c r="L35" s="642"/>
      <c r="M35" s="642"/>
      <c r="N35" s="642"/>
      <c r="O35" s="41"/>
      <c r="Q35" s="276" t="s">
        <v>138</v>
      </c>
      <c r="R35" s="40"/>
      <c r="S35" s="276" t="s">
        <v>138</v>
      </c>
      <c r="T35" s="40"/>
      <c r="U35" s="276" t="s">
        <v>138</v>
      </c>
      <c r="V35" s="40"/>
    </row>
    <row r="36" spans="2:22" ht="16.5" customHeight="1">
      <c r="B36" s="152">
        <v>4</v>
      </c>
      <c r="C36" s="5">
        <v>0.18</v>
      </c>
      <c r="D36" s="5">
        <v>0.15</v>
      </c>
      <c r="E36" s="150">
        <f>C36*1.3</f>
        <v>0.23399999999999999</v>
      </c>
      <c r="F36" s="150">
        <f>D36*E36</f>
        <v>3.5099999999999999E-2</v>
      </c>
      <c r="J36" s="641"/>
      <c r="K36" s="642"/>
      <c r="L36" s="642"/>
      <c r="M36" s="642"/>
      <c r="N36" s="642"/>
      <c r="O36" s="41"/>
      <c r="Q36" s="187" t="s">
        <v>139</v>
      </c>
      <c r="R36" s="40"/>
      <c r="S36" s="187" t="s">
        <v>139</v>
      </c>
      <c r="T36" s="40"/>
      <c r="U36" s="187" t="s">
        <v>139</v>
      </c>
      <c r="V36" s="40"/>
    </row>
    <row r="37" spans="2:22" ht="16.5" customHeight="1">
      <c r="B37" s="358"/>
      <c r="C37" s="5"/>
      <c r="D37" s="5">
        <v>1.0900000000000001</v>
      </c>
      <c r="E37" s="150">
        <f t="shared" ref="E37" si="1">C37*3</f>
        <v>0</v>
      </c>
      <c r="F37" s="150">
        <f>D37*E37</f>
        <v>0</v>
      </c>
      <c r="J37" s="641"/>
      <c r="K37" s="642"/>
      <c r="L37" s="642"/>
      <c r="M37" s="642"/>
      <c r="N37" s="642"/>
      <c r="O37" s="642"/>
      <c r="Q37" s="187" t="s">
        <v>136</v>
      </c>
      <c r="R37" s="40"/>
      <c r="S37" s="187" t="s">
        <v>136</v>
      </c>
      <c r="T37" s="40"/>
      <c r="U37" s="187" t="s">
        <v>136</v>
      </c>
      <c r="V37" s="40"/>
    </row>
    <row r="38" spans="2:22" ht="16.5" customHeight="1">
      <c r="B38" s="358"/>
      <c r="C38" s="5"/>
      <c r="D38" s="5">
        <v>2.2599999999999998</v>
      </c>
      <c r="E38" s="150">
        <f>C38*2</f>
        <v>0</v>
      </c>
      <c r="F38" s="150">
        <f>D38*E38</f>
        <v>0</v>
      </c>
      <c r="J38" s="641"/>
      <c r="K38" s="642"/>
      <c r="L38" s="642"/>
      <c r="M38" s="642"/>
      <c r="N38" s="642"/>
      <c r="O38" s="41"/>
      <c r="Q38" s="187" t="s">
        <v>137</v>
      </c>
      <c r="R38" s="40"/>
      <c r="S38" s="187" t="s">
        <v>137</v>
      </c>
      <c r="T38" s="40"/>
      <c r="U38" s="187" t="s">
        <v>137</v>
      </c>
      <c r="V38" s="40"/>
    </row>
    <row r="39" spans="2:22" ht="16.5" customHeight="1">
      <c r="B39" s="358"/>
      <c r="C39" s="5"/>
      <c r="D39" s="5">
        <v>1.2</v>
      </c>
      <c r="E39" s="150">
        <f>C39*2</f>
        <v>0</v>
      </c>
      <c r="F39" s="150">
        <f>D39*E39</f>
        <v>0</v>
      </c>
      <c r="J39" s="644"/>
      <c r="K39" s="644"/>
      <c r="L39" s="644"/>
      <c r="M39" s="644"/>
      <c r="N39" s="644"/>
      <c r="O39" s="644"/>
    </row>
    <row r="40" spans="2:22" ht="16.5" customHeight="1">
      <c r="B40" s="358"/>
      <c r="C40" s="358"/>
      <c r="D40" s="358"/>
      <c r="E40" s="358"/>
      <c r="F40" s="299">
        <f>SUM(F35:F39)</f>
        <v>0.13589999999999999</v>
      </c>
      <c r="J40" s="641"/>
      <c r="K40" s="642"/>
      <c r="L40" s="642"/>
      <c r="M40" s="642"/>
      <c r="N40" s="642"/>
      <c r="O40" s="41"/>
    </row>
    <row r="41" spans="2:22" ht="16.5" customHeight="1">
      <c r="J41" s="641"/>
      <c r="K41" s="642"/>
      <c r="L41" s="642"/>
      <c r="M41" s="642"/>
      <c r="N41" s="642"/>
      <c r="O41" s="41"/>
    </row>
    <row r="42" spans="2:22" ht="16.5" customHeight="1">
      <c r="B42" s="785"/>
      <c r="C42" s="1660">
        <v>43259</v>
      </c>
      <c r="D42" s="1660">
        <v>43294</v>
      </c>
      <c r="E42" s="1660">
        <v>43322</v>
      </c>
      <c r="F42" s="1660">
        <v>43356</v>
      </c>
      <c r="J42" s="641"/>
      <c r="K42" s="642"/>
      <c r="L42" s="642"/>
      <c r="M42" s="642"/>
      <c r="N42" s="642"/>
      <c r="O42" s="642"/>
    </row>
    <row r="43" spans="2:22" ht="16.5" customHeight="1">
      <c r="B43" s="116"/>
      <c r="C43" s="3030" t="s">
        <v>1743</v>
      </c>
      <c r="D43" s="3031"/>
      <c r="E43" s="3031"/>
      <c r="F43" s="3032"/>
      <c r="J43" s="641"/>
      <c r="K43" s="642"/>
      <c r="L43" s="642"/>
      <c r="M43" s="642"/>
      <c r="N43" s="642"/>
      <c r="O43" s="41"/>
    </row>
    <row r="44" spans="2:22" ht="16.5" customHeight="1">
      <c r="B44" s="588" t="s">
        <v>135</v>
      </c>
      <c r="C44" s="793">
        <v>0.39930555555555558</v>
      </c>
      <c r="D44" s="1659">
        <v>0.40277777777777773</v>
      </c>
      <c r="E44" s="1659">
        <v>0.46527777777777773</v>
      </c>
      <c r="F44" s="1659">
        <v>0.43402777777777773</v>
      </c>
    </row>
    <row r="45" spans="2:22" ht="16.5" customHeight="1">
      <c r="B45" s="588" t="s">
        <v>958</v>
      </c>
      <c r="C45" s="365">
        <v>4.5999999999999996</v>
      </c>
      <c r="D45" s="1565">
        <v>11</v>
      </c>
      <c r="E45" s="1565">
        <v>10.7</v>
      </c>
      <c r="F45" s="1565">
        <v>6.8</v>
      </c>
    </row>
    <row r="46" spans="2:22" ht="16.5" customHeight="1">
      <c r="B46" s="116" t="s">
        <v>959</v>
      </c>
      <c r="C46" s="661">
        <v>13.4</v>
      </c>
      <c r="D46" s="661">
        <v>13.5</v>
      </c>
      <c r="E46" s="661">
        <v>20.100000000000001</v>
      </c>
      <c r="F46" s="661">
        <v>14.3</v>
      </c>
    </row>
    <row r="47" spans="2:22" ht="16.5" customHeight="1">
      <c r="B47" s="588" t="s">
        <v>139</v>
      </c>
      <c r="C47" s="786">
        <v>8.82</v>
      </c>
      <c r="D47" s="787">
        <v>7.8</v>
      </c>
      <c r="E47" s="787">
        <v>7.54</v>
      </c>
      <c r="F47" s="788">
        <v>8.6</v>
      </c>
    </row>
    <row r="48" spans="2:22" ht="16.5" customHeight="1">
      <c r="B48" s="588" t="s">
        <v>288</v>
      </c>
      <c r="C48" s="789">
        <v>21.3</v>
      </c>
      <c r="D48" s="790">
        <v>23.5</v>
      </c>
      <c r="E48" s="790">
        <v>23.2</v>
      </c>
      <c r="F48" s="791">
        <v>24</v>
      </c>
    </row>
    <row r="49" spans="2:28" ht="17.5" customHeight="1">
      <c r="B49" s="588" t="s">
        <v>289</v>
      </c>
      <c r="C49" s="786">
        <v>9.2200000000000006</v>
      </c>
      <c r="D49" s="787">
        <v>7.07</v>
      </c>
      <c r="E49" s="787">
        <v>7.48</v>
      </c>
      <c r="F49" s="788">
        <v>8.69</v>
      </c>
    </row>
    <row r="50" spans="2:28" s="41" customFormat="1" ht="16.5" customHeight="1">
      <c r="B50" s="116"/>
      <c r="C50" s="3030" t="s">
        <v>1744</v>
      </c>
      <c r="D50" s="3031"/>
      <c r="E50" s="3031"/>
      <c r="F50" s="3032"/>
    </row>
    <row r="51" spans="2:28" s="41" customFormat="1" ht="16.5" customHeight="1">
      <c r="B51" s="792" t="s">
        <v>135</v>
      </c>
      <c r="C51" s="793">
        <v>0.42708333333333331</v>
      </c>
      <c r="D51" s="793">
        <v>0.4201388888888889</v>
      </c>
      <c r="E51" s="794">
        <v>0.47916666666666669</v>
      </c>
      <c r="F51" s="794">
        <v>0.46527777777777773</v>
      </c>
      <c r="AA51" s="651"/>
      <c r="AB51" s="652"/>
    </row>
    <row r="52" spans="2:28" s="41" customFormat="1" ht="16.5" customHeight="1">
      <c r="B52" s="792" t="s">
        <v>958</v>
      </c>
      <c r="C52" s="365">
        <v>7.5</v>
      </c>
      <c r="D52" s="365">
        <v>11.3</v>
      </c>
      <c r="E52" s="365">
        <v>12</v>
      </c>
      <c r="F52" s="788">
        <v>8.6</v>
      </c>
      <c r="AA52" s="654"/>
      <c r="AB52" s="655"/>
    </row>
    <row r="53" spans="2:28" s="41" customFormat="1" ht="16.5" customHeight="1">
      <c r="B53" s="116" t="s">
        <v>959</v>
      </c>
      <c r="C53" s="661">
        <v>14</v>
      </c>
      <c r="D53" s="661">
        <v>13.5</v>
      </c>
      <c r="E53" s="661">
        <v>16.5</v>
      </c>
      <c r="F53" s="661">
        <v>17.399999999999999</v>
      </c>
      <c r="AA53" s="654"/>
      <c r="AB53" s="655"/>
    </row>
    <row r="54" spans="2:28" s="41" customFormat="1" ht="16.5" customHeight="1">
      <c r="B54" s="792" t="s">
        <v>139</v>
      </c>
      <c r="C54" s="365">
        <v>7.67</v>
      </c>
      <c r="D54" s="365">
        <v>7.01</v>
      </c>
      <c r="E54" s="365">
        <v>7.62</v>
      </c>
      <c r="F54" s="788">
        <v>7.5</v>
      </c>
      <c r="AA54" s="658"/>
      <c r="AB54" s="655"/>
    </row>
    <row r="55" spans="2:28" s="41" customFormat="1" ht="16.5" customHeight="1">
      <c r="B55" s="792" t="s">
        <v>288</v>
      </c>
      <c r="C55" s="795">
        <v>28.4</v>
      </c>
      <c r="D55" s="795">
        <v>22.7</v>
      </c>
      <c r="E55" s="795">
        <v>22.9</v>
      </c>
      <c r="F55" s="791">
        <v>25.4</v>
      </c>
      <c r="AA55" s="654"/>
      <c r="AB55" s="655"/>
    </row>
    <row r="56" spans="2:28" s="41" customFormat="1" ht="16.5" customHeight="1">
      <c r="B56" s="792" t="s">
        <v>289</v>
      </c>
      <c r="C56" s="365">
        <v>7.21</v>
      </c>
      <c r="D56" s="365">
        <v>7.4</v>
      </c>
      <c r="E56" s="365">
        <v>6.99</v>
      </c>
      <c r="F56" s="788">
        <v>7.02</v>
      </c>
      <c r="AA56" s="654"/>
      <c r="AB56" s="655"/>
    </row>
    <row r="57" spans="2:28" s="41" customFormat="1" ht="16.5" customHeight="1">
      <c r="B57" s="649"/>
      <c r="C57" s="650"/>
      <c r="D57" s="650"/>
      <c r="AA57" s="654"/>
      <c r="AB57" s="655"/>
    </row>
    <row r="58" spans="2:28" s="41" customFormat="1" ht="16.5" customHeight="1">
      <c r="B58" s="547" t="s">
        <v>9</v>
      </c>
      <c r="C58" s="547" t="s">
        <v>8</v>
      </c>
      <c r="D58" s="2800">
        <v>43259</v>
      </c>
      <c r="E58" s="2800">
        <v>43294</v>
      </c>
      <c r="F58" s="2800">
        <v>43322</v>
      </c>
      <c r="G58" s="2800">
        <v>43356</v>
      </c>
      <c r="H58" s="2801" t="s">
        <v>15</v>
      </c>
      <c r="AA58" s="658"/>
      <c r="AB58" s="655"/>
    </row>
    <row r="59" spans="2:28" s="41" customFormat="1" ht="16.5" customHeight="1">
      <c r="B59" s="3051" t="s">
        <v>479</v>
      </c>
      <c r="C59" s="3051"/>
      <c r="D59" s="3051"/>
      <c r="E59" s="3051"/>
      <c r="F59" s="3051"/>
      <c r="G59" s="3051"/>
      <c r="H59" s="3051"/>
      <c r="AA59" s="654"/>
      <c r="AB59" s="655"/>
    </row>
    <row r="60" spans="2:28" s="41" customFormat="1" ht="16.5" customHeight="1">
      <c r="B60" s="3049" t="s">
        <v>1745</v>
      </c>
      <c r="C60" s="2802" t="s">
        <v>480</v>
      </c>
      <c r="D60" s="1532">
        <v>101</v>
      </c>
      <c r="E60" s="541"/>
      <c r="F60" s="308"/>
      <c r="G60" s="541">
        <v>284</v>
      </c>
      <c r="H60" s="1568">
        <f t="shared" ref="H60:H63" si="2">AVERAGE(D60:G60)</f>
        <v>192.5</v>
      </c>
      <c r="AA60" s="654"/>
      <c r="AB60" s="655"/>
    </row>
    <row r="61" spans="2:28" s="41" customFormat="1" ht="16.5" customHeight="1">
      <c r="B61" s="3050"/>
      <c r="C61" s="2803" t="s">
        <v>481</v>
      </c>
      <c r="D61" s="854">
        <v>17</v>
      </c>
      <c r="E61" s="541"/>
      <c r="F61" s="308"/>
      <c r="G61" s="854">
        <v>55</v>
      </c>
      <c r="H61" s="1568">
        <f t="shared" si="2"/>
        <v>36</v>
      </c>
      <c r="AA61" s="654"/>
      <c r="AB61" s="655"/>
    </row>
    <row r="62" spans="2:28" s="41" customFormat="1" ht="16.5" customHeight="1">
      <c r="B62" s="3047" t="s">
        <v>1746</v>
      </c>
      <c r="C62" s="2802" t="s">
        <v>480</v>
      </c>
      <c r="D62" s="1532">
        <v>286</v>
      </c>
      <c r="E62" s="1745">
        <v>195</v>
      </c>
      <c r="F62" s="308">
        <v>51</v>
      </c>
      <c r="G62" s="541">
        <v>256</v>
      </c>
      <c r="H62" s="1568">
        <f t="shared" si="2"/>
        <v>197</v>
      </c>
      <c r="AA62" s="658"/>
      <c r="AB62" s="655"/>
    </row>
    <row r="63" spans="2:28" s="41" customFormat="1" ht="16.5" customHeight="1">
      <c r="B63" s="3048"/>
      <c r="C63" s="2803" t="s">
        <v>481</v>
      </c>
      <c r="D63" s="854">
        <v>14</v>
      </c>
      <c r="E63" s="541">
        <v>8</v>
      </c>
      <c r="F63" s="308">
        <v>10</v>
      </c>
      <c r="G63" s="2804">
        <v>70</v>
      </c>
      <c r="H63" s="1568">
        <f t="shared" si="2"/>
        <v>25.5</v>
      </c>
      <c r="AA63" s="654"/>
      <c r="AB63" s="655"/>
    </row>
    <row r="64" spans="2:28" s="41" customFormat="1" ht="16.5" customHeight="1">
      <c r="B64" s="649"/>
      <c r="C64" s="653"/>
      <c r="D64" s="653"/>
      <c r="AA64" s="654"/>
      <c r="AB64" s="655"/>
    </row>
    <row r="65" spans="2:28" s="41" customFormat="1" ht="16.5" customHeight="1">
      <c r="B65" s="649"/>
      <c r="C65" s="656"/>
      <c r="D65" s="656"/>
      <c r="AA65" s="654"/>
      <c r="AB65" s="655"/>
    </row>
    <row r="66" spans="2:28" s="41" customFormat="1" ht="16.5" customHeight="1">
      <c r="B66" s="649"/>
      <c r="C66" s="657"/>
      <c r="D66" s="657"/>
      <c r="AA66" s="658"/>
      <c r="AB66" s="655"/>
    </row>
    <row r="67" spans="2:28" s="41" customFormat="1" ht="16.5" customHeight="1">
      <c r="B67" s="649"/>
      <c r="C67" s="656"/>
      <c r="D67" s="656"/>
      <c r="AA67" s="654"/>
      <c r="AB67" s="655"/>
    </row>
    <row r="68" spans="2:28" s="41" customFormat="1" ht="16.5" customHeight="1">
      <c r="B68" s="649"/>
      <c r="C68" s="659"/>
      <c r="D68" s="648"/>
      <c r="AA68" s="654"/>
      <c r="AB68" s="655"/>
    </row>
    <row r="69" spans="2:28" s="41" customFormat="1" ht="16.5" customHeight="1">
      <c r="B69" s="649"/>
      <c r="C69" s="659"/>
      <c r="D69" s="650"/>
      <c r="AA69" s="654"/>
      <c r="AB69" s="655"/>
    </row>
    <row r="70" spans="2:28" s="41" customFormat="1" ht="16.5" customHeight="1">
      <c r="B70" s="649"/>
      <c r="C70" s="659"/>
      <c r="D70" s="653"/>
      <c r="AA70" s="654"/>
      <c r="AB70" s="655"/>
    </row>
    <row r="71" spans="2:28" s="41" customFormat="1" ht="16.5" customHeight="1">
      <c r="B71" s="649"/>
      <c r="C71" s="659"/>
      <c r="D71" s="656"/>
      <c r="AA71" s="654"/>
      <c r="AB71" s="655"/>
    </row>
    <row r="72" spans="2:28" s="41" customFormat="1" ht="16.5" customHeight="1">
      <c r="B72" s="649"/>
      <c r="C72" s="659"/>
      <c r="D72" s="657"/>
      <c r="AA72" s="654"/>
      <c r="AB72" s="655"/>
    </row>
    <row r="73" spans="2:28" s="41" customFormat="1" ht="16.5" customHeight="1">
      <c r="B73" s="649"/>
      <c r="C73" s="659"/>
      <c r="D73" s="656"/>
      <c r="AA73" s="654"/>
      <c r="AB73" s="655"/>
    </row>
    <row r="74" spans="2:28" s="41" customFormat="1" ht="16.5" customHeight="1">
      <c r="B74" s="649"/>
      <c r="C74" s="659"/>
      <c r="D74" s="648"/>
    </row>
    <row r="75" spans="2:28" s="41" customFormat="1" ht="16.5" customHeight="1">
      <c r="B75" s="649"/>
      <c r="C75" s="659"/>
      <c r="D75" s="650"/>
    </row>
    <row r="76" spans="2:28" s="41" customFormat="1" ht="16.5" customHeight="1">
      <c r="B76" s="649"/>
      <c r="C76" s="659"/>
      <c r="D76" s="653"/>
    </row>
    <row r="77" spans="2:28" s="41" customFormat="1" ht="16.5" customHeight="1">
      <c r="B77" s="649"/>
      <c r="C77" s="659"/>
      <c r="D77" s="656"/>
    </row>
    <row r="78" spans="2:28" s="41" customFormat="1" ht="16.5" customHeight="1">
      <c r="B78" s="649"/>
      <c r="C78" s="659"/>
      <c r="D78" s="657"/>
    </row>
    <row r="79" spans="2:28" s="41" customFormat="1" ht="16.5" customHeight="1">
      <c r="B79" s="649"/>
      <c r="C79" s="659"/>
      <c r="D79" s="656"/>
    </row>
    <row r="80" spans="2:28" s="41" customFormat="1" ht="16.5" customHeight="1">
      <c r="B80" s="659"/>
      <c r="C80" s="659"/>
      <c r="D80" s="648"/>
    </row>
    <row r="81" spans="2:4" s="41" customFormat="1" ht="16.5" customHeight="1">
      <c r="B81" s="649"/>
      <c r="C81" s="659"/>
      <c r="D81" s="650"/>
    </row>
    <row r="82" spans="2:4" s="41" customFormat="1" ht="16.5" customHeight="1">
      <c r="B82" s="649"/>
      <c r="C82" s="659"/>
      <c r="D82" s="653"/>
    </row>
    <row r="83" spans="2:4" s="41" customFormat="1" ht="16.5" customHeight="1">
      <c r="B83" s="649"/>
      <c r="C83" s="659"/>
      <c r="D83" s="656"/>
    </row>
    <row r="84" spans="2:4" s="41" customFormat="1" ht="16.5" customHeight="1">
      <c r="B84" s="649"/>
      <c r="C84" s="659"/>
      <c r="D84" s="657"/>
    </row>
    <row r="85" spans="2:4" s="41" customFormat="1" ht="16.5" customHeight="1">
      <c r="B85" s="649"/>
      <c r="C85" s="659"/>
      <c r="D85" s="656"/>
    </row>
  </sheetData>
  <mergeCells count="35">
    <mergeCell ref="C43:F43"/>
    <mergeCell ref="C50:F50"/>
    <mergeCell ref="B59:H59"/>
    <mergeCell ref="B60:B61"/>
    <mergeCell ref="B62:B63"/>
    <mergeCell ref="C9:F9"/>
    <mergeCell ref="C2:F2"/>
    <mergeCell ref="I8:I9"/>
    <mergeCell ref="I6:I7"/>
    <mergeCell ref="I4:I5"/>
    <mergeCell ref="I3:O3"/>
    <mergeCell ref="R3:V3"/>
    <mergeCell ref="R4:V4"/>
    <mergeCell ref="U27:V27"/>
    <mergeCell ref="R22:S22"/>
    <mergeCell ref="R2:V2"/>
    <mergeCell ref="T7:U7"/>
    <mergeCell ref="R6:V6"/>
    <mergeCell ref="R8:S8"/>
    <mergeCell ref="Q33:R33"/>
    <mergeCell ref="S33:T33"/>
    <mergeCell ref="R14:S14"/>
    <mergeCell ref="I10:N10"/>
    <mergeCell ref="C16:F16"/>
    <mergeCell ref="Q12:V12"/>
    <mergeCell ref="I15:N15"/>
    <mergeCell ref="U33:V33"/>
    <mergeCell ref="Q20:S20"/>
    <mergeCell ref="T20:V20"/>
    <mergeCell ref="Q27:R27"/>
    <mergeCell ref="S27:T27"/>
    <mergeCell ref="C31:F31"/>
    <mergeCell ref="C24:F24"/>
    <mergeCell ref="C28:F28"/>
    <mergeCell ref="I19:N19"/>
  </mergeCells>
  <pageMargins left="1" right="0.25" top="0.43" bottom="0.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0.59999389629810485"/>
  </sheetPr>
  <dimension ref="A1:AU63"/>
  <sheetViews>
    <sheetView topLeftCell="M16" workbookViewId="0">
      <selection activeCell="AJ29" sqref="AJ29"/>
    </sheetView>
  </sheetViews>
  <sheetFormatPr defaultRowHeight="14"/>
  <cols>
    <col min="1" max="1" width="18.81640625" customWidth="1"/>
    <col min="2" max="2" width="18.1796875" bestFit="1" customWidth="1"/>
    <col min="3" max="3" width="8.6328125" bestFit="1" customWidth="1"/>
    <col min="4" max="4" width="12.08984375" bestFit="1" customWidth="1"/>
    <col min="5" max="5" width="10" bestFit="1" customWidth="1"/>
    <col min="6" max="6" width="12.08984375" bestFit="1" customWidth="1"/>
    <col min="7" max="7" width="13.1796875" bestFit="1" customWidth="1"/>
    <col min="9" max="9" width="26.81640625" bestFit="1" customWidth="1"/>
    <col min="10" max="11" width="7.81640625" bestFit="1" customWidth="1"/>
    <col min="13" max="13" width="17.1796875" customWidth="1"/>
    <col min="14" max="14" width="18.453125" bestFit="1" customWidth="1"/>
    <col min="15" max="15" width="8.26953125" style="358" hidden="1" customWidth="1"/>
    <col min="16" max="16" width="8.1796875" hidden="1" customWidth="1"/>
    <col min="17" max="17" width="8.26953125" hidden="1" customWidth="1"/>
    <col min="18" max="18" width="7.453125" hidden="1" customWidth="1"/>
    <col min="19" max="19" width="8.08984375" hidden="1" customWidth="1"/>
    <col min="20" max="23" width="8.26953125" hidden="1" customWidth="1"/>
    <col min="24" max="25" width="7.453125" bestFit="1" customWidth="1"/>
    <col min="26" max="26" width="8.54296875" customWidth="1"/>
    <col min="27" max="27" width="7.453125" bestFit="1" customWidth="1"/>
    <col min="29" max="29" width="27.36328125" customWidth="1"/>
    <col min="30" max="30" width="18.7265625" bestFit="1" customWidth="1"/>
    <col min="31" max="43" width="7.453125" bestFit="1" customWidth="1"/>
    <col min="44" max="44" width="6.6328125" bestFit="1" customWidth="1"/>
    <col min="45" max="46" width="7.453125" bestFit="1" customWidth="1"/>
  </cols>
  <sheetData>
    <row r="1" spans="1:47">
      <c r="A1" s="57">
        <v>41899</v>
      </c>
    </row>
    <row r="2" spans="1:47" ht="36">
      <c r="A2" s="465" t="s">
        <v>788</v>
      </c>
      <c r="B2" s="465" t="s">
        <v>799</v>
      </c>
      <c r="C2" s="465" t="s">
        <v>789</v>
      </c>
      <c r="D2" s="465" t="s">
        <v>790</v>
      </c>
      <c r="E2" s="465" t="s">
        <v>791</v>
      </c>
      <c r="F2" s="465" t="s">
        <v>792</v>
      </c>
      <c r="G2" s="465" t="s">
        <v>793</v>
      </c>
      <c r="I2" s="451" t="s">
        <v>593</v>
      </c>
      <c r="J2" s="449">
        <v>42173</v>
      </c>
      <c r="K2" s="450">
        <v>42201</v>
      </c>
      <c r="M2" s="3069" t="s">
        <v>778</v>
      </c>
      <c r="N2" s="3070"/>
      <c r="O2" s="479">
        <v>41899</v>
      </c>
      <c r="P2" s="478">
        <v>42173</v>
      </c>
      <c r="Q2" s="478">
        <v>42201</v>
      </c>
      <c r="R2" s="462">
        <v>42236</v>
      </c>
      <c r="S2" s="462">
        <v>42264</v>
      </c>
      <c r="T2" s="682">
        <v>42550</v>
      </c>
      <c r="U2" s="682">
        <v>42565</v>
      </c>
      <c r="V2" s="682">
        <v>42600</v>
      </c>
      <c r="W2" s="682">
        <v>42628</v>
      </c>
      <c r="X2" s="1814">
        <v>42915</v>
      </c>
      <c r="Y2" s="1814">
        <v>42930</v>
      </c>
      <c r="Z2" s="1814">
        <v>42962</v>
      </c>
      <c r="AA2" s="1814">
        <v>42990</v>
      </c>
      <c r="AC2" t="s">
        <v>778</v>
      </c>
      <c r="AE2" s="857">
        <v>41899</v>
      </c>
      <c r="AF2" s="857">
        <v>42173</v>
      </c>
      <c r="AG2" s="857">
        <v>42201</v>
      </c>
      <c r="AH2" s="857">
        <v>42236</v>
      </c>
      <c r="AI2" s="857">
        <v>42264</v>
      </c>
      <c r="AJ2" s="857">
        <v>42550</v>
      </c>
      <c r="AK2" s="857">
        <v>42565</v>
      </c>
      <c r="AL2" s="857">
        <v>42600</v>
      </c>
      <c r="AM2" s="857">
        <v>42628</v>
      </c>
      <c r="AN2" s="1814">
        <v>42915</v>
      </c>
      <c r="AO2" s="1814">
        <v>42930</v>
      </c>
      <c r="AP2" s="1814">
        <v>42962</v>
      </c>
      <c r="AQ2" s="1814">
        <v>42990</v>
      </c>
      <c r="AR2" s="2800">
        <v>43259</v>
      </c>
      <c r="AS2" s="2800">
        <v>43294</v>
      </c>
      <c r="AT2" s="2800">
        <v>43322</v>
      </c>
      <c r="AU2" s="2800">
        <v>43356</v>
      </c>
    </row>
    <row r="3" spans="1:47" ht="28">
      <c r="A3" s="466" t="s">
        <v>794</v>
      </c>
      <c r="B3" s="475">
        <v>4.4000000000000004</v>
      </c>
      <c r="C3" s="476">
        <v>7.12</v>
      </c>
      <c r="D3" s="477">
        <v>3.9300000000000002E-2</v>
      </c>
      <c r="E3" s="476">
        <v>1.32</v>
      </c>
      <c r="F3" s="467">
        <v>529</v>
      </c>
      <c r="G3" s="467">
        <v>165</v>
      </c>
      <c r="I3" s="452" t="s">
        <v>135</v>
      </c>
      <c r="J3" s="453">
        <v>0.49305555555555558</v>
      </c>
      <c r="K3" s="453">
        <v>0.39444444444444443</v>
      </c>
      <c r="M3" s="3073" t="s">
        <v>785</v>
      </c>
      <c r="N3" s="480" t="s">
        <v>480</v>
      </c>
      <c r="O3" s="481"/>
      <c r="P3" s="489"/>
      <c r="Q3" s="482">
        <v>185</v>
      </c>
      <c r="AC3" t="s">
        <v>785</v>
      </c>
      <c r="AD3" t="s">
        <v>480</v>
      </c>
      <c r="AG3">
        <v>185</v>
      </c>
    </row>
    <row r="4" spans="1:47" ht="14.5">
      <c r="A4" s="466" t="s">
        <v>795</v>
      </c>
      <c r="B4" s="475">
        <v>4.5</v>
      </c>
      <c r="C4" s="476">
        <v>7.19</v>
      </c>
      <c r="D4" s="477">
        <v>3.5499999999999997E-2</v>
      </c>
      <c r="E4" s="476">
        <v>1.91</v>
      </c>
      <c r="F4" s="467">
        <v>225</v>
      </c>
      <c r="G4" s="467">
        <v>45</v>
      </c>
      <c r="I4" s="452" t="s">
        <v>287</v>
      </c>
      <c r="J4" s="454">
        <v>4.8</v>
      </c>
      <c r="K4" s="454">
        <v>4</v>
      </c>
      <c r="M4" s="3074"/>
      <c r="N4" s="483" t="s">
        <v>481</v>
      </c>
      <c r="O4" s="484"/>
      <c r="P4" s="489"/>
      <c r="Q4" s="482">
        <v>31</v>
      </c>
      <c r="AD4" t="s">
        <v>481</v>
      </c>
      <c r="AG4">
        <v>31</v>
      </c>
    </row>
    <row r="5" spans="1:47" ht="14.5">
      <c r="A5" s="466" t="s">
        <v>796</v>
      </c>
      <c r="B5" s="475">
        <v>4.5999999999999996</v>
      </c>
      <c r="C5" s="476">
        <v>7.43</v>
      </c>
      <c r="D5" s="477">
        <v>2.4E-2</v>
      </c>
      <c r="E5" s="476">
        <v>6.83</v>
      </c>
      <c r="F5" s="467">
        <v>3754</v>
      </c>
      <c r="G5" s="467">
        <v>660</v>
      </c>
      <c r="I5" s="455" t="s">
        <v>139</v>
      </c>
      <c r="J5" s="456">
        <v>7.8</v>
      </c>
      <c r="K5" s="456">
        <v>8.59</v>
      </c>
      <c r="M5" s="3073" t="s">
        <v>779</v>
      </c>
      <c r="N5" s="480" t="s">
        <v>480</v>
      </c>
      <c r="O5" s="485">
        <v>529</v>
      </c>
      <c r="P5" s="482">
        <v>807</v>
      </c>
      <c r="Q5" s="482">
        <v>444</v>
      </c>
      <c r="AC5" t="s">
        <v>779</v>
      </c>
      <c r="AD5" t="s">
        <v>480</v>
      </c>
      <c r="AE5">
        <v>529</v>
      </c>
      <c r="AF5">
        <v>807</v>
      </c>
      <c r="AG5">
        <v>444</v>
      </c>
    </row>
    <row r="6" spans="1:47" ht="14.5">
      <c r="A6" s="466" t="s">
        <v>268</v>
      </c>
      <c r="B6" s="475">
        <v>4.5</v>
      </c>
      <c r="C6" s="476">
        <v>7.19</v>
      </c>
      <c r="D6" s="477">
        <v>3.5499999999999997E-2</v>
      </c>
      <c r="E6" s="476">
        <v>1.91</v>
      </c>
      <c r="F6" s="467">
        <v>529</v>
      </c>
      <c r="G6" s="467">
        <v>165</v>
      </c>
      <c r="I6" s="452" t="s">
        <v>288</v>
      </c>
      <c r="J6" s="457">
        <v>2.1000000000000001E-2</v>
      </c>
      <c r="K6" s="457">
        <v>0.02</v>
      </c>
      <c r="M6" s="3074"/>
      <c r="N6" s="483" t="s">
        <v>481</v>
      </c>
      <c r="O6" s="486">
        <v>165</v>
      </c>
      <c r="P6" s="482">
        <v>112</v>
      </c>
      <c r="Q6" s="482">
        <v>11</v>
      </c>
      <c r="AD6" t="s">
        <v>481</v>
      </c>
      <c r="AE6">
        <v>165</v>
      </c>
      <c r="AF6">
        <v>112</v>
      </c>
      <c r="AG6">
        <v>11</v>
      </c>
    </row>
    <row r="7" spans="1:47" ht="14.5">
      <c r="I7" s="452" t="s">
        <v>289</v>
      </c>
      <c r="J7" s="456">
        <v>8.25</v>
      </c>
      <c r="K7" s="456">
        <v>8.4</v>
      </c>
      <c r="M7" s="3073" t="s">
        <v>780</v>
      </c>
      <c r="N7" s="480" t="s">
        <v>480</v>
      </c>
      <c r="O7" s="485">
        <v>225</v>
      </c>
      <c r="P7" s="482">
        <v>596</v>
      </c>
      <c r="Q7" s="482">
        <v>404</v>
      </c>
      <c r="AC7" t="s">
        <v>780</v>
      </c>
      <c r="AD7" t="s">
        <v>480</v>
      </c>
      <c r="AE7">
        <v>225</v>
      </c>
      <c r="AF7">
        <v>596</v>
      </c>
      <c r="AG7">
        <v>404</v>
      </c>
    </row>
    <row r="8" spans="1:47">
      <c r="A8" s="125">
        <v>41899</v>
      </c>
      <c r="B8" s="108"/>
      <c r="C8" s="108"/>
      <c r="D8" s="108"/>
      <c r="E8" s="108"/>
      <c r="F8" s="358"/>
      <c r="G8" s="358"/>
      <c r="I8" s="451" t="s">
        <v>594</v>
      </c>
      <c r="J8" s="449">
        <v>42173</v>
      </c>
      <c r="K8" s="450">
        <v>42201</v>
      </c>
      <c r="M8" s="3074"/>
      <c r="N8" s="483" t="s">
        <v>481</v>
      </c>
      <c r="O8" s="486">
        <v>45</v>
      </c>
      <c r="P8" s="482">
        <v>35</v>
      </c>
      <c r="Q8" s="482">
        <v>17</v>
      </c>
      <c r="AD8" t="s">
        <v>481</v>
      </c>
      <c r="AE8">
        <v>45</v>
      </c>
      <c r="AF8">
        <v>35</v>
      </c>
      <c r="AG8">
        <v>17</v>
      </c>
    </row>
    <row r="9" spans="1:47" ht="14.5">
      <c r="A9" s="366" t="s">
        <v>9</v>
      </c>
      <c r="B9" s="366" t="s">
        <v>138</v>
      </c>
      <c r="C9" s="366" t="s">
        <v>139</v>
      </c>
      <c r="D9" s="366" t="s">
        <v>136</v>
      </c>
      <c r="E9" s="366" t="s">
        <v>137</v>
      </c>
      <c r="F9" s="468" t="s">
        <v>181</v>
      </c>
      <c r="G9" s="301" t="s">
        <v>797</v>
      </c>
      <c r="I9" s="455" t="s">
        <v>135</v>
      </c>
      <c r="J9" s="453">
        <v>0.48749999999999999</v>
      </c>
      <c r="K9" s="453">
        <v>0.39999999999999997</v>
      </c>
      <c r="M9" s="3073" t="s">
        <v>781</v>
      </c>
      <c r="N9" s="480" t="s">
        <v>480</v>
      </c>
      <c r="O9" s="487">
        <v>3754</v>
      </c>
      <c r="P9" s="488">
        <v>1454</v>
      </c>
      <c r="Q9" s="482">
        <v>282</v>
      </c>
      <c r="T9" s="612">
        <v>402</v>
      </c>
      <c r="U9" s="636"/>
      <c r="X9">
        <v>593</v>
      </c>
      <c r="Y9">
        <v>283</v>
      </c>
      <c r="Z9">
        <v>249</v>
      </c>
      <c r="AA9">
        <v>156</v>
      </c>
      <c r="AC9" t="s">
        <v>781</v>
      </c>
      <c r="AD9" t="s">
        <v>480</v>
      </c>
      <c r="AE9">
        <v>3754</v>
      </c>
      <c r="AF9">
        <v>1454</v>
      </c>
      <c r="AG9">
        <v>282</v>
      </c>
      <c r="AJ9">
        <v>402</v>
      </c>
      <c r="AN9" s="358">
        <v>593</v>
      </c>
      <c r="AO9" s="358">
        <v>283</v>
      </c>
      <c r="AP9" s="358">
        <v>249</v>
      </c>
      <c r="AQ9" s="358">
        <v>156</v>
      </c>
      <c r="AR9" s="1532">
        <v>101</v>
      </c>
      <c r="AS9" s="541"/>
      <c r="AT9" s="308"/>
      <c r="AU9" s="541">
        <v>284</v>
      </c>
    </row>
    <row r="10" spans="1:47" ht="14.5">
      <c r="A10" s="277" t="s">
        <v>597</v>
      </c>
      <c r="B10" s="469">
        <v>4.4000000000000004</v>
      </c>
      <c r="C10" s="470">
        <v>7.12</v>
      </c>
      <c r="D10" s="471">
        <v>3.9300000000000002E-2</v>
      </c>
      <c r="E10" s="470">
        <v>1.32</v>
      </c>
      <c r="F10" s="308">
        <v>529</v>
      </c>
      <c r="G10" s="308">
        <v>165</v>
      </c>
      <c r="I10" s="455" t="s">
        <v>287</v>
      </c>
      <c r="J10" s="454">
        <v>4.8</v>
      </c>
      <c r="K10" s="454">
        <v>4.0999999999999996</v>
      </c>
      <c r="M10" s="3074"/>
      <c r="N10" s="483" t="s">
        <v>481</v>
      </c>
      <c r="O10" s="486">
        <v>660</v>
      </c>
      <c r="P10" s="482">
        <v>100</v>
      </c>
      <c r="Q10" s="482">
        <v>15</v>
      </c>
      <c r="T10" s="612">
        <v>19</v>
      </c>
      <c r="U10" s="636"/>
      <c r="X10">
        <v>132</v>
      </c>
      <c r="Y10">
        <v>44</v>
      </c>
      <c r="Z10">
        <v>9</v>
      </c>
      <c r="AA10">
        <v>10</v>
      </c>
      <c r="AD10" t="s">
        <v>481</v>
      </c>
      <c r="AE10">
        <v>660</v>
      </c>
      <c r="AF10">
        <v>100</v>
      </c>
      <c r="AG10">
        <v>15</v>
      </c>
      <c r="AJ10">
        <v>19</v>
      </c>
      <c r="AN10" s="358">
        <v>132</v>
      </c>
      <c r="AO10" s="358">
        <v>44</v>
      </c>
      <c r="AP10" s="358">
        <v>9</v>
      </c>
      <c r="AQ10" s="358">
        <v>10</v>
      </c>
      <c r="AR10" s="854">
        <v>17</v>
      </c>
      <c r="AS10" s="541"/>
      <c r="AT10" s="308"/>
      <c r="AU10" s="854">
        <v>55</v>
      </c>
    </row>
    <row r="11" spans="1:47" ht="14.5">
      <c r="A11" s="277" t="s">
        <v>598</v>
      </c>
      <c r="B11" s="469">
        <v>4.5</v>
      </c>
      <c r="C11" s="470">
        <v>7.19</v>
      </c>
      <c r="D11" s="471">
        <v>3.5499999999999997E-2</v>
      </c>
      <c r="E11" s="470">
        <v>1.91</v>
      </c>
      <c r="F11" s="308">
        <v>225</v>
      </c>
      <c r="G11" s="308">
        <v>45</v>
      </c>
      <c r="I11" s="455" t="s">
        <v>139</v>
      </c>
      <c r="J11" s="456">
        <v>7.75</v>
      </c>
      <c r="K11" s="456">
        <v>8.4600000000000009</v>
      </c>
      <c r="M11" s="3073" t="s">
        <v>783</v>
      </c>
      <c r="N11" s="480" t="s">
        <v>480</v>
      </c>
      <c r="O11" s="481"/>
      <c r="P11" s="489"/>
      <c r="Q11" s="482">
        <v>212</v>
      </c>
      <c r="AC11" t="s">
        <v>783</v>
      </c>
      <c r="AD11" t="s">
        <v>480</v>
      </c>
      <c r="AG11">
        <v>212</v>
      </c>
    </row>
    <row r="12" spans="1:47" ht="14.5">
      <c r="A12" s="277" t="s">
        <v>600</v>
      </c>
      <c r="B12" s="469">
        <v>4.5999999999999996</v>
      </c>
      <c r="C12" s="470">
        <v>7.43</v>
      </c>
      <c r="D12" s="471">
        <v>2.4E-2</v>
      </c>
      <c r="E12" s="470">
        <v>6.83</v>
      </c>
      <c r="F12" s="310">
        <v>3754</v>
      </c>
      <c r="G12" s="308">
        <v>660</v>
      </c>
      <c r="I12" s="455" t="s">
        <v>288</v>
      </c>
      <c r="J12" s="457">
        <v>1.6E-2</v>
      </c>
      <c r="K12" s="457">
        <v>1.9E-2</v>
      </c>
      <c r="M12" s="3074"/>
      <c r="N12" s="483" t="s">
        <v>481</v>
      </c>
      <c r="O12" s="484"/>
      <c r="P12" s="489"/>
      <c r="Q12" s="482">
        <v>17</v>
      </c>
      <c r="AD12" t="s">
        <v>481</v>
      </c>
      <c r="AG12">
        <v>17</v>
      </c>
    </row>
    <row r="13" spans="1:47" ht="14.5">
      <c r="A13" s="445" t="s">
        <v>268</v>
      </c>
      <c r="B13" s="472">
        <f t="shared" ref="B13:G13" si="0">MEDIAN(B10:B12)</f>
        <v>4.5</v>
      </c>
      <c r="C13" s="473">
        <f t="shared" si="0"/>
        <v>7.19</v>
      </c>
      <c r="D13" s="474">
        <f t="shared" si="0"/>
        <v>3.5499999999999997E-2</v>
      </c>
      <c r="E13" s="473">
        <f t="shared" si="0"/>
        <v>1.91</v>
      </c>
      <c r="F13" s="444">
        <f t="shared" si="0"/>
        <v>529</v>
      </c>
      <c r="G13" s="444">
        <f t="shared" si="0"/>
        <v>165</v>
      </c>
      <c r="I13" s="455" t="s">
        <v>289</v>
      </c>
      <c r="J13" s="456">
        <v>8.75</v>
      </c>
      <c r="K13" s="456">
        <v>12.12</v>
      </c>
      <c r="M13" s="3075" t="s">
        <v>784</v>
      </c>
      <c r="N13" s="480" t="s">
        <v>480</v>
      </c>
      <c r="O13" s="481"/>
      <c r="P13" s="489"/>
      <c r="Q13" s="482">
        <v>365</v>
      </c>
      <c r="AC13" t="s">
        <v>784</v>
      </c>
      <c r="AD13" t="s">
        <v>480</v>
      </c>
      <c r="AG13">
        <v>365</v>
      </c>
    </row>
    <row r="14" spans="1:47">
      <c r="I14" s="461" t="s">
        <v>781</v>
      </c>
      <c r="J14" s="449">
        <v>42173</v>
      </c>
      <c r="K14" s="450">
        <v>42201</v>
      </c>
      <c r="M14" s="3076"/>
      <c r="N14" s="483" t="s">
        <v>481</v>
      </c>
      <c r="O14" s="484"/>
      <c r="P14" s="489"/>
      <c r="Q14" s="482">
        <v>20</v>
      </c>
      <c r="AD14" t="s">
        <v>481</v>
      </c>
      <c r="AG14">
        <v>20</v>
      </c>
    </row>
    <row r="15" spans="1:47" ht="14.5">
      <c r="I15" s="455" t="s">
        <v>135</v>
      </c>
      <c r="J15" s="453">
        <v>0.5</v>
      </c>
      <c r="K15" s="453">
        <v>0.40833333333333338</v>
      </c>
      <c r="M15" s="3052" t="s">
        <v>965</v>
      </c>
      <c r="N15" s="480" t="s">
        <v>480</v>
      </c>
      <c r="O15" s="446">
        <v>5</v>
      </c>
      <c r="P15" s="446">
        <v>720</v>
      </c>
      <c r="Q15" s="491">
        <v>404</v>
      </c>
      <c r="R15" s="308">
        <v>126</v>
      </c>
      <c r="S15" s="308">
        <v>119</v>
      </c>
      <c r="W15" s="40">
        <v>89</v>
      </c>
      <c r="X15">
        <v>331</v>
      </c>
      <c r="Y15">
        <v>138</v>
      </c>
      <c r="Z15">
        <v>331</v>
      </c>
      <c r="AA15">
        <v>1803</v>
      </c>
      <c r="AC15" t="s">
        <v>965</v>
      </c>
      <c r="AD15" t="s">
        <v>480</v>
      </c>
      <c r="AE15">
        <v>5</v>
      </c>
      <c r="AF15">
        <v>720</v>
      </c>
      <c r="AG15">
        <v>404</v>
      </c>
      <c r="AH15">
        <v>126</v>
      </c>
      <c r="AI15">
        <v>119</v>
      </c>
      <c r="AM15">
        <v>89</v>
      </c>
      <c r="AN15" s="358">
        <v>331</v>
      </c>
      <c r="AO15" s="358">
        <v>138</v>
      </c>
      <c r="AP15" s="358">
        <v>331</v>
      </c>
      <c r="AQ15" s="358">
        <v>1803</v>
      </c>
      <c r="AR15" s="1532">
        <v>256</v>
      </c>
      <c r="AS15" s="541">
        <v>3197</v>
      </c>
      <c r="AT15" s="541"/>
      <c r="AU15" s="541">
        <v>1614</v>
      </c>
    </row>
    <row r="16" spans="1:47" ht="14.5">
      <c r="C16" s="462">
        <v>42173</v>
      </c>
      <c r="D16" s="462">
        <v>42201</v>
      </c>
      <c r="E16" s="462">
        <v>42236</v>
      </c>
      <c r="F16" s="462">
        <v>42264</v>
      </c>
      <c r="I16" s="455" t="s">
        <v>287</v>
      </c>
      <c r="J16" s="454">
        <v>3.4</v>
      </c>
      <c r="K16" s="454">
        <v>5.0999999999999996</v>
      </c>
      <c r="M16" s="3052"/>
      <c r="N16" s="483" t="s">
        <v>481</v>
      </c>
      <c r="O16" s="446">
        <v>73</v>
      </c>
      <c r="P16" s="446">
        <v>71</v>
      </c>
      <c r="Q16" s="490">
        <v>318</v>
      </c>
      <c r="R16" s="308">
        <v>406</v>
      </c>
      <c r="S16" s="308">
        <v>116</v>
      </c>
      <c r="W16" s="40">
        <v>242</v>
      </c>
      <c r="X16">
        <v>78</v>
      </c>
      <c r="Y16">
        <v>128</v>
      </c>
      <c r="Z16">
        <v>237</v>
      </c>
      <c r="AA16">
        <v>1794</v>
      </c>
      <c r="AD16" t="s">
        <v>481</v>
      </c>
      <c r="AE16">
        <v>73</v>
      </c>
      <c r="AF16">
        <v>71</v>
      </c>
      <c r="AG16">
        <v>318</v>
      </c>
      <c r="AH16">
        <v>406</v>
      </c>
      <c r="AI16">
        <v>116</v>
      </c>
      <c r="AM16">
        <v>242</v>
      </c>
      <c r="AN16" s="358">
        <v>78</v>
      </c>
      <c r="AO16" s="358">
        <v>128</v>
      </c>
      <c r="AP16" s="358">
        <v>237</v>
      </c>
      <c r="AQ16" s="358">
        <v>1794</v>
      </c>
      <c r="AR16" s="854">
        <v>115</v>
      </c>
      <c r="AS16" s="541">
        <v>1492</v>
      </c>
      <c r="AT16" s="308"/>
      <c r="AU16" s="854">
        <v>746</v>
      </c>
    </row>
    <row r="17" spans="1:47" ht="14.5">
      <c r="A17" s="3052" t="s">
        <v>965</v>
      </c>
      <c r="B17" s="207" t="s">
        <v>480</v>
      </c>
      <c r="C17" s="308">
        <v>720</v>
      </c>
      <c r="D17" s="308">
        <v>404</v>
      </c>
      <c r="E17" s="308">
        <v>126</v>
      </c>
      <c r="F17" s="308">
        <v>119</v>
      </c>
      <c r="I17" s="455" t="s">
        <v>139</v>
      </c>
      <c r="J17" s="456">
        <v>7.56</v>
      </c>
      <c r="K17" s="456">
        <v>8.35</v>
      </c>
      <c r="M17" s="3077" t="s">
        <v>966</v>
      </c>
      <c r="N17" s="480" t="s">
        <v>480</v>
      </c>
      <c r="T17" s="660">
        <v>42</v>
      </c>
      <c r="U17" s="634">
        <v>99</v>
      </c>
      <c r="V17" s="634">
        <v>0</v>
      </c>
      <c r="X17">
        <v>443</v>
      </c>
      <c r="Y17">
        <v>90</v>
      </c>
      <c r="Z17">
        <v>104</v>
      </c>
      <c r="AA17">
        <v>19</v>
      </c>
      <c r="AC17" t="s">
        <v>966</v>
      </c>
      <c r="AD17" t="s">
        <v>480</v>
      </c>
      <c r="AJ17">
        <v>42</v>
      </c>
      <c r="AK17">
        <v>99</v>
      </c>
      <c r="AL17">
        <v>0</v>
      </c>
      <c r="AM17" s="358">
        <v>443</v>
      </c>
      <c r="AN17" s="358">
        <v>90</v>
      </c>
      <c r="AO17" s="358">
        <v>104</v>
      </c>
      <c r="AP17" s="358">
        <v>19</v>
      </c>
      <c r="AR17" s="1532">
        <v>286</v>
      </c>
      <c r="AS17" s="1745">
        <v>195</v>
      </c>
      <c r="AT17" s="308">
        <v>51</v>
      </c>
      <c r="AU17" s="541">
        <v>256</v>
      </c>
    </row>
    <row r="18" spans="1:47" ht="14.5">
      <c r="A18" s="3052"/>
      <c r="B18" s="463" t="s">
        <v>182</v>
      </c>
      <c r="C18" s="308">
        <v>71</v>
      </c>
      <c r="D18" s="308">
        <v>318</v>
      </c>
      <c r="E18" s="308">
        <v>406</v>
      </c>
      <c r="F18" s="308">
        <v>116</v>
      </c>
      <c r="I18" s="455" t="s">
        <v>288</v>
      </c>
      <c r="J18" s="457">
        <v>2.1000000000000001E-2</v>
      </c>
      <c r="K18" s="457">
        <v>1.9E-2</v>
      </c>
      <c r="M18" s="3077"/>
      <c r="N18" s="483" t="s">
        <v>481</v>
      </c>
      <c r="T18" s="660">
        <v>14</v>
      </c>
      <c r="U18" s="634">
        <v>11</v>
      </c>
      <c r="V18" s="634">
        <v>12</v>
      </c>
      <c r="X18">
        <v>19</v>
      </c>
      <c r="Y18">
        <v>17</v>
      </c>
      <c r="Z18">
        <v>14</v>
      </c>
      <c r="AA18">
        <v>14</v>
      </c>
      <c r="AD18" t="s">
        <v>481</v>
      </c>
      <c r="AJ18">
        <v>14</v>
      </c>
      <c r="AK18">
        <v>11</v>
      </c>
      <c r="AL18">
        <v>12</v>
      </c>
      <c r="AM18" s="358">
        <v>19</v>
      </c>
      <c r="AN18" s="358">
        <v>17</v>
      </c>
      <c r="AO18" s="358">
        <v>14</v>
      </c>
      <c r="AP18" s="358">
        <v>14</v>
      </c>
      <c r="AR18" s="854">
        <v>14</v>
      </c>
      <c r="AS18" s="541">
        <v>8</v>
      </c>
      <c r="AT18" s="308">
        <v>10</v>
      </c>
      <c r="AU18" s="2804">
        <v>70</v>
      </c>
    </row>
    <row r="19" spans="1:47" ht="14.5">
      <c r="I19" s="455" t="s">
        <v>289</v>
      </c>
      <c r="J19" s="456">
        <v>7.85</v>
      </c>
      <c r="K19" s="456">
        <v>12.1</v>
      </c>
    </row>
    <row r="20" spans="1:47" ht="29">
      <c r="I20" s="459" t="s">
        <v>782</v>
      </c>
      <c r="J20" s="458"/>
      <c r="K20" s="450">
        <v>42201</v>
      </c>
      <c r="P20" s="784" t="s">
        <v>1025</v>
      </c>
    </row>
    <row r="21" spans="1:47" ht="28">
      <c r="A21" s="448" t="s">
        <v>778</v>
      </c>
      <c r="C21" s="464">
        <v>42173</v>
      </c>
      <c r="D21" s="464">
        <v>42201</v>
      </c>
      <c r="I21" s="455" t="s">
        <v>135</v>
      </c>
      <c r="J21" s="460"/>
      <c r="K21" s="453">
        <v>0.47569444444444442</v>
      </c>
      <c r="O21" s="87" t="s">
        <v>1012</v>
      </c>
      <c r="P21" s="87" t="s">
        <v>1013</v>
      </c>
      <c r="Q21" s="87" t="s">
        <v>1014</v>
      </c>
      <c r="S21" s="1562">
        <v>76</v>
      </c>
      <c r="T21" s="1567">
        <v>42906</v>
      </c>
      <c r="U21" s="1564" t="s">
        <v>181</v>
      </c>
      <c r="V21" s="1560">
        <v>593</v>
      </c>
      <c r="X21" s="87" t="s">
        <v>1012</v>
      </c>
      <c r="Y21" s="87" t="s">
        <v>1013</v>
      </c>
      <c r="Z21" s="87" t="s">
        <v>1014</v>
      </c>
    </row>
    <row r="22" spans="1:47" ht="14.5">
      <c r="A22" s="3056" t="s">
        <v>785</v>
      </c>
      <c r="B22" s="207" t="s">
        <v>480</v>
      </c>
      <c r="C22" s="443"/>
      <c r="D22" s="300">
        <v>185</v>
      </c>
      <c r="I22" s="455" t="s">
        <v>287</v>
      </c>
      <c r="J22" s="460"/>
      <c r="K22" s="454">
        <v>8</v>
      </c>
      <c r="M22" s="3067" t="s">
        <v>1767</v>
      </c>
      <c r="N22" s="87" t="s">
        <v>786</v>
      </c>
      <c r="O22" s="446">
        <f>MEDIAN(Q12,Q14,Q10,P10,Q8,P8,Q6,P6,Q4,O8,O6,O10,P16,Q16,O16,T10,T18,U18,V18,W16,R16,S16,X10:AA10,X16:AA16,X18:AA18)</f>
        <v>39.5</v>
      </c>
      <c r="P22" s="773">
        <f>MEDIAN(T18:V18,X18:AA18)</f>
        <v>14</v>
      </c>
      <c r="Q22" s="773">
        <f>MEDIAN(Q12,Q14,Q10,P10,Q8,P8,Q6,P6,Q4,O8,O6,O10,P16,Q16,O16,T10,R16,S16,W16,X16,X10:AA10,Y16:AA16)</f>
        <v>73</v>
      </c>
      <c r="S22" s="1562">
        <v>76</v>
      </c>
      <c r="T22" s="1567">
        <v>42906</v>
      </c>
      <c r="U22" s="1558" t="s">
        <v>160</v>
      </c>
      <c r="V22" s="1560">
        <v>132</v>
      </c>
      <c r="X22">
        <f>MEDIAN(AG3,AE5:AG5,,AE7:AG7,AE9:AU9,AG11,AG13,AE15:AU15,AJ17:AU17)</f>
        <v>269</v>
      </c>
      <c r="Y22">
        <f>MEDIAN(AJ17:AU17)</f>
        <v>99</v>
      </c>
      <c r="Z22" s="358">
        <f>MEDIAN(AG3,AE5:AG5,,AE7:AG7,AE9:AU9,AG11,AG13,AE15:AU15)</f>
        <v>331</v>
      </c>
    </row>
    <row r="23" spans="1:47" ht="14.5">
      <c r="A23" s="3057"/>
      <c r="B23" s="208" t="s">
        <v>481</v>
      </c>
      <c r="C23" s="443"/>
      <c r="D23" s="300">
        <v>31</v>
      </c>
      <c r="I23" s="455" t="s">
        <v>139</v>
      </c>
      <c r="J23" s="460"/>
      <c r="K23" s="456">
        <v>7.96</v>
      </c>
      <c r="M23" s="3068"/>
      <c r="N23" s="87" t="s">
        <v>15</v>
      </c>
      <c r="O23" s="446">
        <f>AVERAGE(Q14,Q12,Q10,P10,Q8,P8,Q6,P6,Q4,O8,O10,O6,P16,Q16,O16,T18,T10,U18,V18,W16,X10:AA10,X16:AA16,X18:AA18)</f>
        <v>140.125</v>
      </c>
      <c r="P23" s="773">
        <f>AVERAGE(T18:V18,X18:AA18)</f>
        <v>14.428571428571429</v>
      </c>
      <c r="Q23" s="773">
        <f>AVERAGE(Q14,Q12,Q10,P10,Q8,P8,Q6,P6,Q4,O8,O10,O6,P16,Q16,O16,R16,T10,S16,W16,X16,X10:AA10,Y16:AA16)</f>
        <v>181.66666666666666</v>
      </c>
      <c r="S23" s="1562">
        <v>76</v>
      </c>
      <c r="T23" s="1567">
        <v>42930</v>
      </c>
      <c r="U23" s="1564" t="s">
        <v>181</v>
      </c>
      <c r="V23" s="1560">
        <v>283</v>
      </c>
      <c r="X23" s="358">
        <f>AVERAGE(AG3,AE5:AG5,,AE7:AG7,AE9:AU9,AG11,AG13,AE15:AU15,AJ17:AU17)</f>
        <v>500.97727272727275</v>
      </c>
      <c r="Y23">
        <f>AVERAGE(AJ17:AU17)</f>
        <v>144.09090909090909</v>
      </c>
      <c r="Z23" s="358">
        <f>AVERAGE(AG3,AE5:AG5,,AE7:AG7,AE9:AU9,AG11,AG13,AE15:AU15)</f>
        <v>619.93939393939399</v>
      </c>
    </row>
    <row r="24" spans="1:47" ht="14.5">
      <c r="A24" s="3056" t="s">
        <v>779</v>
      </c>
      <c r="B24" s="207" t="s">
        <v>480</v>
      </c>
      <c r="C24" s="300">
        <v>807</v>
      </c>
      <c r="D24" s="300">
        <v>444</v>
      </c>
      <c r="I24" s="455" t="s">
        <v>288</v>
      </c>
      <c r="J24" s="460"/>
      <c r="K24" s="457">
        <v>5.2999999999999999E-2</v>
      </c>
      <c r="M24" s="3071" t="s">
        <v>182</v>
      </c>
      <c r="N24" s="87" t="s">
        <v>786</v>
      </c>
      <c r="O24" s="446">
        <f>MEDIAN(Q13,Q11,Q9,P9,Q7,P7,Q5,P5,Q3,O9,O7,O5,Q15,P15,O15,T9,T17,U17,V17,W15,X15:AA15,X9:AA9,X17:AA17)</f>
        <v>307</v>
      </c>
      <c r="P24" s="773">
        <f>MEDIAN(T17:V17,X17:AA17)</f>
        <v>90</v>
      </c>
      <c r="Q24" s="773">
        <f>MEDIAN(Q13,Q11,Q9,P9,Q7,P7,Q5,P5,Q3,O9,O7,O5,Q15,P15,O15,T9,R15,S15,W15,X15,Y15:AA15,X9:AA9)</f>
        <v>331</v>
      </c>
      <c r="S24" s="1562">
        <v>76</v>
      </c>
      <c r="T24" s="1567">
        <v>42930</v>
      </c>
      <c r="U24" s="1558" t="s">
        <v>160</v>
      </c>
      <c r="V24" s="1560">
        <v>44</v>
      </c>
      <c r="X24" s="358">
        <f>MEDIAN(AG4,AE6:AG6,,AE8:AG8,AE10:AU10,AG12,AG14,AE16:AU16,AJ18:AU18)</f>
        <v>39.5</v>
      </c>
      <c r="Y24">
        <f>MEDIAN(AJ18:AU18)</f>
        <v>14</v>
      </c>
      <c r="Z24" s="358">
        <f>MEDIAN(AG4,AE6:AG6,,AE8:AG8,AE10:AU10,AG12,AG14,AE16:AU16)</f>
        <v>73</v>
      </c>
    </row>
    <row r="25" spans="1:47" ht="14.5">
      <c r="A25" s="3057"/>
      <c r="B25" s="208" t="s">
        <v>481</v>
      </c>
      <c r="C25" s="300">
        <v>112</v>
      </c>
      <c r="D25" s="300">
        <v>11</v>
      </c>
      <c r="I25" s="455" t="s">
        <v>289</v>
      </c>
      <c r="J25" s="460"/>
      <c r="K25" s="456">
        <v>10.199999999999999</v>
      </c>
      <c r="M25" s="3072"/>
      <c r="N25" s="87" t="s">
        <v>15</v>
      </c>
      <c r="O25" s="446">
        <f>AVERAGE(Q13,Q11,Q9,P9,Q7,P7,Q5,P5,Q3,O9,O7,O5,Q15,P15,O15,T9,T17,U17,V17,W15,X15:AA15,X17:AA17,X9:AA9)</f>
        <v>486.1875</v>
      </c>
      <c r="P25" s="773">
        <f>AVERAGE(T17:V17,X17:AA17)</f>
        <v>113.85714285714286</v>
      </c>
      <c r="Q25" s="773">
        <f>AVERAGE(Q13,Q11,Q9,P9,Q7,P7,Q5,P5,Q3,O9,O7,O5,Q15,P15,O15,T9,R15,S15,W15,X15,X9:AA9,Y15,Z15:AA15)</f>
        <v>555.77777777777783</v>
      </c>
      <c r="S25" s="1562">
        <v>76</v>
      </c>
      <c r="T25" s="1567">
        <v>42962</v>
      </c>
      <c r="U25" s="1564" t="s">
        <v>181</v>
      </c>
      <c r="V25" s="1560">
        <v>249</v>
      </c>
      <c r="X25" s="358">
        <f>AVERAGE(AG4,AE6:AG6,,AE8:AG8,AE10:AU10,AG12,AG14,AE16:AU16,AJ18:AU18)</f>
        <v>171.20454545454547</v>
      </c>
      <c r="Y25">
        <f>AVERAGE(AJ18:AU18)</f>
        <v>18.454545454545453</v>
      </c>
      <c r="Z25" s="358">
        <f>AVERAGE(AG4,AE6:AG6,,AE8:AG8,AE10:AU10,AG12,AG14,AE16:AU16)</f>
        <v>222.12121212121212</v>
      </c>
    </row>
    <row r="26" spans="1:47" ht="14.5">
      <c r="A26" s="3056" t="s">
        <v>780</v>
      </c>
      <c r="B26" s="207" t="s">
        <v>480</v>
      </c>
      <c r="C26" s="300">
        <v>596</v>
      </c>
      <c r="D26" s="300">
        <v>404</v>
      </c>
      <c r="I26" s="459" t="s">
        <v>783</v>
      </c>
      <c r="J26" s="458"/>
      <c r="K26" s="450">
        <v>42201</v>
      </c>
      <c r="S26" s="1562">
        <v>76</v>
      </c>
      <c r="T26" s="1567">
        <v>42962</v>
      </c>
      <c r="U26" s="1558" t="s">
        <v>160</v>
      </c>
      <c r="V26" s="1560">
        <v>9</v>
      </c>
    </row>
    <row r="27" spans="1:47" ht="14.5">
      <c r="A27" s="3057"/>
      <c r="B27" s="208" t="s">
        <v>481</v>
      </c>
      <c r="C27" s="300">
        <v>35</v>
      </c>
      <c r="D27" s="300">
        <v>17</v>
      </c>
      <c r="I27" s="455" t="s">
        <v>135</v>
      </c>
      <c r="J27" s="460"/>
      <c r="K27" s="453">
        <v>0.4375</v>
      </c>
      <c r="M27" s="108"/>
      <c r="N27" s="780">
        <v>42550</v>
      </c>
      <c r="O27" s="780">
        <v>42565</v>
      </c>
      <c r="P27" s="780">
        <v>42600</v>
      </c>
      <c r="Q27" s="780">
        <v>42628</v>
      </c>
      <c r="S27" s="1562">
        <v>76</v>
      </c>
      <c r="T27" s="1567">
        <v>42990</v>
      </c>
      <c r="U27" s="1564" t="s">
        <v>181</v>
      </c>
      <c r="V27" s="1560">
        <v>156</v>
      </c>
    </row>
    <row r="28" spans="1:47" ht="14.5">
      <c r="A28" s="3056" t="s">
        <v>781</v>
      </c>
      <c r="B28" s="207" t="s">
        <v>480</v>
      </c>
      <c r="C28" s="300">
        <v>1454</v>
      </c>
      <c r="D28" s="300">
        <v>282</v>
      </c>
      <c r="I28" s="455" t="s">
        <v>287</v>
      </c>
      <c r="J28" s="460"/>
      <c r="K28" s="454">
        <v>5.9</v>
      </c>
      <c r="M28" s="3061" t="s">
        <v>781</v>
      </c>
      <c r="N28" s="3062"/>
      <c r="O28" s="3062"/>
      <c r="P28" s="3062"/>
      <c r="Q28" s="3062"/>
      <c r="S28" s="1562">
        <v>76</v>
      </c>
      <c r="T28" s="1567">
        <v>42990</v>
      </c>
      <c r="U28" s="1558" t="s">
        <v>160</v>
      </c>
      <c r="V28" s="1560">
        <v>10</v>
      </c>
    </row>
    <row r="29" spans="1:47" ht="14.5">
      <c r="A29" s="3057"/>
      <c r="B29" s="208" t="s">
        <v>481</v>
      </c>
      <c r="C29" s="300">
        <v>100</v>
      </c>
      <c r="D29" s="300">
        <v>15</v>
      </c>
      <c r="I29" s="455" t="s">
        <v>139</v>
      </c>
      <c r="J29" s="460"/>
      <c r="K29" s="456">
        <v>7.85</v>
      </c>
      <c r="M29" s="115" t="s">
        <v>135</v>
      </c>
      <c r="N29" s="114">
        <v>0.44444444444444442</v>
      </c>
      <c r="O29" s="781"/>
      <c r="P29" s="114">
        <v>0.42569444444444443</v>
      </c>
      <c r="Q29" s="781"/>
      <c r="S29" s="219"/>
      <c r="T29" s="569"/>
      <c r="U29" s="358"/>
      <c r="V29" s="358"/>
    </row>
    <row r="30" spans="1:47" ht="14.5">
      <c r="A30" s="3056" t="s">
        <v>783</v>
      </c>
      <c r="B30" s="207" t="s">
        <v>480</v>
      </c>
      <c r="C30" s="443"/>
      <c r="D30" s="300">
        <v>212</v>
      </c>
      <c r="I30" s="455" t="s">
        <v>288</v>
      </c>
      <c r="J30" s="460"/>
      <c r="K30" s="457">
        <v>2.9000000000000001E-2</v>
      </c>
      <c r="M30" s="115" t="s">
        <v>321</v>
      </c>
      <c r="N30" s="714" t="s">
        <v>871</v>
      </c>
      <c r="O30" s="714"/>
      <c r="P30" s="116" t="s">
        <v>894</v>
      </c>
      <c r="Q30" s="116"/>
      <c r="S30" s="1563">
        <v>95</v>
      </c>
      <c r="T30" s="1567">
        <v>42906</v>
      </c>
      <c r="U30" s="1564" t="s">
        <v>181</v>
      </c>
      <c r="V30" s="1560">
        <v>443</v>
      </c>
    </row>
    <row r="31" spans="1:47" ht="14.5">
      <c r="A31" s="3057"/>
      <c r="B31" s="208" t="s">
        <v>481</v>
      </c>
      <c r="C31" s="443"/>
      <c r="D31" s="300">
        <v>17</v>
      </c>
      <c r="I31" s="455" t="s">
        <v>289</v>
      </c>
      <c r="J31" s="460"/>
      <c r="K31" s="456">
        <v>11.22</v>
      </c>
      <c r="M31" s="115" t="s">
        <v>898</v>
      </c>
      <c r="N31" s="782">
        <v>0.45</v>
      </c>
      <c r="O31" s="782"/>
      <c r="P31" s="782">
        <v>1</v>
      </c>
      <c r="Q31" s="782"/>
      <c r="S31" s="1563">
        <v>95</v>
      </c>
      <c r="T31" s="1567">
        <v>42906</v>
      </c>
      <c r="U31" s="1558" t="s">
        <v>160</v>
      </c>
      <c r="V31" s="1560">
        <v>19</v>
      </c>
    </row>
    <row r="32" spans="1:47" ht="14.5">
      <c r="A32" s="3058" t="s">
        <v>784</v>
      </c>
      <c r="B32" s="207" t="s">
        <v>480</v>
      </c>
      <c r="C32" s="443"/>
      <c r="D32" s="300">
        <v>365</v>
      </c>
      <c r="I32" s="458" t="s">
        <v>784</v>
      </c>
      <c r="J32" s="458"/>
      <c r="K32" s="450">
        <v>42201</v>
      </c>
      <c r="M32" s="778" t="s">
        <v>899</v>
      </c>
      <c r="N32" s="783">
        <v>3</v>
      </c>
      <c r="O32" s="783"/>
      <c r="P32" s="116">
        <v>5</v>
      </c>
      <c r="Q32" s="116"/>
      <c r="S32" s="1563">
        <v>95</v>
      </c>
      <c r="T32" s="1567">
        <v>42930</v>
      </c>
      <c r="U32" s="1564" t="s">
        <v>181</v>
      </c>
      <c r="V32" s="1560">
        <v>90</v>
      </c>
    </row>
    <row r="33" spans="1:22" ht="14.5">
      <c r="A33" s="3059"/>
      <c r="B33" s="208" t="s">
        <v>481</v>
      </c>
      <c r="C33" s="443"/>
      <c r="D33" s="300">
        <v>20</v>
      </c>
      <c r="I33" s="455" t="s">
        <v>135</v>
      </c>
      <c r="J33" s="460"/>
      <c r="K33" s="453">
        <v>0.43055555555555558</v>
      </c>
      <c r="M33" s="779" t="s">
        <v>911</v>
      </c>
      <c r="N33" s="364">
        <v>14.4</v>
      </c>
      <c r="O33" s="364"/>
      <c r="P33" s="714">
        <v>5.6</v>
      </c>
      <c r="Q33" s="714"/>
      <c r="S33" s="1563">
        <v>95</v>
      </c>
      <c r="T33" s="1567">
        <v>42930</v>
      </c>
      <c r="U33" s="1558" t="s">
        <v>160</v>
      </c>
      <c r="V33" s="1560">
        <v>17</v>
      </c>
    </row>
    <row r="34" spans="1:22" ht="14.5">
      <c r="C34" s="3053" t="s">
        <v>787</v>
      </c>
      <c r="D34" s="3054"/>
      <c r="I34" s="455" t="s">
        <v>287</v>
      </c>
      <c r="J34" s="460"/>
      <c r="K34" s="454">
        <v>5</v>
      </c>
      <c r="M34" s="779" t="s">
        <v>912</v>
      </c>
      <c r="N34" s="116">
        <v>12239</v>
      </c>
      <c r="O34" s="116">
        <v>12239</v>
      </c>
      <c r="P34" s="116">
        <v>12239</v>
      </c>
      <c r="Q34" s="116">
        <v>12239</v>
      </c>
      <c r="S34" s="1563">
        <v>95</v>
      </c>
      <c r="T34" s="1567">
        <v>42962</v>
      </c>
      <c r="U34" s="1564" t="s">
        <v>181</v>
      </c>
      <c r="V34" s="1560">
        <v>104</v>
      </c>
    </row>
    <row r="35" spans="1:22" ht="14.5">
      <c r="B35" s="3060" t="s">
        <v>481</v>
      </c>
      <c r="C35" s="40" t="s">
        <v>786</v>
      </c>
      <c r="D35" s="40">
        <f>MEDIAN(D22:D34,D31,D33,D29,C29,D27,C27,D25,C25,D23)</f>
        <v>31</v>
      </c>
      <c r="I35" s="455" t="s">
        <v>139</v>
      </c>
      <c r="J35" s="460"/>
      <c r="K35" s="456">
        <v>8.1300000000000008</v>
      </c>
      <c r="M35" s="115" t="s">
        <v>139</v>
      </c>
      <c r="N35" s="364">
        <v>8.67</v>
      </c>
      <c r="O35" s="364"/>
      <c r="P35" s="364">
        <v>6.56</v>
      </c>
      <c r="Q35" s="364"/>
      <c r="S35" s="1563">
        <v>95</v>
      </c>
      <c r="T35" s="1567">
        <v>42962</v>
      </c>
      <c r="U35" s="1558" t="s">
        <v>160</v>
      </c>
      <c r="V35" s="1560">
        <v>14</v>
      </c>
    </row>
    <row r="36" spans="1:22" ht="14.5">
      <c r="B36" s="3060"/>
      <c r="C36" s="40" t="s">
        <v>15</v>
      </c>
      <c r="D36" s="40">
        <f>AVERAGE(D33,D31,D29,C29,D27,C27,D25,C25,D23)</f>
        <v>39.777777777777779</v>
      </c>
      <c r="I36" s="455" t="s">
        <v>288</v>
      </c>
      <c r="J36" s="460"/>
      <c r="K36" s="457">
        <v>2.1000000000000001E-2</v>
      </c>
      <c r="M36" s="115" t="s">
        <v>138</v>
      </c>
      <c r="N36" s="714">
        <v>6.7</v>
      </c>
      <c r="O36" s="116"/>
      <c r="P36" s="714">
        <v>4.7</v>
      </c>
      <c r="Q36" s="714"/>
      <c r="S36" s="1563">
        <v>95</v>
      </c>
      <c r="T36" s="1567">
        <v>42990</v>
      </c>
      <c r="U36" s="1564" t="s">
        <v>181</v>
      </c>
      <c r="V36" s="1560">
        <v>19</v>
      </c>
    </row>
    <row r="37" spans="1:22" ht="14.5">
      <c r="B37" s="3055" t="s">
        <v>480</v>
      </c>
      <c r="C37" s="40" t="s">
        <v>786</v>
      </c>
      <c r="D37" s="40">
        <f>MEDIAN(D32,D30,D28,C28,D26,C26,D24,C24,D22)</f>
        <v>404</v>
      </c>
      <c r="I37" s="455" t="s">
        <v>289</v>
      </c>
      <c r="J37" s="460"/>
      <c r="K37" s="456">
        <v>11.8</v>
      </c>
      <c r="M37" s="115" t="s">
        <v>137</v>
      </c>
      <c r="N37" s="364">
        <v>4.79</v>
      </c>
      <c r="O37" s="116"/>
      <c r="P37" s="364">
        <v>2.4500000000000002</v>
      </c>
      <c r="Q37" s="364"/>
      <c r="S37" s="1563">
        <v>95</v>
      </c>
      <c r="T37" s="1567">
        <v>42990</v>
      </c>
      <c r="U37" s="1558" t="s">
        <v>160</v>
      </c>
      <c r="V37" s="1560">
        <v>14</v>
      </c>
    </row>
    <row r="38" spans="1:22">
      <c r="B38" s="3055"/>
      <c r="C38" s="40" t="s">
        <v>15</v>
      </c>
      <c r="D38" s="40">
        <f>AVERAGE(D32,D30,D28,C28,D26,C26,D24,C24,D22)</f>
        <v>527.66666666666663</v>
      </c>
      <c r="M38" s="115" t="s">
        <v>136</v>
      </c>
      <c r="N38" s="714">
        <v>23.1</v>
      </c>
      <c r="O38" s="116"/>
      <c r="P38" s="714">
        <v>66.099999999999994</v>
      </c>
      <c r="Q38" s="714"/>
      <c r="U38" s="1564" t="s">
        <v>1343</v>
      </c>
      <c r="V38" t="s">
        <v>1344</v>
      </c>
    </row>
    <row r="39" spans="1:22">
      <c r="M39" s="115" t="s">
        <v>250</v>
      </c>
      <c r="N39" s="783">
        <v>0.01</v>
      </c>
      <c r="O39" s="116"/>
      <c r="P39" s="116">
        <v>0</v>
      </c>
      <c r="Q39" s="116"/>
      <c r="R39" s="1562">
        <v>63</v>
      </c>
      <c r="S39" s="1567">
        <v>42906</v>
      </c>
      <c r="T39" s="1564"/>
      <c r="U39" s="1560">
        <v>331</v>
      </c>
      <c r="V39" s="287">
        <v>78</v>
      </c>
    </row>
    <row r="40" spans="1:22">
      <c r="M40" s="3063" t="s">
        <v>1016</v>
      </c>
      <c r="N40" s="3064"/>
      <c r="O40" s="3064"/>
      <c r="P40" s="3064"/>
      <c r="Q40" s="3065"/>
      <c r="R40" s="1562">
        <v>63</v>
      </c>
      <c r="S40" s="1567">
        <v>42930</v>
      </c>
      <c r="T40" s="1564"/>
      <c r="U40" s="1560">
        <v>138</v>
      </c>
      <c r="V40" s="287">
        <v>128</v>
      </c>
    </row>
    <row r="41" spans="1:22">
      <c r="M41" s="115" t="s">
        <v>135</v>
      </c>
      <c r="N41" s="114">
        <v>0.46527777777777773</v>
      </c>
      <c r="O41" s="114">
        <v>0.42708333333333331</v>
      </c>
      <c r="P41" s="114">
        <v>0.43333333333333335</v>
      </c>
      <c r="Q41" s="781"/>
      <c r="R41" s="1562">
        <v>63</v>
      </c>
      <c r="S41" s="1567">
        <v>42962</v>
      </c>
      <c r="T41" s="1564"/>
      <c r="U41" s="1560">
        <v>331</v>
      </c>
      <c r="V41" s="287">
        <v>237</v>
      </c>
    </row>
    <row r="42" spans="1:22">
      <c r="M42" s="115" t="s">
        <v>321</v>
      </c>
      <c r="N42" s="116" t="s">
        <v>871</v>
      </c>
      <c r="O42" s="116" t="s">
        <v>894</v>
      </c>
      <c r="P42" s="116" t="s">
        <v>894</v>
      </c>
      <c r="Q42" s="116"/>
      <c r="R42" s="1562">
        <v>63</v>
      </c>
      <c r="S42" s="1567">
        <v>42990</v>
      </c>
      <c r="T42" s="1564"/>
      <c r="U42" s="726">
        <v>1803</v>
      </c>
      <c r="V42" s="287">
        <v>1794</v>
      </c>
    </row>
    <row r="43" spans="1:22">
      <c r="M43" s="115" t="s">
        <v>898</v>
      </c>
      <c r="N43" s="782">
        <v>0.45</v>
      </c>
      <c r="O43" s="782">
        <v>0.9</v>
      </c>
      <c r="P43" s="782">
        <v>1</v>
      </c>
      <c r="Q43" s="782"/>
    </row>
    <row r="44" spans="1:22">
      <c r="M44" s="778" t="s">
        <v>899</v>
      </c>
      <c r="N44" s="116">
        <v>1</v>
      </c>
      <c r="O44" s="116">
        <v>4</v>
      </c>
      <c r="P44" s="116">
        <v>4</v>
      </c>
      <c r="Q44" s="116"/>
    </row>
    <row r="45" spans="1:22">
      <c r="M45" s="779" t="s">
        <v>911</v>
      </c>
      <c r="N45" s="364">
        <v>14.4</v>
      </c>
      <c r="O45" s="714">
        <v>19.7</v>
      </c>
      <c r="P45" s="714">
        <v>15</v>
      </c>
      <c r="Q45" s="714"/>
    </row>
    <row r="46" spans="1:22">
      <c r="M46" s="779" t="s">
        <v>912</v>
      </c>
      <c r="N46" s="116">
        <v>12255</v>
      </c>
      <c r="O46" s="116">
        <v>12255</v>
      </c>
      <c r="P46" s="116">
        <v>12255</v>
      </c>
      <c r="Q46" s="116">
        <v>12255</v>
      </c>
    </row>
    <row r="47" spans="1:22">
      <c r="M47" s="115" t="s">
        <v>139</v>
      </c>
      <c r="N47" s="364">
        <v>8.6199999999999992</v>
      </c>
      <c r="O47" s="364">
        <v>8.3000000000000007</v>
      </c>
      <c r="P47" s="364">
        <v>5.99</v>
      </c>
      <c r="Q47" s="364"/>
    </row>
    <row r="48" spans="1:22">
      <c r="M48" s="115" t="s">
        <v>138</v>
      </c>
      <c r="N48" s="714">
        <v>10.9</v>
      </c>
      <c r="O48" s="714">
        <v>10.8</v>
      </c>
      <c r="P48" s="714">
        <v>8.1999999999999993</v>
      </c>
      <c r="Q48" s="714"/>
    </row>
    <row r="49" spans="13:17">
      <c r="M49" s="115" t="s">
        <v>137</v>
      </c>
      <c r="N49" s="364">
        <v>6.46</v>
      </c>
      <c r="O49" s="364">
        <v>3.85</v>
      </c>
      <c r="P49" s="364">
        <v>2.36</v>
      </c>
      <c r="Q49" s="364"/>
    </row>
    <row r="50" spans="13:17">
      <c r="M50" s="115" t="s">
        <v>136</v>
      </c>
      <c r="N50" s="714">
        <v>13.1</v>
      </c>
      <c r="O50" s="714">
        <v>22.4</v>
      </c>
      <c r="P50" s="714">
        <v>36</v>
      </c>
      <c r="Q50" s="714"/>
    </row>
    <row r="51" spans="13:17">
      <c r="M51" s="115" t="s">
        <v>250</v>
      </c>
      <c r="N51" s="783">
        <v>2.7E-2</v>
      </c>
      <c r="O51" s="116">
        <v>0</v>
      </c>
      <c r="P51" s="116">
        <v>0</v>
      </c>
      <c r="Q51" s="116"/>
    </row>
    <row r="52" spans="13:17">
      <c r="M52" s="3066" t="s">
        <v>1015</v>
      </c>
      <c r="N52" s="3066"/>
      <c r="O52" s="3066"/>
      <c r="P52" s="3066"/>
      <c r="Q52" s="3066"/>
    </row>
    <row r="53" spans="13:17">
      <c r="M53" s="115" t="s">
        <v>135</v>
      </c>
      <c r="N53" s="116"/>
      <c r="O53" s="116"/>
      <c r="P53" s="114">
        <v>0.40416666666666662</v>
      </c>
      <c r="Q53" s="114">
        <v>0.45833333333333331</v>
      </c>
    </row>
    <row r="54" spans="13:17">
      <c r="M54" s="115" t="s">
        <v>321</v>
      </c>
      <c r="N54" s="116"/>
      <c r="O54" s="116"/>
      <c r="P54" s="116" t="s">
        <v>894</v>
      </c>
      <c r="Q54" s="116" t="s">
        <v>894</v>
      </c>
    </row>
    <row r="55" spans="13:17">
      <c r="M55" s="115" t="s">
        <v>898</v>
      </c>
      <c r="N55" s="116"/>
      <c r="O55" s="116"/>
      <c r="P55" s="782">
        <v>1</v>
      </c>
      <c r="Q55" s="782">
        <v>1</v>
      </c>
    </row>
    <row r="56" spans="13:17">
      <c r="M56" s="778" t="s">
        <v>899</v>
      </c>
      <c r="N56" s="116"/>
      <c r="O56" s="116"/>
      <c r="P56" s="116">
        <v>5</v>
      </c>
      <c r="Q56" s="116">
        <v>5</v>
      </c>
    </row>
    <row r="57" spans="13:17">
      <c r="M57" s="779" t="s">
        <v>911</v>
      </c>
      <c r="N57" s="116"/>
      <c r="O57" s="116"/>
      <c r="P57" s="714">
        <v>7</v>
      </c>
      <c r="Q57" s="714">
        <v>6.1</v>
      </c>
    </row>
    <row r="58" spans="13:17">
      <c r="M58" s="779" t="s">
        <v>912</v>
      </c>
      <c r="N58" s="116"/>
      <c r="O58" s="116"/>
      <c r="P58" s="116">
        <v>12400</v>
      </c>
      <c r="Q58" s="116">
        <v>12400</v>
      </c>
    </row>
    <row r="59" spans="13:17">
      <c r="M59" s="115" t="s">
        <v>139</v>
      </c>
      <c r="N59" s="116"/>
      <c r="O59" s="116"/>
      <c r="P59" s="364">
        <v>6.11</v>
      </c>
      <c r="Q59" s="364">
        <v>6.95</v>
      </c>
    </row>
    <row r="60" spans="13:17">
      <c r="M60" s="115" t="s">
        <v>138</v>
      </c>
      <c r="N60" s="116"/>
      <c r="O60" s="116"/>
      <c r="P60" s="714">
        <v>6</v>
      </c>
      <c r="Q60" s="714">
        <v>5</v>
      </c>
    </row>
    <row r="61" spans="13:17">
      <c r="M61" s="115" t="s">
        <v>137</v>
      </c>
      <c r="N61" s="116"/>
      <c r="O61" s="116"/>
      <c r="P61" s="364">
        <v>1.98</v>
      </c>
      <c r="Q61" s="364">
        <v>3.56</v>
      </c>
    </row>
    <row r="62" spans="13:17">
      <c r="M62" s="115" t="s">
        <v>136</v>
      </c>
      <c r="N62" s="116"/>
      <c r="O62" s="116"/>
      <c r="P62" s="714">
        <v>78.8</v>
      </c>
      <c r="Q62" s="714">
        <v>40.299999999999997</v>
      </c>
    </row>
    <row r="63" spans="13:17">
      <c r="M63" s="115" t="s">
        <v>250</v>
      </c>
      <c r="N63" s="116"/>
      <c r="O63" s="116"/>
      <c r="P63" s="364">
        <v>0.01</v>
      </c>
      <c r="Q63" s="364">
        <v>0.01</v>
      </c>
    </row>
  </sheetData>
  <mergeCells count="24">
    <mergeCell ref="M28:Q28"/>
    <mergeCell ref="M40:Q40"/>
    <mergeCell ref="M52:Q52"/>
    <mergeCell ref="M22:M23"/>
    <mergeCell ref="M2:N2"/>
    <mergeCell ref="M24:M25"/>
    <mergeCell ref="M15:M16"/>
    <mergeCell ref="M3:M4"/>
    <mergeCell ref="M5:M6"/>
    <mergeCell ref="M7:M8"/>
    <mergeCell ref="M9:M10"/>
    <mergeCell ref="M11:M12"/>
    <mergeCell ref="M13:M14"/>
    <mergeCell ref="M17:M18"/>
    <mergeCell ref="A17:A18"/>
    <mergeCell ref="C34:D34"/>
    <mergeCell ref="B37:B38"/>
    <mergeCell ref="A22:A23"/>
    <mergeCell ref="A24:A25"/>
    <mergeCell ref="A26:A27"/>
    <mergeCell ref="A28:A29"/>
    <mergeCell ref="A30:A31"/>
    <mergeCell ref="A32:A33"/>
    <mergeCell ref="B35:B36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0.59999389629810485"/>
  </sheetPr>
  <dimension ref="A1:Q95"/>
  <sheetViews>
    <sheetView topLeftCell="B82" workbookViewId="0">
      <selection activeCell="E85" sqref="E85"/>
    </sheetView>
  </sheetViews>
  <sheetFormatPr defaultRowHeight="14"/>
  <cols>
    <col min="1" max="1" width="11.1796875" bestFit="1" customWidth="1"/>
    <col min="2" max="2" width="8.90625" bestFit="1" customWidth="1"/>
    <col min="3" max="3" width="11.90625" bestFit="1" customWidth="1"/>
    <col min="4" max="4" width="11.453125" bestFit="1" customWidth="1"/>
    <col min="5" max="5" width="17.6328125" bestFit="1" customWidth="1"/>
    <col min="6" max="6" width="8.90625" bestFit="1" customWidth="1"/>
    <col min="7" max="7" width="10.1796875" bestFit="1" customWidth="1"/>
    <col min="8" max="8" width="10" bestFit="1" customWidth="1"/>
    <col min="9" max="9" width="8.90625" bestFit="1" customWidth="1"/>
    <col min="10" max="10" width="9.90625" bestFit="1" customWidth="1"/>
    <col min="11" max="11" width="8.90625" bestFit="1" customWidth="1"/>
    <col min="12" max="13" width="9.90625" bestFit="1" customWidth="1"/>
    <col min="14" max="14" width="11.54296875" bestFit="1" customWidth="1"/>
    <col min="16" max="16" width="9.90625" bestFit="1" customWidth="1"/>
  </cols>
  <sheetData>
    <row r="1" spans="1:17">
      <c r="A1" s="627" t="s">
        <v>716</v>
      </c>
      <c r="B1" s="627" t="s">
        <v>717</v>
      </c>
      <c r="C1" s="628" t="s">
        <v>718</v>
      </c>
      <c r="D1" s="628" t="s">
        <v>719</v>
      </c>
      <c r="E1" s="627" t="s">
        <v>720</v>
      </c>
      <c r="F1" s="627" t="s">
        <v>721</v>
      </c>
      <c r="G1" s="627" t="s">
        <v>934</v>
      </c>
      <c r="H1" s="629" t="s">
        <v>722</v>
      </c>
      <c r="I1" s="630" t="s">
        <v>722</v>
      </c>
      <c r="J1" s="627" t="s">
        <v>935</v>
      </c>
      <c r="K1" s="627" t="s">
        <v>936</v>
      </c>
      <c r="L1" s="631" t="s">
        <v>937</v>
      </c>
      <c r="M1" s="631" t="s">
        <v>482</v>
      </c>
      <c r="N1" s="628" t="s">
        <v>938</v>
      </c>
    </row>
    <row r="2" spans="1:17">
      <c r="A2" s="530" t="s">
        <v>1475</v>
      </c>
      <c r="B2" s="72" t="s">
        <v>950</v>
      </c>
      <c r="C2" s="109">
        <v>43108</v>
      </c>
      <c r="D2" s="109">
        <v>43108</v>
      </c>
      <c r="E2" s="531" t="s">
        <v>954</v>
      </c>
      <c r="F2" s="531" t="s">
        <v>723</v>
      </c>
      <c r="G2" s="61" t="s">
        <v>955</v>
      </c>
      <c r="H2" s="287">
        <v>72</v>
      </c>
      <c r="I2" s="285">
        <v>72</v>
      </c>
      <c r="J2" s="287"/>
      <c r="K2" s="205" t="s">
        <v>944</v>
      </c>
      <c r="L2" s="218">
        <v>2</v>
      </c>
      <c r="M2" s="218"/>
      <c r="N2" s="219">
        <v>43108</v>
      </c>
      <c r="P2" s="24">
        <v>43143</v>
      </c>
      <c r="Q2" s="722"/>
    </row>
    <row r="3" spans="1:17">
      <c r="A3" s="530" t="s">
        <v>1475</v>
      </c>
      <c r="B3" s="72" t="s">
        <v>950</v>
      </c>
      <c r="C3" s="109">
        <v>43108</v>
      </c>
      <c r="D3" s="109">
        <v>43108</v>
      </c>
      <c r="E3" s="286" t="s">
        <v>951</v>
      </c>
      <c r="F3" s="531" t="s">
        <v>723</v>
      </c>
      <c r="G3" s="61" t="s">
        <v>952</v>
      </c>
      <c r="H3" s="284">
        <v>1.5</v>
      </c>
      <c r="I3" s="427">
        <v>1.5</v>
      </c>
      <c r="J3" s="284" t="s">
        <v>953</v>
      </c>
      <c r="K3" s="531" t="s">
        <v>941</v>
      </c>
      <c r="L3" s="1360">
        <v>0.26</v>
      </c>
      <c r="M3" s="218">
        <v>4</v>
      </c>
      <c r="N3" s="219">
        <v>43116</v>
      </c>
      <c r="P3" s="24">
        <v>43108</v>
      </c>
    </row>
    <row r="4" spans="1:17">
      <c r="A4" s="530" t="s">
        <v>1476</v>
      </c>
      <c r="B4" s="72" t="s">
        <v>956</v>
      </c>
      <c r="C4" s="109">
        <v>43108</v>
      </c>
      <c r="D4" s="109">
        <v>43108</v>
      </c>
      <c r="E4" s="531" t="s">
        <v>954</v>
      </c>
      <c r="F4" s="531" t="s">
        <v>723</v>
      </c>
      <c r="G4" s="61" t="s">
        <v>955</v>
      </c>
      <c r="H4" s="287">
        <v>106</v>
      </c>
      <c r="I4" s="285">
        <v>106</v>
      </c>
      <c r="J4" s="287"/>
      <c r="K4" s="205" t="s">
        <v>944</v>
      </c>
      <c r="L4" s="218">
        <v>2</v>
      </c>
      <c r="M4" s="218"/>
      <c r="N4" s="219">
        <v>43108</v>
      </c>
      <c r="P4" s="24">
        <v>43178</v>
      </c>
    </row>
    <row r="5" spans="1:17">
      <c r="A5" s="530" t="s">
        <v>1476</v>
      </c>
      <c r="B5" s="72" t="s">
        <v>956</v>
      </c>
      <c r="C5" s="109">
        <v>43108</v>
      </c>
      <c r="D5" s="109">
        <v>43108</v>
      </c>
      <c r="E5" s="286" t="s">
        <v>951</v>
      </c>
      <c r="F5" s="531" t="s">
        <v>723</v>
      </c>
      <c r="G5" s="61" t="s">
        <v>952</v>
      </c>
      <c r="H5" s="284">
        <v>1.7</v>
      </c>
      <c r="I5" s="427">
        <v>1.7</v>
      </c>
      <c r="J5" s="284" t="s">
        <v>953</v>
      </c>
      <c r="K5" s="531" t="s">
        <v>941</v>
      </c>
      <c r="L5" s="1360">
        <v>0.26</v>
      </c>
      <c r="M5" s="218">
        <v>4</v>
      </c>
      <c r="N5" s="219">
        <v>43116</v>
      </c>
      <c r="P5" s="24">
        <v>43199</v>
      </c>
    </row>
    <row r="6" spans="1:17">
      <c r="A6" s="530" t="s">
        <v>1477</v>
      </c>
      <c r="B6" s="72" t="s">
        <v>1279</v>
      </c>
      <c r="C6" s="109">
        <v>43108</v>
      </c>
      <c r="D6" s="109">
        <v>43108</v>
      </c>
      <c r="E6" s="531" t="s">
        <v>954</v>
      </c>
      <c r="F6" s="531" t="s">
        <v>723</v>
      </c>
      <c r="G6" s="61" t="s">
        <v>955</v>
      </c>
      <c r="H6" s="287">
        <v>600</v>
      </c>
      <c r="I6" s="285">
        <v>600</v>
      </c>
      <c r="J6" s="287"/>
      <c r="K6" s="205" t="s">
        <v>944</v>
      </c>
      <c r="L6" s="218">
        <v>2</v>
      </c>
      <c r="M6" s="218"/>
      <c r="N6" s="219">
        <v>43108</v>
      </c>
      <c r="P6" s="24">
        <v>43234</v>
      </c>
    </row>
    <row r="7" spans="1:17">
      <c r="A7" s="530" t="s">
        <v>1477</v>
      </c>
      <c r="B7" s="72" t="s">
        <v>1279</v>
      </c>
      <c r="C7" s="109">
        <v>43108</v>
      </c>
      <c r="D7" s="109">
        <v>43108</v>
      </c>
      <c r="E7" s="286" t="s">
        <v>951</v>
      </c>
      <c r="F7" s="531" t="s">
        <v>723</v>
      </c>
      <c r="G7" s="61" t="s">
        <v>952</v>
      </c>
      <c r="H7" s="284">
        <v>1.4</v>
      </c>
      <c r="I7" s="427">
        <v>1.4</v>
      </c>
      <c r="J7" s="284" t="s">
        <v>953</v>
      </c>
      <c r="K7" s="531" t="s">
        <v>941</v>
      </c>
      <c r="L7" s="1360">
        <v>0.26</v>
      </c>
      <c r="M7" s="218">
        <v>4</v>
      </c>
      <c r="N7" s="219">
        <v>43116</v>
      </c>
      <c r="P7" s="24">
        <v>43262</v>
      </c>
    </row>
    <row r="8" spans="1:17">
      <c r="A8" s="1353"/>
      <c r="B8" s="1351"/>
      <c r="C8" s="1350"/>
      <c r="D8" s="1350"/>
      <c r="E8" s="1354"/>
      <c r="F8" s="1347"/>
      <c r="G8" s="1352"/>
      <c r="H8" s="1355"/>
      <c r="I8" s="1356"/>
      <c r="J8" s="1355"/>
      <c r="K8" s="1347"/>
      <c r="L8" s="1357"/>
      <c r="M8" s="1349"/>
      <c r="N8" s="1348"/>
      <c r="P8" s="24">
        <v>43290</v>
      </c>
    </row>
    <row r="9" spans="1:17">
      <c r="A9" s="1958" t="s">
        <v>1487</v>
      </c>
      <c r="B9" s="1955" t="s">
        <v>950</v>
      </c>
      <c r="C9" s="1954" t="s">
        <v>1479</v>
      </c>
      <c r="D9" s="1954" t="s">
        <v>1479</v>
      </c>
      <c r="E9" s="1950" t="s">
        <v>954</v>
      </c>
      <c r="F9" s="1950" t="s">
        <v>723</v>
      </c>
      <c r="G9" s="1956" t="s">
        <v>955</v>
      </c>
      <c r="H9" s="1952">
        <v>76</v>
      </c>
      <c r="I9" s="1957">
        <v>76</v>
      </c>
      <c r="J9" s="1952"/>
      <c r="K9" s="1960" t="s">
        <v>944</v>
      </c>
      <c r="L9" s="1953">
        <v>2</v>
      </c>
      <c r="M9" s="1953"/>
      <c r="N9" s="1954">
        <v>43143</v>
      </c>
      <c r="P9" s="24">
        <v>43319</v>
      </c>
    </row>
    <row r="10" spans="1:17">
      <c r="A10" s="1958" t="s">
        <v>1487</v>
      </c>
      <c r="B10" s="1955" t="s">
        <v>950</v>
      </c>
      <c r="C10" s="1954" t="s">
        <v>1479</v>
      </c>
      <c r="D10" s="1954" t="s">
        <v>1479</v>
      </c>
      <c r="E10" s="1959" t="s">
        <v>951</v>
      </c>
      <c r="F10" s="1950" t="s">
        <v>723</v>
      </c>
      <c r="G10" s="1956" t="s">
        <v>952</v>
      </c>
      <c r="H10" s="1961">
        <v>2</v>
      </c>
      <c r="I10" s="1962">
        <v>2</v>
      </c>
      <c r="J10" s="1961" t="s">
        <v>953</v>
      </c>
      <c r="K10" s="1950" t="s">
        <v>941</v>
      </c>
      <c r="L10" s="1963">
        <v>0.26</v>
      </c>
      <c r="M10" s="1953">
        <v>4</v>
      </c>
      <c r="N10" s="1951">
        <v>43150</v>
      </c>
      <c r="P10" s="24">
        <v>43353</v>
      </c>
    </row>
    <row r="11" spans="1:17">
      <c r="A11" s="1958" t="s">
        <v>1488</v>
      </c>
      <c r="B11" s="1955" t="s">
        <v>956</v>
      </c>
      <c r="C11" s="1954" t="s">
        <v>1479</v>
      </c>
      <c r="D11" s="1954" t="s">
        <v>1479</v>
      </c>
      <c r="E11" s="1950" t="s">
        <v>954</v>
      </c>
      <c r="F11" s="1950" t="s">
        <v>723</v>
      </c>
      <c r="G11" s="1956" t="s">
        <v>955</v>
      </c>
      <c r="H11" s="1952">
        <v>112</v>
      </c>
      <c r="I11" s="1957">
        <v>112</v>
      </c>
      <c r="J11" s="1952"/>
      <c r="K11" s="1960" t="s">
        <v>944</v>
      </c>
      <c r="L11" s="1953">
        <v>2</v>
      </c>
      <c r="M11" s="1953"/>
      <c r="N11" s="1954">
        <v>43143</v>
      </c>
      <c r="P11" s="24">
        <v>43388</v>
      </c>
    </row>
    <row r="12" spans="1:17">
      <c r="A12" s="1958" t="s">
        <v>1488</v>
      </c>
      <c r="B12" s="1955" t="s">
        <v>956</v>
      </c>
      <c r="C12" s="1954" t="s">
        <v>1479</v>
      </c>
      <c r="D12" s="1954" t="s">
        <v>1479</v>
      </c>
      <c r="E12" s="1959" t="s">
        <v>951</v>
      </c>
      <c r="F12" s="1950" t="s">
        <v>723</v>
      </c>
      <c r="G12" s="1956" t="s">
        <v>952</v>
      </c>
      <c r="H12" s="1961">
        <v>2.1</v>
      </c>
      <c r="I12" s="1962">
        <v>2.1</v>
      </c>
      <c r="J12" s="1961" t="s">
        <v>953</v>
      </c>
      <c r="K12" s="1950" t="s">
        <v>941</v>
      </c>
      <c r="L12" s="1963">
        <v>0.26</v>
      </c>
      <c r="M12" s="1953">
        <v>4</v>
      </c>
      <c r="N12" s="1954">
        <v>43150</v>
      </c>
      <c r="P12" s="24">
        <v>43409</v>
      </c>
    </row>
    <row r="13" spans="1:17">
      <c r="A13" s="1958" t="s">
        <v>1489</v>
      </c>
      <c r="B13" s="1955" t="s">
        <v>1279</v>
      </c>
      <c r="C13" s="1954" t="s">
        <v>1479</v>
      </c>
      <c r="D13" s="1954" t="s">
        <v>1479</v>
      </c>
      <c r="E13" s="1950" t="s">
        <v>954</v>
      </c>
      <c r="F13" s="1950" t="s">
        <v>723</v>
      </c>
      <c r="G13" s="1956" t="s">
        <v>955</v>
      </c>
      <c r="H13" s="1952">
        <v>600</v>
      </c>
      <c r="I13" s="1957">
        <v>600</v>
      </c>
      <c r="J13" s="1952"/>
      <c r="K13" s="1960" t="s">
        <v>944</v>
      </c>
      <c r="L13" s="1953">
        <v>2</v>
      </c>
      <c r="M13" s="1953"/>
      <c r="N13" s="1954">
        <v>43143</v>
      </c>
      <c r="P13" s="24">
        <v>43444</v>
      </c>
    </row>
    <row r="14" spans="1:17">
      <c r="A14" s="1958" t="s">
        <v>1489</v>
      </c>
      <c r="B14" s="1955" t="s">
        <v>1279</v>
      </c>
      <c r="C14" s="1954" t="s">
        <v>1479</v>
      </c>
      <c r="D14" s="1954" t="s">
        <v>1479</v>
      </c>
      <c r="E14" s="1959" t="s">
        <v>951</v>
      </c>
      <c r="F14" s="1950" t="s">
        <v>723</v>
      </c>
      <c r="G14" s="1956" t="s">
        <v>952</v>
      </c>
      <c r="H14" s="1961">
        <v>1.9</v>
      </c>
      <c r="I14" s="1962">
        <v>1.9</v>
      </c>
      <c r="J14" s="1961" t="s">
        <v>953</v>
      </c>
      <c r="K14" s="1950" t="s">
        <v>941</v>
      </c>
      <c r="L14" s="1963">
        <v>0.26</v>
      </c>
      <c r="M14" s="1953">
        <v>4</v>
      </c>
      <c r="N14" s="1954">
        <v>43150</v>
      </c>
    </row>
    <row r="15" spans="1:17">
      <c r="A15" s="1372"/>
      <c r="B15" s="1369"/>
      <c r="C15" s="1368"/>
      <c r="D15" s="1368"/>
      <c r="E15" s="1364"/>
      <c r="F15" s="1364"/>
      <c r="G15" s="1370"/>
      <c r="H15" s="1366"/>
      <c r="I15" s="1371"/>
      <c r="J15" s="1366"/>
      <c r="K15" s="1373"/>
      <c r="L15" s="1367"/>
      <c r="M15" s="1367"/>
      <c r="N15" s="1365"/>
    </row>
    <row r="16" spans="1:17">
      <c r="A16" s="1982" t="s">
        <v>1496</v>
      </c>
      <c r="B16" s="1987" t="s">
        <v>950</v>
      </c>
      <c r="C16" s="1986">
        <v>43178</v>
      </c>
      <c r="D16" s="1986">
        <v>43178</v>
      </c>
      <c r="E16" s="1982" t="s">
        <v>954</v>
      </c>
      <c r="F16" s="1982" t="s">
        <v>723</v>
      </c>
      <c r="G16" s="1988" t="s">
        <v>955</v>
      </c>
      <c r="H16" s="1984">
        <v>80</v>
      </c>
      <c r="I16" s="1989">
        <v>80</v>
      </c>
      <c r="J16" s="1984"/>
      <c r="K16" s="1982" t="s">
        <v>944</v>
      </c>
      <c r="L16" s="1985">
        <v>2</v>
      </c>
      <c r="M16" s="1985"/>
      <c r="N16" s="1983">
        <v>43178</v>
      </c>
    </row>
    <row r="17" spans="1:14">
      <c r="A17" s="1982" t="s">
        <v>1496</v>
      </c>
      <c r="B17" s="1987" t="s">
        <v>950</v>
      </c>
      <c r="C17" s="1986">
        <v>43178</v>
      </c>
      <c r="D17" s="1986">
        <v>43178</v>
      </c>
      <c r="E17" s="1990" t="s">
        <v>951</v>
      </c>
      <c r="F17" s="1982" t="s">
        <v>723</v>
      </c>
      <c r="G17" s="1988" t="s">
        <v>952</v>
      </c>
      <c r="H17" s="1991">
        <v>1.8</v>
      </c>
      <c r="I17" s="1992">
        <v>1.8</v>
      </c>
      <c r="J17" s="1991" t="s">
        <v>953</v>
      </c>
      <c r="K17" s="1982" t="s">
        <v>941</v>
      </c>
      <c r="L17" s="1993">
        <v>0.26</v>
      </c>
      <c r="M17" s="1985">
        <v>4</v>
      </c>
      <c r="N17" s="1983">
        <v>43182</v>
      </c>
    </row>
    <row r="18" spans="1:14">
      <c r="A18" s="1982" t="s">
        <v>1497</v>
      </c>
      <c r="B18" s="1987" t="s">
        <v>956</v>
      </c>
      <c r="C18" s="1986">
        <v>43178</v>
      </c>
      <c r="D18" s="1986">
        <v>43178</v>
      </c>
      <c r="E18" s="1982" t="s">
        <v>954</v>
      </c>
      <c r="F18" s="1982" t="s">
        <v>723</v>
      </c>
      <c r="G18" s="1988" t="s">
        <v>955</v>
      </c>
      <c r="H18" s="1984">
        <v>114</v>
      </c>
      <c r="I18" s="1989">
        <v>114</v>
      </c>
      <c r="J18" s="1984"/>
      <c r="K18" s="1982" t="s">
        <v>944</v>
      </c>
      <c r="L18" s="1985">
        <v>2</v>
      </c>
      <c r="M18" s="1985"/>
      <c r="N18" s="1983">
        <v>43178</v>
      </c>
    </row>
    <row r="19" spans="1:14">
      <c r="A19" s="1982" t="s">
        <v>1497</v>
      </c>
      <c r="B19" s="1987" t="s">
        <v>956</v>
      </c>
      <c r="C19" s="1986">
        <v>43178</v>
      </c>
      <c r="D19" s="1986">
        <v>43178</v>
      </c>
      <c r="E19" s="1990" t="s">
        <v>951</v>
      </c>
      <c r="F19" s="1982" t="s">
        <v>723</v>
      </c>
      <c r="G19" s="1988" t="s">
        <v>952</v>
      </c>
      <c r="H19" s="1991">
        <v>1.8</v>
      </c>
      <c r="I19" s="1992">
        <v>1.8</v>
      </c>
      <c r="J19" s="1991" t="s">
        <v>953</v>
      </c>
      <c r="K19" s="1982" t="s">
        <v>941</v>
      </c>
      <c r="L19" s="1993">
        <v>0.26</v>
      </c>
      <c r="M19" s="1985">
        <v>4</v>
      </c>
      <c r="N19" s="1983">
        <v>43182</v>
      </c>
    </row>
    <row r="20" spans="1:14">
      <c r="A20" s="1982" t="s">
        <v>1498</v>
      </c>
      <c r="B20" s="1987" t="s">
        <v>1279</v>
      </c>
      <c r="C20" s="1986">
        <v>43178</v>
      </c>
      <c r="D20" s="1986">
        <v>43178</v>
      </c>
      <c r="E20" s="1982" t="s">
        <v>954</v>
      </c>
      <c r="F20" s="1982" t="s">
        <v>723</v>
      </c>
      <c r="G20" s="1988" t="s">
        <v>955</v>
      </c>
      <c r="H20" s="1984">
        <v>560</v>
      </c>
      <c r="I20" s="1989">
        <v>560</v>
      </c>
      <c r="J20" s="1984"/>
      <c r="K20" s="1982" t="s">
        <v>944</v>
      </c>
      <c r="L20" s="1985">
        <v>2</v>
      </c>
      <c r="M20" s="1985"/>
      <c r="N20" s="1983">
        <v>43178</v>
      </c>
    </row>
    <row r="21" spans="1:14">
      <c r="A21" s="1982" t="s">
        <v>1498</v>
      </c>
      <c r="B21" s="1987" t="s">
        <v>1279</v>
      </c>
      <c r="C21" s="1986">
        <v>43178</v>
      </c>
      <c r="D21" s="1986">
        <v>43178</v>
      </c>
      <c r="E21" s="1990" t="s">
        <v>951</v>
      </c>
      <c r="F21" s="1982" t="s">
        <v>723</v>
      </c>
      <c r="G21" s="1988" t="s">
        <v>952</v>
      </c>
      <c r="H21" s="1991">
        <v>2.4</v>
      </c>
      <c r="I21" s="1992">
        <v>2.4</v>
      </c>
      <c r="J21" s="1991" t="s">
        <v>953</v>
      </c>
      <c r="K21" s="1982" t="s">
        <v>941</v>
      </c>
      <c r="L21" s="1993">
        <v>0.26</v>
      </c>
      <c r="M21" s="1985">
        <v>4</v>
      </c>
      <c r="N21" s="1983">
        <v>43182</v>
      </c>
    </row>
    <row r="22" spans="1:14">
      <c r="A22" s="1413"/>
      <c r="B22" s="1411"/>
      <c r="C22" s="1410"/>
      <c r="D22" s="1410"/>
      <c r="E22" s="1414"/>
      <c r="F22" s="1407"/>
      <c r="G22" s="1412"/>
      <c r="H22" s="1415"/>
      <c r="I22" s="1416"/>
      <c r="J22" s="1415"/>
      <c r="K22" s="1407"/>
      <c r="L22" s="1417"/>
      <c r="M22" s="1409"/>
      <c r="N22" s="1408"/>
    </row>
    <row r="23" spans="1:14">
      <c r="A23" s="2022" t="s">
        <v>1507</v>
      </c>
      <c r="B23" s="2027" t="s">
        <v>950</v>
      </c>
      <c r="C23" s="2026">
        <v>43199</v>
      </c>
      <c r="D23" s="2026">
        <v>43199</v>
      </c>
      <c r="E23" s="2022" t="s">
        <v>954</v>
      </c>
      <c r="F23" s="2022" t="s">
        <v>723</v>
      </c>
      <c r="G23" s="2028" t="s">
        <v>955</v>
      </c>
      <c r="H23" s="2024">
        <v>74</v>
      </c>
      <c r="I23" s="2029">
        <v>74</v>
      </c>
      <c r="J23" s="2024"/>
      <c r="K23" s="2022" t="s">
        <v>944</v>
      </c>
      <c r="L23" s="2025">
        <v>2</v>
      </c>
      <c r="M23" s="2025"/>
      <c r="N23" s="2023">
        <v>43199</v>
      </c>
    </row>
    <row r="24" spans="1:14">
      <c r="A24" s="2022" t="s">
        <v>1507</v>
      </c>
      <c r="B24" s="2027" t="s">
        <v>950</v>
      </c>
      <c r="C24" s="2026">
        <v>43199</v>
      </c>
      <c r="D24" s="2026">
        <v>43199</v>
      </c>
      <c r="E24" s="2030" t="s">
        <v>951</v>
      </c>
      <c r="F24" s="2022" t="s">
        <v>723</v>
      </c>
      <c r="G24" s="2028" t="s">
        <v>952</v>
      </c>
      <c r="H24" s="2031">
        <v>1.4</v>
      </c>
      <c r="I24" s="2032">
        <v>1.4</v>
      </c>
      <c r="J24" s="2031" t="s">
        <v>953</v>
      </c>
      <c r="K24" s="2022" t="s">
        <v>941</v>
      </c>
      <c r="L24" s="2033">
        <v>0.26</v>
      </c>
      <c r="M24" s="2025">
        <v>4</v>
      </c>
      <c r="N24" s="2023">
        <v>43205</v>
      </c>
    </row>
    <row r="25" spans="1:14">
      <c r="A25" s="2022" t="s">
        <v>1508</v>
      </c>
      <c r="B25" s="2027" t="s">
        <v>956</v>
      </c>
      <c r="C25" s="2026">
        <v>43199</v>
      </c>
      <c r="D25" s="2026">
        <v>43199</v>
      </c>
      <c r="E25" s="2022" t="s">
        <v>954</v>
      </c>
      <c r="F25" s="2022" t="s">
        <v>723</v>
      </c>
      <c r="G25" s="2028" t="s">
        <v>955</v>
      </c>
      <c r="H25" s="2024">
        <v>110</v>
      </c>
      <c r="I25" s="2029">
        <v>110</v>
      </c>
      <c r="J25" s="2024"/>
      <c r="K25" s="2022" t="s">
        <v>944</v>
      </c>
      <c r="L25" s="2025">
        <v>2</v>
      </c>
      <c r="M25" s="2025"/>
      <c r="N25" s="2023">
        <v>43199</v>
      </c>
    </row>
    <row r="26" spans="1:14">
      <c r="A26" s="2022" t="s">
        <v>1508</v>
      </c>
      <c r="B26" s="2027" t="s">
        <v>956</v>
      </c>
      <c r="C26" s="2026">
        <v>43199</v>
      </c>
      <c r="D26" s="2026">
        <v>43199</v>
      </c>
      <c r="E26" s="2030" t="s">
        <v>951</v>
      </c>
      <c r="F26" s="2022" t="s">
        <v>723</v>
      </c>
      <c r="G26" s="2028" t="s">
        <v>952</v>
      </c>
      <c r="H26" s="2031">
        <v>1.5</v>
      </c>
      <c r="I26" s="2032">
        <v>1.5</v>
      </c>
      <c r="J26" s="2031" t="s">
        <v>953</v>
      </c>
      <c r="K26" s="2022" t="s">
        <v>941</v>
      </c>
      <c r="L26" s="2033">
        <v>0.26</v>
      </c>
      <c r="M26" s="2025">
        <v>4</v>
      </c>
      <c r="N26" s="2023">
        <v>43205</v>
      </c>
    </row>
    <row r="27" spans="1:14">
      <c r="A27" s="2022" t="s">
        <v>1509</v>
      </c>
      <c r="B27" s="2027" t="s">
        <v>1279</v>
      </c>
      <c r="C27" s="2026">
        <v>43199</v>
      </c>
      <c r="D27" s="2026">
        <v>43199</v>
      </c>
      <c r="E27" s="2022" t="s">
        <v>954</v>
      </c>
      <c r="F27" s="2022" t="s">
        <v>723</v>
      </c>
      <c r="G27" s="2028" t="s">
        <v>955</v>
      </c>
      <c r="H27" s="2024">
        <v>550</v>
      </c>
      <c r="I27" s="2029">
        <v>550</v>
      </c>
      <c r="J27" s="2024"/>
      <c r="K27" s="2022" t="s">
        <v>944</v>
      </c>
      <c r="L27" s="2025">
        <v>2</v>
      </c>
      <c r="M27" s="2025"/>
      <c r="N27" s="2023">
        <v>43199</v>
      </c>
    </row>
    <row r="28" spans="1:14">
      <c r="A28" s="2022" t="s">
        <v>1509</v>
      </c>
      <c r="B28" s="2027" t="s">
        <v>1279</v>
      </c>
      <c r="C28" s="2026">
        <v>43199</v>
      </c>
      <c r="D28" s="2026">
        <v>43199</v>
      </c>
      <c r="E28" s="2030" t="s">
        <v>951</v>
      </c>
      <c r="F28" s="2022" t="s">
        <v>723</v>
      </c>
      <c r="G28" s="2028" t="s">
        <v>952</v>
      </c>
      <c r="H28" s="2031">
        <v>1.6</v>
      </c>
      <c r="I28" s="2032">
        <v>1.6</v>
      </c>
      <c r="J28" s="2031" t="s">
        <v>953</v>
      </c>
      <c r="K28" s="2022" t="s">
        <v>941</v>
      </c>
      <c r="L28" s="2033">
        <v>0.26</v>
      </c>
      <c r="M28" s="2025">
        <v>4</v>
      </c>
      <c r="N28" s="2023">
        <v>43205</v>
      </c>
    </row>
    <row r="29" spans="1:14">
      <c r="A29" s="1429"/>
      <c r="B29" s="1426"/>
      <c r="C29" s="1425"/>
      <c r="D29" s="1425"/>
      <c r="E29" s="1421"/>
      <c r="F29" s="1421"/>
      <c r="G29" s="1427"/>
      <c r="H29" s="1423"/>
      <c r="I29" s="1428"/>
      <c r="J29" s="1423"/>
      <c r="K29" s="1430"/>
      <c r="L29" s="1424"/>
      <c r="M29" s="1424"/>
      <c r="N29" s="1422"/>
    </row>
    <row r="30" spans="1:14">
      <c r="A30" s="2062" t="s">
        <v>1519</v>
      </c>
      <c r="B30" s="2067" t="s">
        <v>950</v>
      </c>
      <c r="C30" s="2066">
        <v>43234</v>
      </c>
      <c r="D30" s="2066">
        <v>43234</v>
      </c>
      <c r="E30" s="2062" t="s">
        <v>954</v>
      </c>
      <c r="F30" s="2062" t="s">
        <v>723</v>
      </c>
      <c r="G30" s="2068" t="s">
        <v>955</v>
      </c>
      <c r="H30" s="2064">
        <v>70</v>
      </c>
      <c r="I30" s="2069">
        <v>70</v>
      </c>
      <c r="J30" s="2064"/>
      <c r="K30" s="2062" t="s">
        <v>944</v>
      </c>
      <c r="L30" s="2065">
        <v>2</v>
      </c>
      <c r="M30" s="2065"/>
      <c r="N30" s="2063">
        <v>43234</v>
      </c>
    </row>
    <row r="31" spans="1:14">
      <c r="A31" s="2062" t="s">
        <v>1519</v>
      </c>
      <c r="B31" s="2067" t="s">
        <v>950</v>
      </c>
      <c r="C31" s="2066">
        <v>43234</v>
      </c>
      <c r="D31" s="2066">
        <v>43234</v>
      </c>
      <c r="E31" s="2070" t="s">
        <v>951</v>
      </c>
      <c r="F31" s="2062" t="s">
        <v>723</v>
      </c>
      <c r="G31" s="2068" t="s">
        <v>952</v>
      </c>
      <c r="H31" s="2072">
        <v>1.5</v>
      </c>
      <c r="I31" s="2073">
        <v>1.5</v>
      </c>
      <c r="J31" s="2072" t="s">
        <v>953</v>
      </c>
      <c r="K31" s="2062" t="s">
        <v>941</v>
      </c>
      <c r="L31" s="2074">
        <v>0.26</v>
      </c>
      <c r="M31" s="2065">
        <v>4</v>
      </c>
      <c r="N31" s="2063">
        <v>43241</v>
      </c>
    </row>
    <row r="32" spans="1:14">
      <c r="A32" s="2062" t="s">
        <v>1521</v>
      </c>
      <c r="B32" s="2067" t="s">
        <v>956</v>
      </c>
      <c r="C32" s="2066">
        <v>43234</v>
      </c>
      <c r="D32" s="2066">
        <v>43234</v>
      </c>
      <c r="E32" s="2062" t="s">
        <v>954</v>
      </c>
      <c r="F32" s="2062" t="s">
        <v>723</v>
      </c>
      <c r="G32" s="2068" t="s">
        <v>955</v>
      </c>
      <c r="H32" s="2064">
        <v>92</v>
      </c>
      <c r="I32" s="2069">
        <v>92</v>
      </c>
      <c r="J32" s="2064"/>
      <c r="K32" s="2062" t="s">
        <v>944</v>
      </c>
      <c r="L32" s="2065">
        <v>2</v>
      </c>
      <c r="M32" s="2065"/>
      <c r="N32" s="2063">
        <v>43234</v>
      </c>
    </row>
    <row r="33" spans="1:14">
      <c r="A33" s="2062" t="s">
        <v>1521</v>
      </c>
      <c r="B33" s="2067" t="s">
        <v>956</v>
      </c>
      <c r="C33" s="2066">
        <v>43234</v>
      </c>
      <c r="D33" s="2066">
        <v>43234</v>
      </c>
      <c r="E33" s="2070" t="s">
        <v>951</v>
      </c>
      <c r="F33" s="2062" t="s">
        <v>723</v>
      </c>
      <c r="G33" s="2068" t="s">
        <v>952</v>
      </c>
      <c r="H33" s="2072">
        <v>1.6</v>
      </c>
      <c r="I33" s="2073">
        <v>1.6</v>
      </c>
      <c r="J33" s="2072" t="s">
        <v>953</v>
      </c>
      <c r="K33" s="2062" t="s">
        <v>941</v>
      </c>
      <c r="L33" s="2074">
        <v>0.26</v>
      </c>
      <c r="M33" s="2065">
        <v>4</v>
      </c>
      <c r="N33" s="2063">
        <v>43241</v>
      </c>
    </row>
    <row r="34" spans="1:14">
      <c r="A34" s="2062" t="s">
        <v>1520</v>
      </c>
      <c r="B34" s="2067" t="s">
        <v>1279</v>
      </c>
      <c r="C34" s="2066">
        <v>43234</v>
      </c>
      <c r="D34" s="2066">
        <v>43234</v>
      </c>
      <c r="E34" s="2062" t="s">
        <v>954</v>
      </c>
      <c r="F34" s="2062" t="s">
        <v>723</v>
      </c>
      <c r="G34" s="2068" t="s">
        <v>955</v>
      </c>
      <c r="H34" s="2064">
        <v>492</v>
      </c>
      <c r="I34" s="2069">
        <v>492</v>
      </c>
      <c r="J34" s="2064"/>
      <c r="K34" s="2062" t="s">
        <v>944</v>
      </c>
      <c r="L34" s="2065">
        <v>2</v>
      </c>
      <c r="M34" s="2065"/>
      <c r="N34" s="2063">
        <v>43234</v>
      </c>
    </row>
    <row r="35" spans="1:14">
      <c r="A35" s="2062" t="s">
        <v>1520</v>
      </c>
      <c r="B35" s="2067" t="s">
        <v>1279</v>
      </c>
      <c r="C35" s="2066">
        <v>43234</v>
      </c>
      <c r="D35" s="2066">
        <v>43234</v>
      </c>
      <c r="E35" s="2070" t="s">
        <v>951</v>
      </c>
      <c r="F35" s="2062" t="s">
        <v>723</v>
      </c>
      <c r="G35" s="2068" t="s">
        <v>952</v>
      </c>
      <c r="H35" s="2072">
        <v>2.4</v>
      </c>
      <c r="I35" s="2073">
        <v>2.4</v>
      </c>
      <c r="J35" s="2072" t="s">
        <v>953</v>
      </c>
      <c r="K35" s="2062" t="s">
        <v>941</v>
      </c>
      <c r="L35" s="2074">
        <v>0.26</v>
      </c>
      <c r="M35" s="2065">
        <v>4</v>
      </c>
      <c r="N35" s="2063">
        <v>43241</v>
      </c>
    </row>
    <row r="36" spans="1:14">
      <c r="A36" s="530"/>
      <c r="B36" s="72"/>
      <c r="C36" s="109"/>
      <c r="D36" s="109"/>
      <c r="E36" s="286"/>
      <c r="F36" s="531"/>
      <c r="G36" s="61"/>
      <c r="H36" s="284"/>
      <c r="I36" s="427"/>
      <c r="J36" s="284"/>
      <c r="K36" s="531"/>
      <c r="L36" s="1360"/>
      <c r="M36" s="218"/>
      <c r="N36" s="219"/>
    </row>
    <row r="37" spans="1:14">
      <c r="A37" s="2113" t="s">
        <v>1531</v>
      </c>
      <c r="B37" s="2118" t="s">
        <v>950</v>
      </c>
      <c r="C37" s="2117">
        <v>43262</v>
      </c>
      <c r="D37" s="2117">
        <v>43262</v>
      </c>
      <c r="E37" s="2113" t="s">
        <v>954</v>
      </c>
      <c r="F37" s="2113" t="s">
        <v>723</v>
      </c>
      <c r="G37" s="2119" t="s">
        <v>955</v>
      </c>
      <c r="H37" s="2115">
        <v>64</v>
      </c>
      <c r="I37" s="2120">
        <v>64</v>
      </c>
      <c r="J37" s="2115"/>
      <c r="K37" s="2113" t="s">
        <v>944</v>
      </c>
      <c r="L37" s="2116">
        <v>2</v>
      </c>
      <c r="M37" s="2116"/>
      <c r="N37" s="2114">
        <v>43262</v>
      </c>
    </row>
    <row r="38" spans="1:14">
      <c r="A38" s="2113" t="s">
        <v>1531</v>
      </c>
      <c r="B38" s="2118" t="s">
        <v>950</v>
      </c>
      <c r="C38" s="2117">
        <v>43262</v>
      </c>
      <c r="D38" s="2117">
        <v>43262</v>
      </c>
      <c r="E38" s="2121" t="s">
        <v>951</v>
      </c>
      <c r="F38" s="2113" t="s">
        <v>723</v>
      </c>
      <c r="G38" s="2119" t="s">
        <v>952</v>
      </c>
      <c r="H38" s="2122">
        <v>1.8</v>
      </c>
      <c r="I38" s="2123">
        <v>1.8</v>
      </c>
      <c r="J38" s="2122" t="s">
        <v>953</v>
      </c>
      <c r="K38" s="2113" t="s">
        <v>941</v>
      </c>
      <c r="L38" s="2124">
        <v>0.26</v>
      </c>
      <c r="M38" s="2116">
        <v>4</v>
      </c>
      <c r="N38" s="2114">
        <v>43294</v>
      </c>
    </row>
    <row r="39" spans="1:14">
      <c r="A39" s="2113" t="s">
        <v>1533</v>
      </c>
      <c r="B39" s="2118" t="s">
        <v>956</v>
      </c>
      <c r="C39" s="2117">
        <v>43262</v>
      </c>
      <c r="D39" s="2117">
        <v>43262</v>
      </c>
      <c r="E39" s="2113" t="s">
        <v>954</v>
      </c>
      <c r="F39" s="2113" t="s">
        <v>723</v>
      </c>
      <c r="G39" s="2119" t="s">
        <v>955</v>
      </c>
      <c r="H39" s="2115">
        <v>94</v>
      </c>
      <c r="I39" s="2120">
        <v>94</v>
      </c>
      <c r="J39" s="2115"/>
      <c r="K39" s="2113" t="s">
        <v>944</v>
      </c>
      <c r="L39" s="2116">
        <v>2</v>
      </c>
      <c r="M39" s="2116"/>
      <c r="N39" s="2114">
        <v>43262</v>
      </c>
    </row>
    <row r="40" spans="1:14">
      <c r="A40" s="2113" t="s">
        <v>1533</v>
      </c>
      <c r="B40" s="2118" t="s">
        <v>956</v>
      </c>
      <c r="C40" s="2117">
        <v>43262</v>
      </c>
      <c r="D40" s="2117">
        <v>43262</v>
      </c>
      <c r="E40" s="2121" t="s">
        <v>951</v>
      </c>
      <c r="F40" s="2113" t="s">
        <v>723</v>
      </c>
      <c r="G40" s="2119" t="s">
        <v>952</v>
      </c>
      <c r="H40" s="2122">
        <v>1.4</v>
      </c>
      <c r="I40" s="2123">
        <v>1.4</v>
      </c>
      <c r="J40" s="2122" t="s">
        <v>953</v>
      </c>
      <c r="K40" s="2113" t="s">
        <v>941</v>
      </c>
      <c r="L40" s="2124">
        <v>0.26</v>
      </c>
      <c r="M40" s="2116">
        <v>4</v>
      </c>
      <c r="N40" s="2114">
        <v>43294</v>
      </c>
    </row>
    <row r="41" spans="1:14">
      <c r="A41" s="2113" t="s">
        <v>1532</v>
      </c>
      <c r="B41" s="2118" t="s">
        <v>1279</v>
      </c>
      <c r="C41" s="2117">
        <v>43262</v>
      </c>
      <c r="D41" s="2117">
        <v>43262</v>
      </c>
      <c r="E41" s="2113" t="s">
        <v>954</v>
      </c>
      <c r="F41" s="2113" t="s">
        <v>723</v>
      </c>
      <c r="G41" s="2119" t="s">
        <v>955</v>
      </c>
      <c r="H41" s="2115">
        <v>550</v>
      </c>
      <c r="I41" s="2120">
        <v>550</v>
      </c>
      <c r="J41" s="2115"/>
      <c r="K41" s="2113" t="s">
        <v>944</v>
      </c>
      <c r="L41" s="2116">
        <v>2</v>
      </c>
      <c r="M41" s="2116"/>
      <c r="N41" s="2114">
        <v>43262</v>
      </c>
    </row>
    <row r="42" spans="1:14">
      <c r="A42" s="2113" t="s">
        <v>1532</v>
      </c>
      <c r="B42" s="2118" t="s">
        <v>1279</v>
      </c>
      <c r="C42" s="2117">
        <v>43262</v>
      </c>
      <c r="D42" s="2117">
        <v>43262</v>
      </c>
      <c r="E42" s="2121" t="s">
        <v>951</v>
      </c>
      <c r="F42" s="2113" t="s">
        <v>723</v>
      </c>
      <c r="G42" s="2119" t="s">
        <v>952</v>
      </c>
      <c r="H42" s="2122">
        <v>1.8</v>
      </c>
      <c r="I42" s="2123">
        <v>1.8</v>
      </c>
      <c r="J42" s="2122" t="s">
        <v>953</v>
      </c>
      <c r="K42" s="2113" t="s">
        <v>941</v>
      </c>
      <c r="L42" s="2124">
        <v>0.26</v>
      </c>
      <c r="M42" s="2116">
        <v>4</v>
      </c>
      <c r="N42" s="2114">
        <v>43294</v>
      </c>
    </row>
    <row r="43" spans="1:14" s="358" customFormat="1">
      <c r="A43" s="2227"/>
      <c r="B43" s="2231"/>
      <c r="C43" s="2230"/>
      <c r="D43" s="2230"/>
      <c r="E43" s="2233"/>
      <c r="F43" s="2227"/>
      <c r="G43" s="2232"/>
      <c r="H43" s="2234"/>
      <c r="I43" s="2235"/>
      <c r="J43" s="2234"/>
      <c r="K43" s="2227"/>
      <c r="L43" s="2236"/>
      <c r="M43" s="2229"/>
      <c r="N43" s="2228"/>
    </row>
    <row r="44" spans="1:14" s="358" customFormat="1">
      <c r="A44" s="2322" t="s">
        <v>1605</v>
      </c>
      <c r="B44" s="2327" t="s">
        <v>950</v>
      </c>
      <c r="C44" s="2230">
        <v>43290</v>
      </c>
      <c r="D44" s="2230"/>
      <c r="E44" s="2322" t="s">
        <v>954</v>
      </c>
      <c r="F44" s="2322" t="s">
        <v>723</v>
      </c>
      <c r="G44" s="2328" t="s">
        <v>955</v>
      </c>
      <c r="H44" s="2234">
        <v>76</v>
      </c>
      <c r="I44" s="2235"/>
      <c r="J44" s="2234"/>
      <c r="K44" s="2322" t="s">
        <v>944</v>
      </c>
      <c r="L44" s="2325">
        <v>2</v>
      </c>
      <c r="M44" s="2325"/>
      <c r="N44" s="2228"/>
    </row>
    <row r="45" spans="1:14" s="358" customFormat="1">
      <c r="A45" s="2322" t="s">
        <v>1605</v>
      </c>
      <c r="B45" s="2327" t="s">
        <v>950</v>
      </c>
      <c r="C45" s="2230">
        <v>43290</v>
      </c>
      <c r="D45" s="2230"/>
      <c r="E45" s="2333" t="s">
        <v>951</v>
      </c>
      <c r="F45" s="2322" t="s">
        <v>723</v>
      </c>
      <c r="G45" s="2328" t="s">
        <v>952</v>
      </c>
      <c r="H45" s="2234">
        <v>4.7</v>
      </c>
      <c r="I45" s="2235"/>
      <c r="J45" s="2234"/>
      <c r="K45" s="2322" t="s">
        <v>941</v>
      </c>
      <c r="L45" s="2341">
        <v>0.26</v>
      </c>
      <c r="M45" s="2325">
        <v>4</v>
      </c>
      <c r="N45" s="2228"/>
    </row>
    <row r="46" spans="1:14" s="358" customFormat="1">
      <c r="A46" s="2322" t="s">
        <v>1607</v>
      </c>
      <c r="B46" s="2327" t="s">
        <v>956</v>
      </c>
      <c r="C46" s="2326">
        <v>43290</v>
      </c>
      <c r="D46" s="109"/>
      <c r="E46" s="2322" t="s">
        <v>954</v>
      </c>
      <c r="F46" s="2322" t="s">
        <v>723</v>
      </c>
      <c r="G46" s="2328" t="s">
        <v>955</v>
      </c>
      <c r="H46" s="287">
        <v>104</v>
      </c>
      <c r="I46" s="285"/>
      <c r="J46" s="287"/>
      <c r="K46" s="2322" t="s">
        <v>944</v>
      </c>
      <c r="L46" s="2325">
        <v>2</v>
      </c>
      <c r="M46" s="2325"/>
      <c r="N46" s="2228"/>
    </row>
    <row r="47" spans="1:14" s="358" customFormat="1">
      <c r="A47" s="2322" t="s">
        <v>1607</v>
      </c>
      <c r="B47" s="2327" t="s">
        <v>956</v>
      </c>
      <c r="C47" s="2326">
        <v>43290</v>
      </c>
      <c r="D47" s="109"/>
      <c r="E47" s="2333" t="s">
        <v>951</v>
      </c>
      <c r="F47" s="2322" t="s">
        <v>723</v>
      </c>
      <c r="G47" s="2328" t="s">
        <v>952</v>
      </c>
      <c r="H47" s="1462">
        <v>4.9000000000000004</v>
      </c>
      <c r="I47" s="1463"/>
      <c r="J47" s="284"/>
      <c r="K47" s="2322" t="s">
        <v>941</v>
      </c>
      <c r="L47" s="2341">
        <v>0.26</v>
      </c>
      <c r="M47" s="2325">
        <v>4</v>
      </c>
      <c r="N47" s="2228"/>
    </row>
    <row r="48" spans="1:14">
      <c r="A48" s="2322" t="s">
        <v>1606</v>
      </c>
      <c r="B48" s="2327" t="s">
        <v>1279</v>
      </c>
      <c r="C48" s="2326">
        <v>43290</v>
      </c>
      <c r="D48" s="2230"/>
      <c r="E48" s="2322" t="s">
        <v>954</v>
      </c>
      <c r="F48" s="2322" t="s">
        <v>723</v>
      </c>
      <c r="G48" s="2328" t="s">
        <v>955</v>
      </c>
      <c r="H48" s="2234">
        <v>610</v>
      </c>
      <c r="I48" s="2235"/>
      <c r="J48" s="2234"/>
      <c r="K48" s="2322" t="s">
        <v>944</v>
      </c>
      <c r="L48" s="2325">
        <v>2</v>
      </c>
      <c r="M48" s="2325"/>
      <c r="N48" s="219"/>
    </row>
    <row r="49" spans="1:14">
      <c r="A49" s="2322" t="s">
        <v>1606</v>
      </c>
      <c r="B49" s="2327" t="s">
        <v>1279</v>
      </c>
      <c r="C49" s="2326">
        <v>43290</v>
      </c>
      <c r="D49" s="2230"/>
      <c r="E49" s="2333" t="s">
        <v>951</v>
      </c>
      <c r="F49" s="2322" t="s">
        <v>723</v>
      </c>
      <c r="G49" s="2328" t="s">
        <v>952</v>
      </c>
      <c r="H49" s="2234">
        <v>1.4</v>
      </c>
      <c r="I49" s="2235"/>
      <c r="J49" s="2234"/>
      <c r="K49" s="2322" t="s">
        <v>941</v>
      </c>
      <c r="L49" s="2341">
        <v>0.26</v>
      </c>
      <c r="M49" s="2325">
        <v>4</v>
      </c>
      <c r="N49" s="219"/>
    </row>
    <row r="50" spans="1:14" s="358" customFormat="1">
      <c r="A50" s="2702"/>
      <c r="B50" s="2707"/>
      <c r="C50" s="2706"/>
      <c r="D50" s="109"/>
      <c r="E50" s="2711"/>
      <c r="F50" s="2702"/>
      <c r="G50" s="2708"/>
      <c r="H50" s="1462"/>
      <c r="I50" s="1463"/>
      <c r="J50" s="284"/>
      <c r="K50" s="2702"/>
      <c r="L50" s="2341"/>
      <c r="M50" s="2705"/>
      <c r="N50" s="219"/>
    </row>
    <row r="51" spans="1:14">
      <c r="A51" s="2214" t="s">
        <v>1555</v>
      </c>
      <c r="B51" s="2219" t="s">
        <v>950</v>
      </c>
      <c r="C51" s="2218">
        <v>43319</v>
      </c>
      <c r="D51" s="2218">
        <v>43319</v>
      </c>
      <c r="E51" s="2214" t="s">
        <v>954</v>
      </c>
      <c r="F51" s="2214" t="s">
        <v>723</v>
      </c>
      <c r="G51" s="2220" t="s">
        <v>955</v>
      </c>
      <c r="H51" s="2216">
        <v>66</v>
      </c>
      <c r="I51" s="2221">
        <v>66</v>
      </c>
      <c r="J51" s="2216"/>
      <c r="K51" s="2214" t="s">
        <v>944</v>
      </c>
      <c r="L51" s="2217">
        <v>2</v>
      </c>
      <c r="M51" s="2217"/>
      <c r="N51" s="2215">
        <v>43319</v>
      </c>
    </row>
    <row r="52" spans="1:14">
      <c r="A52" s="2214" t="s">
        <v>1555</v>
      </c>
      <c r="B52" s="2219" t="s">
        <v>950</v>
      </c>
      <c r="C52" s="2218">
        <v>43319</v>
      </c>
      <c r="D52" s="2218">
        <v>43319</v>
      </c>
      <c r="E52" s="2222" t="s">
        <v>951</v>
      </c>
      <c r="F52" s="2214" t="s">
        <v>723</v>
      </c>
      <c r="G52" s="2220" t="s">
        <v>952</v>
      </c>
      <c r="H52" s="2225">
        <v>2</v>
      </c>
      <c r="I52" s="2226">
        <v>2</v>
      </c>
      <c r="J52" s="2223" t="s">
        <v>953</v>
      </c>
      <c r="K52" s="2214" t="s">
        <v>941</v>
      </c>
      <c r="L52" s="2224">
        <v>0.26</v>
      </c>
      <c r="M52" s="2217">
        <v>4</v>
      </c>
      <c r="N52" s="2215">
        <v>43333</v>
      </c>
    </row>
    <row r="53" spans="1:14">
      <c r="A53" s="2237" t="s">
        <v>1556</v>
      </c>
      <c r="B53" s="2242" t="s">
        <v>956</v>
      </c>
      <c r="C53" s="2241">
        <v>43319</v>
      </c>
      <c r="D53" s="2241">
        <v>43319</v>
      </c>
      <c r="E53" s="2237" t="s">
        <v>954</v>
      </c>
      <c r="F53" s="2237" t="s">
        <v>723</v>
      </c>
      <c r="G53" s="2243" t="s">
        <v>955</v>
      </c>
      <c r="H53" s="2239">
        <v>92</v>
      </c>
      <c r="I53" s="2244">
        <v>92</v>
      </c>
      <c r="J53" s="2239"/>
      <c r="K53" s="2237" t="s">
        <v>944</v>
      </c>
      <c r="L53" s="2240">
        <v>2</v>
      </c>
      <c r="M53" s="2240"/>
      <c r="N53" s="2238">
        <v>43319</v>
      </c>
    </row>
    <row r="54" spans="1:14">
      <c r="A54" s="2237" t="s">
        <v>1556</v>
      </c>
      <c r="B54" s="2242" t="s">
        <v>956</v>
      </c>
      <c r="C54" s="2241">
        <v>43319</v>
      </c>
      <c r="D54" s="2241">
        <v>43319</v>
      </c>
      <c r="E54" s="2245" t="s">
        <v>951</v>
      </c>
      <c r="F54" s="2237" t="s">
        <v>723</v>
      </c>
      <c r="G54" s="2243" t="s">
        <v>952</v>
      </c>
      <c r="H54" s="2246">
        <v>2.2999999999999998</v>
      </c>
      <c r="I54" s="2247">
        <v>2.2999999999999998</v>
      </c>
      <c r="J54" s="2246" t="s">
        <v>953</v>
      </c>
      <c r="K54" s="2237" t="s">
        <v>941</v>
      </c>
      <c r="L54" s="2248">
        <v>0.26</v>
      </c>
      <c r="M54" s="2240">
        <v>4</v>
      </c>
      <c r="N54" s="2238">
        <v>43333</v>
      </c>
    </row>
    <row r="55" spans="1:14">
      <c r="A55" s="2201" t="s">
        <v>1554</v>
      </c>
      <c r="B55" s="2206" t="s">
        <v>1279</v>
      </c>
      <c r="C55" s="2205">
        <v>43319</v>
      </c>
      <c r="D55" s="2205">
        <v>43319</v>
      </c>
      <c r="E55" s="2201" t="s">
        <v>954</v>
      </c>
      <c r="F55" s="2201" t="s">
        <v>723</v>
      </c>
      <c r="G55" s="2207" t="s">
        <v>955</v>
      </c>
      <c r="H55" s="2203">
        <v>570</v>
      </c>
      <c r="I55" s="2208">
        <v>570</v>
      </c>
      <c r="J55" s="2203"/>
      <c r="K55" s="2201" t="s">
        <v>944</v>
      </c>
      <c r="L55" s="2204">
        <v>2</v>
      </c>
      <c r="M55" s="2204"/>
      <c r="N55" s="2202">
        <v>43319</v>
      </c>
    </row>
    <row r="56" spans="1:14">
      <c r="A56" s="2201" t="s">
        <v>1554</v>
      </c>
      <c r="B56" s="2206" t="s">
        <v>1279</v>
      </c>
      <c r="C56" s="2205">
        <v>43319</v>
      </c>
      <c r="D56" s="2205">
        <v>43319</v>
      </c>
      <c r="E56" s="2209" t="s">
        <v>951</v>
      </c>
      <c r="F56" s="2201" t="s">
        <v>723</v>
      </c>
      <c r="G56" s="2207" t="s">
        <v>952</v>
      </c>
      <c r="H56" s="2212">
        <v>2</v>
      </c>
      <c r="I56" s="2213">
        <v>2</v>
      </c>
      <c r="J56" s="2210" t="s">
        <v>953</v>
      </c>
      <c r="K56" s="2201" t="s">
        <v>941</v>
      </c>
      <c r="L56" s="2211">
        <v>0.26</v>
      </c>
      <c r="M56" s="2204">
        <v>4</v>
      </c>
      <c r="N56" s="2202">
        <v>43333</v>
      </c>
    </row>
    <row r="57" spans="1:14">
      <c r="B57" s="72"/>
      <c r="C57" s="109"/>
      <c r="D57" s="109"/>
      <c r="E57" s="531"/>
      <c r="F57" s="531"/>
      <c r="G57" s="61"/>
      <c r="H57" s="287"/>
      <c r="I57" s="285"/>
      <c r="K57" s="205"/>
      <c r="L57" s="218"/>
      <c r="M57" s="218"/>
      <c r="N57" s="219"/>
    </row>
    <row r="58" spans="1:14">
      <c r="A58" s="2291" t="s">
        <v>1564</v>
      </c>
      <c r="B58" s="2296" t="s">
        <v>950</v>
      </c>
      <c r="C58" s="2295">
        <v>43353</v>
      </c>
      <c r="D58" s="2295">
        <v>43353</v>
      </c>
      <c r="E58" s="2291" t="s">
        <v>954</v>
      </c>
      <c r="F58" s="2291" t="s">
        <v>723</v>
      </c>
      <c r="G58" s="2297" t="s">
        <v>955</v>
      </c>
      <c r="H58" s="2293">
        <v>62</v>
      </c>
      <c r="I58" s="2298">
        <v>62</v>
      </c>
      <c r="J58" s="2293"/>
      <c r="K58" s="2291" t="s">
        <v>944</v>
      </c>
      <c r="L58" s="2294">
        <v>2</v>
      </c>
      <c r="M58" s="2294"/>
      <c r="N58" s="2292">
        <v>43353</v>
      </c>
    </row>
    <row r="59" spans="1:14">
      <c r="A59" s="2291" t="s">
        <v>1564</v>
      </c>
      <c r="B59" s="2296" t="s">
        <v>950</v>
      </c>
      <c r="C59" s="2295">
        <v>43353</v>
      </c>
      <c r="D59" s="2295">
        <v>43353</v>
      </c>
      <c r="E59" s="2299" t="s">
        <v>951</v>
      </c>
      <c r="F59" s="2291" t="s">
        <v>723</v>
      </c>
      <c r="G59" s="2297" t="s">
        <v>952</v>
      </c>
      <c r="H59" s="2300">
        <v>1.4</v>
      </c>
      <c r="I59" s="2301">
        <v>1.4</v>
      </c>
      <c r="J59" s="2300" t="s">
        <v>953</v>
      </c>
      <c r="K59" s="2291" t="s">
        <v>941</v>
      </c>
      <c r="L59" s="2302">
        <v>0.26</v>
      </c>
      <c r="M59" s="2294">
        <v>4</v>
      </c>
      <c r="N59" s="2292">
        <v>43363</v>
      </c>
    </row>
    <row r="60" spans="1:14">
      <c r="A60" s="2291" t="s">
        <v>1565</v>
      </c>
      <c r="B60" s="2296" t="s">
        <v>956</v>
      </c>
      <c r="C60" s="2295">
        <v>43353</v>
      </c>
      <c r="D60" s="2295">
        <v>43353</v>
      </c>
      <c r="E60" s="2291" t="s">
        <v>954</v>
      </c>
      <c r="F60" s="2291" t="s">
        <v>723</v>
      </c>
      <c r="G60" s="2297" t="s">
        <v>955</v>
      </c>
      <c r="H60" s="2293">
        <v>68</v>
      </c>
      <c r="I60" s="2298">
        <v>68</v>
      </c>
      <c r="J60" s="2293"/>
      <c r="K60" s="2291" t="s">
        <v>944</v>
      </c>
      <c r="L60" s="2294">
        <v>2</v>
      </c>
      <c r="M60" s="2294"/>
      <c r="N60" s="2292">
        <v>43353</v>
      </c>
    </row>
    <row r="61" spans="1:14">
      <c r="A61" s="2291" t="s">
        <v>1565</v>
      </c>
      <c r="B61" s="2296" t="s">
        <v>956</v>
      </c>
      <c r="C61" s="2295">
        <v>43353</v>
      </c>
      <c r="D61" s="2295">
        <v>43353</v>
      </c>
      <c r="E61" s="2299" t="s">
        <v>951</v>
      </c>
      <c r="F61" s="2291" t="s">
        <v>723</v>
      </c>
      <c r="G61" s="2297" t="s">
        <v>952</v>
      </c>
      <c r="H61" s="2300">
        <v>1.4</v>
      </c>
      <c r="I61" s="2301">
        <v>1.4</v>
      </c>
      <c r="J61" s="2300" t="s">
        <v>953</v>
      </c>
      <c r="K61" s="2291" t="s">
        <v>941</v>
      </c>
      <c r="L61" s="2302">
        <v>0.26</v>
      </c>
      <c r="M61" s="2294">
        <v>4</v>
      </c>
      <c r="N61" s="2292">
        <v>43363</v>
      </c>
    </row>
    <row r="62" spans="1:14">
      <c r="A62" s="2291" t="s">
        <v>1563</v>
      </c>
      <c r="B62" s="2296" t="s">
        <v>1279</v>
      </c>
      <c r="C62" s="2295">
        <v>43353</v>
      </c>
      <c r="D62" s="2295">
        <v>43353</v>
      </c>
      <c r="E62" s="2291" t="s">
        <v>954</v>
      </c>
      <c r="F62" s="2291" t="s">
        <v>723</v>
      </c>
      <c r="G62" s="2297" t="s">
        <v>955</v>
      </c>
      <c r="H62" s="2293">
        <v>550</v>
      </c>
      <c r="I62" s="2298">
        <v>550</v>
      </c>
      <c r="J62" s="2293"/>
      <c r="K62" s="2291" t="s">
        <v>944</v>
      </c>
      <c r="L62" s="2294">
        <v>2</v>
      </c>
      <c r="M62" s="2294"/>
      <c r="N62" s="2292">
        <v>43353</v>
      </c>
    </row>
    <row r="63" spans="1:14">
      <c r="A63" s="2291" t="s">
        <v>1563</v>
      </c>
      <c r="B63" s="2296" t="s">
        <v>1279</v>
      </c>
      <c r="C63" s="2295">
        <v>43353</v>
      </c>
      <c r="D63" s="2295">
        <v>43353</v>
      </c>
      <c r="E63" s="2299" t="s">
        <v>951</v>
      </c>
      <c r="F63" s="2291" t="s">
        <v>723</v>
      </c>
      <c r="G63" s="2297" t="s">
        <v>952</v>
      </c>
      <c r="H63" s="2300">
        <v>1.1000000000000001</v>
      </c>
      <c r="I63" s="2301">
        <v>1.1000000000000001</v>
      </c>
      <c r="J63" s="2300" t="s">
        <v>953</v>
      </c>
      <c r="K63" s="2291" t="s">
        <v>941</v>
      </c>
      <c r="L63" s="2302">
        <v>0.26</v>
      </c>
      <c r="M63" s="2294">
        <v>4</v>
      </c>
      <c r="N63" s="2292">
        <v>43362</v>
      </c>
    </row>
    <row r="64" spans="1:14">
      <c r="A64" s="1578"/>
      <c r="B64" s="1576"/>
      <c r="C64" s="1575"/>
      <c r="D64" s="1575"/>
      <c r="E64" s="1579"/>
      <c r="F64" s="1572"/>
      <c r="G64" s="1577"/>
      <c r="H64" s="1580"/>
      <c r="I64" s="1581"/>
      <c r="J64" s="1580"/>
      <c r="K64" s="1572"/>
      <c r="L64" s="1582"/>
      <c r="M64" s="1574"/>
      <c r="N64" s="1573"/>
    </row>
    <row r="65" spans="1:15">
      <c r="A65" s="2377" t="s">
        <v>1581</v>
      </c>
      <c r="B65" s="2382" t="s">
        <v>950</v>
      </c>
      <c r="C65" s="2381">
        <v>43388</v>
      </c>
      <c r="D65" s="2381">
        <v>43388</v>
      </c>
      <c r="E65" s="2377" t="s">
        <v>954</v>
      </c>
      <c r="F65" s="2377" t="s">
        <v>723</v>
      </c>
      <c r="G65" s="2383" t="s">
        <v>955</v>
      </c>
      <c r="H65" s="2379">
        <v>72</v>
      </c>
      <c r="I65" s="2384">
        <v>72</v>
      </c>
      <c r="J65" s="2379"/>
      <c r="K65" s="2377" t="s">
        <v>944</v>
      </c>
      <c r="L65" s="2380">
        <v>2</v>
      </c>
      <c r="M65" s="2380"/>
      <c r="N65" s="2378">
        <v>43388</v>
      </c>
    </row>
    <row r="66" spans="1:15">
      <c r="A66" s="2377" t="s">
        <v>1581</v>
      </c>
      <c r="B66" s="2382" t="s">
        <v>950</v>
      </c>
      <c r="C66" s="2381">
        <v>43388</v>
      </c>
      <c r="D66" s="2381">
        <v>43388</v>
      </c>
      <c r="E66" s="2385" t="s">
        <v>951</v>
      </c>
      <c r="F66" s="2377" t="s">
        <v>723</v>
      </c>
      <c r="G66" s="2383" t="s">
        <v>952</v>
      </c>
      <c r="H66" s="2386">
        <v>1.6</v>
      </c>
      <c r="I66" s="2387">
        <v>1.6</v>
      </c>
      <c r="J66" s="2386" t="s">
        <v>953</v>
      </c>
      <c r="K66" s="2377" t="s">
        <v>941</v>
      </c>
      <c r="L66" s="2388">
        <v>0.26</v>
      </c>
      <c r="M66" s="2380">
        <v>4</v>
      </c>
      <c r="N66" s="2378">
        <v>43393</v>
      </c>
    </row>
    <row r="67" spans="1:15">
      <c r="A67" s="2377" t="s">
        <v>1582</v>
      </c>
      <c r="B67" s="2382" t="s">
        <v>956</v>
      </c>
      <c r="C67" s="2381">
        <v>43388</v>
      </c>
      <c r="D67" s="2381">
        <v>43388</v>
      </c>
      <c r="E67" s="2377" t="s">
        <v>954</v>
      </c>
      <c r="F67" s="2377" t="s">
        <v>723</v>
      </c>
      <c r="G67" s="2383" t="s">
        <v>955</v>
      </c>
      <c r="H67" s="2379">
        <v>86</v>
      </c>
      <c r="I67" s="2384">
        <v>86</v>
      </c>
      <c r="J67" s="2379"/>
      <c r="K67" s="2377" t="s">
        <v>944</v>
      </c>
      <c r="L67" s="2380">
        <v>2</v>
      </c>
      <c r="M67" s="2380"/>
      <c r="N67" s="2378">
        <v>43388</v>
      </c>
    </row>
    <row r="68" spans="1:15">
      <c r="A68" s="2377" t="s">
        <v>1582</v>
      </c>
      <c r="B68" s="2382" t="s">
        <v>956</v>
      </c>
      <c r="C68" s="2381">
        <v>43388</v>
      </c>
      <c r="D68" s="2381">
        <v>43388</v>
      </c>
      <c r="E68" s="2385" t="s">
        <v>951</v>
      </c>
      <c r="F68" s="2377" t="s">
        <v>723</v>
      </c>
      <c r="G68" s="2383" t="s">
        <v>952</v>
      </c>
      <c r="H68" s="2386">
        <v>2</v>
      </c>
      <c r="I68" s="2387">
        <v>2</v>
      </c>
      <c r="J68" s="2386" t="s">
        <v>953</v>
      </c>
      <c r="K68" s="2377" t="s">
        <v>941</v>
      </c>
      <c r="L68" s="2388">
        <v>0.26</v>
      </c>
      <c r="M68" s="2380">
        <v>4</v>
      </c>
      <c r="N68" s="2378">
        <v>43393</v>
      </c>
    </row>
    <row r="69" spans="1:15">
      <c r="A69" s="2377" t="s">
        <v>1580</v>
      </c>
      <c r="B69" s="2382" t="s">
        <v>1279</v>
      </c>
      <c r="C69" s="2381">
        <v>43388</v>
      </c>
      <c r="D69" s="2381">
        <v>43388</v>
      </c>
      <c r="E69" s="2377" t="s">
        <v>954</v>
      </c>
      <c r="F69" s="2377" t="s">
        <v>723</v>
      </c>
      <c r="G69" s="2383" t="s">
        <v>955</v>
      </c>
      <c r="H69" s="2379">
        <v>580</v>
      </c>
      <c r="I69" s="2384">
        <v>580</v>
      </c>
      <c r="J69" s="2379"/>
      <c r="K69" s="2377" t="s">
        <v>944</v>
      </c>
      <c r="L69" s="2380">
        <v>2</v>
      </c>
      <c r="M69" s="2380"/>
      <c r="N69" s="2378">
        <v>43388</v>
      </c>
      <c r="O69" s="1485"/>
    </row>
    <row r="70" spans="1:15">
      <c r="A70" s="2377" t="s">
        <v>1580</v>
      </c>
      <c r="B70" s="2382" t="s">
        <v>1279</v>
      </c>
      <c r="C70" s="2381">
        <v>43388</v>
      </c>
      <c r="D70" s="2381">
        <v>43388</v>
      </c>
      <c r="E70" s="2385" t="s">
        <v>951</v>
      </c>
      <c r="F70" s="2377" t="s">
        <v>723</v>
      </c>
      <c r="G70" s="2383" t="s">
        <v>952</v>
      </c>
      <c r="H70" s="2386">
        <v>1.5</v>
      </c>
      <c r="I70" s="2387">
        <v>1.5</v>
      </c>
      <c r="J70" s="2386" t="s">
        <v>953</v>
      </c>
      <c r="K70" s="2377" t="s">
        <v>941</v>
      </c>
      <c r="L70" s="2388">
        <v>0.26</v>
      </c>
      <c r="M70" s="2380">
        <v>4</v>
      </c>
      <c r="N70" s="2378">
        <v>43393</v>
      </c>
      <c r="O70" s="1485"/>
    </row>
    <row r="71" spans="1:15">
      <c r="B71" s="1503"/>
      <c r="C71" s="1502"/>
      <c r="D71" s="1506"/>
      <c r="E71" s="1485"/>
      <c r="G71" s="1503"/>
      <c r="H71" s="1502"/>
      <c r="I71" s="1506"/>
      <c r="J71" s="1485"/>
      <c r="L71" s="1503"/>
      <c r="M71" s="1502"/>
      <c r="N71" s="1506"/>
      <c r="O71" s="1485"/>
    </row>
    <row r="72" spans="1:15">
      <c r="A72" s="2458" t="s">
        <v>1600</v>
      </c>
      <c r="B72" s="2463" t="s">
        <v>950</v>
      </c>
      <c r="C72" s="2462">
        <v>43409</v>
      </c>
      <c r="D72" s="2462">
        <v>43409</v>
      </c>
      <c r="E72" s="2458" t="s">
        <v>954</v>
      </c>
      <c r="F72" s="2458" t="s">
        <v>723</v>
      </c>
      <c r="G72" s="2464" t="s">
        <v>955</v>
      </c>
      <c r="H72" s="2460">
        <v>68</v>
      </c>
      <c r="I72" s="2465">
        <v>68</v>
      </c>
      <c r="J72" s="2460"/>
      <c r="K72" s="2458" t="s">
        <v>944</v>
      </c>
      <c r="L72" s="2461">
        <v>2</v>
      </c>
      <c r="M72" s="2461"/>
      <c r="N72" s="2459">
        <v>43409</v>
      </c>
      <c r="O72" s="284"/>
    </row>
    <row r="73" spans="1:15">
      <c r="A73" s="2458" t="s">
        <v>1600</v>
      </c>
      <c r="B73" s="2463" t="s">
        <v>950</v>
      </c>
      <c r="C73" s="2462">
        <v>43409</v>
      </c>
      <c r="D73" s="2462">
        <v>43409</v>
      </c>
      <c r="E73" s="2466" t="s">
        <v>951</v>
      </c>
      <c r="F73" s="2458" t="s">
        <v>723</v>
      </c>
      <c r="G73" s="2464" t="s">
        <v>952</v>
      </c>
      <c r="H73" s="2467">
        <v>2.2999999999999998</v>
      </c>
      <c r="I73" s="2468">
        <v>2.2999999999999998</v>
      </c>
      <c r="J73" s="2467" t="s">
        <v>953</v>
      </c>
      <c r="K73" s="2458" t="s">
        <v>941</v>
      </c>
      <c r="L73" s="2469">
        <v>0.26</v>
      </c>
      <c r="M73" s="2461">
        <v>4</v>
      </c>
      <c r="N73" s="2459">
        <v>43417</v>
      </c>
      <c r="O73" s="284"/>
    </row>
    <row r="74" spans="1:15">
      <c r="A74" s="2458" t="s">
        <v>1601</v>
      </c>
      <c r="B74" s="2463" t="s">
        <v>956</v>
      </c>
      <c r="C74" s="2462">
        <v>43409</v>
      </c>
      <c r="D74" s="2462">
        <v>43409</v>
      </c>
      <c r="E74" s="2458" t="s">
        <v>954</v>
      </c>
      <c r="F74" s="2458" t="s">
        <v>723</v>
      </c>
      <c r="G74" s="2464" t="s">
        <v>955</v>
      </c>
      <c r="H74" s="2460">
        <v>86</v>
      </c>
      <c r="I74" s="2465">
        <v>86</v>
      </c>
      <c r="J74" s="2460"/>
      <c r="K74" s="2458" t="s">
        <v>944</v>
      </c>
      <c r="L74" s="2461">
        <v>2</v>
      </c>
      <c r="M74" s="2461"/>
      <c r="N74" s="2459">
        <v>43409</v>
      </c>
      <c r="O74" s="287"/>
    </row>
    <row r="75" spans="1:15">
      <c r="A75" s="2458" t="s">
        <v>1601</v>
      </c>
      <c r="B75" s="2463" t="s">
        <v>956</v>
      </c>
      <c r="C75" s="2462">
        <v>43409</v>
      </c>
      <c r="D75" s="2462">
        <v>43409</v>
      </c>
      <c r="E75" s="2466" t="s">
        <v>951</v>
      </c>
      <c r="F75" s="2458" t="s">
        <v>723</v>
      </c>
      <c r="G75" s="2464" t="s">
        <v>952</v>
      </c>
      <c r="H75" s="2467">
        <v>2.2000000000000002</v>
      </c>
      <c r="I75" s="2468">
        <v>2.2000000000000002</v>
      </c>
      <c r="J75" s="2467" t="s">
        <v>953</v>
      </c>
      <c r="K75" s="2458" t="s">
        <v>941</v>
      </c>
      <c r="L75" s="2469">
        <v>0.26</v>
      </c>
      <c r="M75" s="2461">
        <v>4</v>
      </c>
      <c r="N75" s="2459">
        <v>43417</v>
      </c>
      <c r="O75" s="1485"/>
    </row>
    <row r="76" spans="1:15">
      <c r="A76" s="2458" t="s">
        <v>1599</v>
      </c>
      <c r="B76" s="2463" t="s">
        <v>1279</v>
      </c>
      <c r="C76" s="2462">
        <v>43409</v>
      </c>
      <c r="D76" s="2462">
        <v>43409</v>
      </c>
      <c r="E76" s="2458" t="s">
        <v>954</v>
      </c>
      <c r="F76" s="2458" t="s">
        <v>723</v>
      </c>
      <c r="G76" s="2464" t="s">
        <v>955</v>
      </c>
      <c r="H76" s="2460">
        <v>590</v>
      </c>
      <c r="I76" s="2465">
        <v>590</v>
      </c>
      <c r="J76" s="2460"/>
      <c r="K76" s="2458" t="s">
        <v>944</v>
      </c>
      <c r="L76" s="2461">
        <v>2</v>
      </c>
      <c r="M76" s="2461"/>
      <c r="N76" s="2459">
        <v>43409</v>
      </c>
    </row>
    <row r="77" spans="1:15">
      <c r="A77" s="2458" t="s">
        <v>1599</v>
      </c>
      <c r="B77" s="2463" t="s">
        <v>1279</v>
      </c>
      <c r="C77" s="2462">
        <v>43409</v>
      </c>
      <c r="D77" s="2462">
        <v>43409</v>
      </c>
      <c r="E77" s="2466" t="s">
        <v>951</v>
      </c>
      <c r="F77" s="2458" t="s">
        <v>723</v>
      </c>
      <c r="G77" s="2464" t="s">
        <v>952</v>
      </c>
      <c r="H77" s="2467">
        <v>2.2000000000000002</v>
      </c>
      <c r="I77" s="2468">
        <v>2.2000000000000002</v>
      </c>
      <c r="J77" s="2467" t="s">
        <v>953</v>
      </c>
      <c r="K77" s="2458" t="s">
        <v>941</v>
      </c>
      <c r="L77" s="2469">
        <v>0.26</v>
      </c>
      <c r="M77" s="2461">
        <v>4</v>
      </c>
      <c r="N77" s="2459">
        <v>43417</v>
      </c>
    </row>
    <row r="78" spans="1:15">
      <c r="A78" s="1858"/>
      <c r="B78" s="1856"/>
      <c r="C78" s="1855"/>
      <c r="D78" s="1855"/>
      <c r="E78" s="1859"/>
      <c r="F78" s="1852"/>
      <c r="G78" s="1857"/>
      <c r="H78" s="1860"/>
      <c r="I78" s="1861"/>
      <c r="J78" s="1860"/>
      <c r="K78" s="1852"/>
      <c r="L78" s="1862"/>
      <c r="M78" s="1854"/>
      <c r="N78" s="1853"/>
    </row>
    <row r="79" spans="1:15">
      <c r="A79" s="2470" t="s">
        <v>1603</v>
      </c>
      <c r="B79" s="2475" t="s">
        <v>950</v>
      </c>
      <c r="C79" s="2474">
        <v>43444</v>
      </c>
      <c r="D79" s="2474">
        <v>43444</v>
      </c>
      <c r="E79" s="2470" t="s">
        <v>954</v>
      </c>
      <c r="F79" s="2470" t="s">
        <v>723</v>
      </c>
      <c r="G79" s="2476" t="s">
        <v>955</v>
      </c>
      <c r="H79" s="2472">
        <v>76</v>
      </c>
      <c r="I79" s="2477">
        <v>76</v>
      </c>
      <c r="J79" s="2472"/>
      <c r="K79" s="2470" t="s">
        <v>944</v>
      </c>
      <c r="L79" s="2473">
        <v>2</v>
      </c>
      <c r="M79" s="2473"/>
      <c r="N79" s="2471">
        <v>43444</v>
      </c>
    </row>
    <row r="80" spans="1:15">
      <c r="A80" s="2470" t="s">
        <v>1603</v>
      </c>
      <c r="B80" s="2475" t="s">
        <v>950</v>
      </c>
      <c r="C80" s="2474">
        <v>43444</v>
      </c>
      <c r="D80" s="2474">
        <v>43444</v>
      </c>
      <c r="E80" s="2478" t="s">
        <v>951</v>
      </c>
      <c r="F80" s="2470" t="s">
        <v>723</v>
      </c>
      <c r="G80" s="2476" t="s">
        <v>952</v>
      </c>
      <c r="H80" s="2480">
        <v>1.7</v>
      </c>
      <c r="I80" s="2481">
        <v>1.7</v>
      </c>
      <c r="J80" s="2480" t="s">
        <v>953</v>
      </c>
      <c r="K80" s="2470" t="s">
        <v>941</v>
      </c>
      <c r="L80" s="2482">
        <v>0.26</v>
      </c>
      <c r="M80" s="2473">
        <v>4</v>
      </c>
      <c r="N80" s="2471">
        <v>43454</v>
      </c>
    </row>
    <row r="81" spans="1:14">
      <c r="A81" s="2470" t="s">
        <v>1604</v>
      </c>
      <c r="B81" s="2475" t="s">
        <v>956</v>
      </c>
      <c r="C81" s="2474">
        <v>43444</v>
      </c>
      <c r="D81" s="2474">
        <v>43444</v>
      </c>
      <c r="E81" s="2470" t="s">
        <v>954</v>
      </c>
      <c r="F81" s="2470" t="s">
        <v>723</v>
      </c>
      <c r="G81" s="2476" t="s">
        <v>955</v>
      </c>
      <c r="H81" s="2472">
        <v>116</v>
      </c>
      <c r="I81" s="2477">
        <v>116</v>
      </c>
      <c r="J81" s="2472"/>
      <c r="K81" s="2470" t="s">
        <v>944</v>
      </c>
      <c r="L81" s="2473">
        <v>2</v>
      </c>
      <c r="M81" s="2473"/>
      <c r="N81" s="2471">
        <v>43444</v>
      </c>
    </row>
    <row r="82" spans="1:14">
      <c r="A82" s="2470" t="s">
        <v>1604</v>
      </c>
      <c r="B82" s="2475" t="s">
        <v>956</v>
      </c>
      <c r="C82" s="2474">
        <v>43444</v>
      </c>
      <c r="D82" s="2474">
        <v>43444</v>
      </c>
      <c r="E82" s="2478" t="s">
        <v>951</v>
      </c>
      <c r="F82" s="2470" t="s">
        <v>723</v>
      </c>
      <c r="G82" s="2476" t="s">
        <v>952</v>
      </c>
      <c r="H82" s="2480">
        <v>1.9</v>
      </c>
      <c r="I82" s="2481">
        <v>1.9</v>
      </c>
      <c r="J82" s="2480" t="s">
        <v>953</v>
      </c>
      <c r="K82" s="2470" t="s">
        <v>941</v>
      </c>
      <c r="L82" s="2482">
        <v>0.26</v>
      </c>
      <c r="M82" s="2473">
        <v>4</v>
      </c>
      <c r="N82" s="2471">
        <v>43454</v>
      </c>
    </row>
    <row r="83" spans="1:14">
      <c r="A83" s="2470" t="s">
        <v>1602</v>
      </c>
      <c r="B83" s="2475" t="s">
        <v>1279</v>
      </c>
      <c r="C83" s="2474">
        <v>43444</v>
      </c>
      <c r="D83" s="2474">
        <v>43444</v>
      </c>
      <c r="E83" s="2470" t="s">
        <v>954</v>
      </c>
      <c r="F83" s="2470" t="s">
        <v>723</v>
      </c>
      <c r="G83" s="2476" t="s">
        <v>955</v>
      </c>
      <c r="H83" s="2472">
        <v>600</v>
      </c>
      <c r="I83" s="2477">
        <v>600</v>
      </c>
      <c r="J83" s="2472"/>
      <c r="K83" s="2470" t="s">
        <v>944</v>
      </c>
      <c r="L83" s="2473">
        <v>2</v>
      </c>
      <c r="M83" s="2473"/>
      <c r="N83" s="2471">
        <v>43444</v>
      </c>
    </row>
    <row r="84" spans="1:14">
      <c r="A84" s="2470" t="s">
        <v>1602</v>
      </c>
      <c r="B84" s="2475" t="s">
        <v>1279</v>
      </c>
      <c r="C84" s="2474">
        <v>43444</v>
      </c>
      <c r="D84" s="2474">
        <v>43444</v>
      </c>
      <c r="E84" s="2478" t="s">
        <v>951</v>
      </c>
      <c r="F84" s="2470" t="s">
        <v>723</v>
      </c>
      <c r="G84" s="2476" t="s">
        <v>952</v>
      </c>
      <c r="H84" s="2480">
        <v>1.5</v>
      </c>
      <c r="I84" s="2481">
        <v>1.5</v>
      </c>
      <c r="J84" s="2480" t="s">
        <v>953</v>
      </c>
      <c r="K84" s="2470" t="s">
        <v>941</v>
      </c>
      <c r="L84" s="2482">
        <v>0.26</v>
      </c>
      <c r="M84" s="2473">
        <v>4</v>
      </c>
      <c r="N84" s="2471">
        <v>43454</v>
      </c>
    </row>
    <row r="86" spans="1:14">
      <c r="B86" s="2629" t="s">
        <v>997</v>
      </c>
    </row>
    <row r="87" spans="1:14">
      <c r="C87" s="24">
        <v>43108</v>
      </c>
      <c r="D87" s="24">
        <v>43143</v>
      </c>
      <c r="E87" s="24">
        <v>43178</v>
      </c>
      <c r="F87" s="24">
        <v>43199</v>
      </c>
      <c r="G87" s="24">
        <v>43234</v>
      </c>
      <c r="H87" s="24">
        <v>43262</v>
      </c>
      <c r="I87" s="24">
        <v>43290</v>
      </c>
      <c r="J87" s="24">
        <v>43319</v>
      </c>
      <c r="K87" s="24">
        <v>43353</v>
      </c>
      <c r="L87" s="24">
        <v>43388</v>
      </c>
      <c r="M87" s="24">
        <v>43409</v>
      </c>
      <c r="N87" s="24">
        <v>43444</v>
      </c>
    </row>
    <row r="88" spans="1:14">
      <c r="B88" s="2681" t="s">
        <v>950</v>
      </c>
      <c r="C88" s="287">
        <v>72</v>
      </c>
      <c r="D88" s="2704">
        <v>76</v>
      </c>
      <c r="E88" s="2704">
        <v>80</v>
      </c>
      <c r="F88" s="2704">
        <v>74</v>
      </c>
      <c r="G88" s="2704">
        <v>70</v>
      </c>
      <c r="H88" s="2704">
        <v>64</v>
      </c>
      <c r="I88" s="2339">
        <v>76</v>
      </c>
      <c r="J88" s="2704">
        <v>66</v>
      </c>
      <c r="K88" s="2704">
        <v>62</v>
      </c>
      <c r="L88" s="2678">
        <v>72</v>
      </c>
      <c r="M88" s="2678">
        <v>68</v>
      </c>
      <c r="N88" s="2678">
        <v>76</v>
      </c>
    </row>
    <row r="89" spans="1:14">
      <c r="B89" s="2681" t="s">
        <v>956</v>
      </c>
      <c r="C89" s="287">
        <v>106</v>
      </c>
      <c r="D89" s="2704">
        <v>112</v>
      </c>
      <c r="E89" s="2704">
        <v>114</v>
      </c>
      <c r="F89" s="2704">
        <v>110</v>
      </c>
      <c r="G89" s="2704">
        <v>92</v>
      </c>
      <c r="H89" s="2704">
        <v>94</v>
      </c>
      <c r="I89" s="287">
        <v>104</v>
      </c>
      <c r="J89" s="2704">
        <v>92</v>
      </c>
      <c r="K89" s="2704">
        <v>68</v>
      </c>
      <c r="L89" s="2678">
        <v>86</v>
      </c>
      <c r="M89" s="2678">
        <v>86</v>
      </c>
      <c r="N89" s="2678">
        <v>116</v>
      </c>
    </row>
    <row r="90" spans="1:14">
      <c r="B90" s="2681" t="s">
        <v>1279</v>
      </c>
      <c r="C90" s="287">
        <v>600</v>
      </c>
      <c r="D90" s="2704">
        <v>600</v>
      </c>
      <c r="E90" s="2704">
        <v>560</v>
      </c>
      <c r="F90" s="2704">
        <v>550</v>
      </c>
      <c r="G90" s="2704">
        <v>492</v>
      </c>
      <c r="H90" s="2704">
        <v>550</v>
      </c>
      <c r="I90" s="2339">
        <v>610</v>
      </c>
      <c r="J90" s="2704">
        <v>570</v>
      </c>
      <c r="K90" s="2704">
        <v>550</v>
      </c>
      <c r="L90" s="2678">
        <v>580</v>
      </c>
      <c r="M90" s="2678">
        <v>590</v>
      </c>
      <c r="N90" s="2678">
        <v>600</v>
      </c>
    </row>
    <row r="91" spans="1:14">
      <c r="B91" s="2629" t="s">
        <v>1748</v>
      </c>
    </row>
    <row r="92" spans="1:14">
      <c r="B92" s="358"/>
      <c r="C92" s="24">
        <v>43108</v>
      </c>
      <c r="D92" s="24">
        <v>43143</v>
      </c>
      <c r="E92" s="24">
        <v>43178</v>
      </c>
      <c r="F92" s="24">
        <v>43199</v>
      </c>
      <c r="G92" s="24">
        <v>43234</v>
      </c>
      <c r="H92" s="24">
        <v>43262</v>
      </c>
      <c r="I92" s="24">
        <v>43290</v>
      </c>
      <c r="J92" s="24">
        <v>43319</v>
      </c>
      <c r="K92" s="24">
        <v>43353</v>
      </c>
      <c r="L92" s="24">
        <v>43388</v>
      </c>
      <c r="M92" s="24">
        <v>43409</v>
      </c>
      <c r="N92" s="24">
        <v>43444</v>
      </c>
    </row>
    <row r="93" spans="1:14">
      <c r="B93" s="2681" t="s">
        <v>950</v>
      </c>
      <c r="C93" s="284">
        <v>1.5</v>
      </c>
      <c r="D93" s="2339">
        <v>2</v>
      </c>
      <c r="E93" s="2339">
        <v>1.8</v>
      </c>
      <c r="F93" s="2339">
        <v>1.4</v>
      </c>
      <c r="G93" s="2339">
        <v>1.5</v>
      </c>
      <c r="H93" s="2339">
        <v>1.8</v>
      </c>
      <c r="I93" s="2339">
        <v>4.7</v>
      </c>
      <c r="J93" s="2225">
        <v>2</v>
      </c>
      <c r="K93" s="2339">
        <v>1.4</v>
      </c>
      <c r="L93" s="2592">
        <v>1.6</v>
      </c>
      <c r="M93" s="2592">
        <v>2.2999999999999998</v>
      </c>
      <c r="N93" s="2592">
        <v>1.7</v>
      </c>
    </row>
    <row r="94" spans="1:14">
      <c r="B94" s="2681" t="s">
        <v>956</v>
      </c>
      <c r="C94" s="284">
        <v>1.7</v>
      </c>
      <c r="D94" s="2339">
        <v>2.1</v>
      </c>
      <c r="E94" s="2339">
        <v>1.8</v>
      </c>
      <c r="F94" s="2339">
        <v>1.5</v>
      </c>
      <c r="G94" s="2339">
        <v>1.6</v>
      </c>
      <c r="H94" s="2339">
        <v>1.4</v>
      </c>
      <c r="I94" s="1462">
        <v>4.9000000000000004</v>
      </c>
      <c r="J94" s="2339">
        <v>2.2999999999999998</v>
      </c>
      <c r="K94" s="2339">
        <v>1.4</v>
      </c>
      <c r="L94" s="2592">
        <v>2</v>
      </c>
      <c r="M94" s="2592">
        <v>2.2000000000000002</v>
      </c>
      <c r="N94" s="2592">
        <v>1.9</v>
      </c>
    </row>
    <row r="95" spans="1:14">
      <c r="B95" s="2681" t="s">
        <v>1279</v>
      </c>
      <c r="C95" s="284">
        <v>1.4</v>
      </c>
      <c r="D95" s="2339">
        <v>1.9</v>
      </c>
      <c r="E95" s="2339">
        <v>2.4</v>
      </c>
      <c r="F95" s="2339">
        <v>1.6</v>
      </c>
      <c r="G95" s="2339">
        <v>2.4</v>
      </c>
      <c r="H95" s="2339">
        <v>1.8</v>
      </c>
      <c r="I95" s="2339">
        <v>1.4</v>
      </c>
      <c r="J95" s="2225">
        <v>2</v>
      </c>
      <c r="K95" s="2339">
        <v>1.1000000000000001</v>
      </c>
      <c r="L95" s="2592">
        <v>1.5</v>
      </c>
      <c r="M95" s="2592">
        <v>2.2000000000000002</v>
      </c>
      <c r="N95" s="2592">
        <v>1.5</v>
      </c>
    </row>
  </sheetData>
  <pageMargins left="0.7" right="0.7" top="0.75" bottom="0.75" header="0.3" footer="0.3"/>
  <pageSetup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0.59999389629810485"/>
  </sheetPr>
  <dimension ref="A1:R58"/>
  <sheetViews>
    <sheetView topLeftCell="A37" workbookViewId="0">
      <selection activeCell="R5" sqref="R5"/>
    </sheetView>
  </sheetViews>
  <sheetFormatPr defaultRowHeight="14"/>
  <cols>
    <col min="1" max="1" width="6.6328125" customWidth="1"/>
    <col min="2" max="2" width="9.1796875" bestFit="1" customWidth="1"/>
    <col min="3" max="3" width="16.26953125" bestFit="1" customWidth="1"/>
    <col min="4" max="4" width="10.81640625" bestFit="1" customWidth="1"/>
    <col min="5" max="5" width="7.08984375" customWidth="1"/>
    <col min="6" max="6" width="8" bestFit="1" customWidth="1"/>
    <col min="7" max="7" width="7.26953125" bestFit="1" customWidth="1"/>
    <col min="8" max="8" width="9.1796875" bestFit="1" customWidth="1"/>
    <col min="9" max="9" width="5.6328125" bestFit="1" customWidth="1"/>
    <col min="10" max="10" width="5.26953125" bestFit="1" customWidth="1"/>
    <col min="11" max="12" width="5.54296875" bestFit="1" customWidth="1"/>
    <col min="13" max="14" width="5.90625" bestFit="1" customWidth="1"/>
    <col min="15" max="15" width="6.54296875" bestFit="1" customWidth="1"/>
    <col min="16" max="16" width="6.6328125" bestFit="1" customWidth="1"/>
    <col min="17" max="17" width="7.6328125" bestFit="1" customWidth="1"/>
    <col min="18" max="18" width="12.7265625" bestFit="1" customWidth="1"/>
  </cols>
  <sheetData>
    <row r="1" spans="1:18" s="358" customFormat="1" ht="14" customHeight="1"/>
    <row r="2" spans="1:18" ht="14" customHeight="1">
      <c r="A2" s="569"/>
      <c r="B2" s="569"/>
      <c r="C2" s="569"/>
      <c r="D2" s="3078" t="s">
        <v>985</v>
      </c>
      <c r="E2" s="3079"/>
      <c r="F2" s="3079"/>
      <c r="G2" s="3079"/>
      <c r="H2" s="3079"/>
      <c r="I2" s="3079"/>
      <c r="J2" s="3079"/>
      <c r="K2" s="3079"/>
      <c r="L2" s="3079"/>
      <c r="M2" s="3079"/>
      <c r="N2" s="3079"/>
      <c r="O2" s="3079"/>
    </row>
    <row r="3" spans="1:18" ht="23">
      <c r="A3" s="547" t="s">
        <v>236</v>
      </c>
      <c r="B3" s="802" t="s">
        <v>214</v>
      </c>
      <c r="C3" s="803" t="s">
        <v>215</v>
      </c>
      <c r="D3" s="1661">
        <v>43108</v>
      </c>
      <c r="E3" s="1661">
        <v>43143</v>
      </c>
      <c r="F3" s="1661">
        <v>43178</v>
      </c>
      <c r="G3" s="1851">
        <v>43199</v>
      </c>
      <c r="H3" s="1661">
        <v>43234</v>
      </c>
      <c r="I3" s="1661">
        <v>43262</v>
      </c>
      <c r="J3" s="1661">
        <v>43290</v>
      </c>
      <c r="K3" s="1662">
        <v>43319</v>
      </c>
      <c r="L3" s="1662">
        <v>43353</v>
      </c>
      <c r="M3" s="1662">
        <v>43388</v>
      </c>
      <c r="N3" s="1661">
        <v>43409</v>
      </c>
      <c r="O3" s="1663">
        <v>43444</v>
      </c>
      <c r="P3" s="547" t="s">
        <v>15</v>
      </c>
      <c r="Q3" s="811" t="s">
        <v>1000</v>
      </c>
    </row>
    <row r="4" spans="1:18" ht="23">
      <c r="A4" s="804" t="s">
        <v>1026</v>
      </c>
      <c r="B4" s="805" t="s">
        <v>208</v>
      </c>
      <c r="C4" s="806" t="s">
        <v>983</v>
      </c>
      <c r="D4" s="2807">
        <v>1.5</v>
      </c>
      <c r="E4" s="2807">
        <v>2</v>
      </c>
      <c r="F4" s="2807">
        <v>1.8</v>
      </c>
      <c r="G4" s="2813">
        <v>1.4</v>
      </c>
      <c r="H4" s="2807">
        <v>1.5</v>
      </c>
      <c r="I4" s="2807">
        <v>1.8</v>
      </c>
      <c r="J4" s="2807">
        <v>4.7</v>
      </c>
      <c r="K4" s="2806">
        <v>2</v>
      </c>
      <c r="L4" s="2806">
        <v>1.4</v>
      </c>
      <c r="M4" s="2814">
        <v>1.6</v>
      </c>
      <c r="N4" s="2807">
        <v>2.2999999999999998</v>
      </c>
      <c r="O4" s="2808">
        <v>1.7</v>
      </c>
      <c r="P4" s="2815">
        <f>AVERAGE(D4:O4)</f>
        <v>1.9749999999999999</v>
      </c>
      <c r="Q4" s="2805">
        <f>STDEV(D4:O4)</f>
        <v>0.90063109186634471</v>
      </c>
    </row>
    <row r="5" spans="1:18" ht="23">
      <c r="A5" s="807" t="s">
        <v>939</v>
      </c>
      <c r="B5" s="808" t="s">
        <v>1747</v>
      </c>
      <c r="C5" s="806" t="s">
        <v>364</v>
      </c>
      <c r="D5" s="2807">
        <v>1.4</v>
      </c>
      <c r="E5" s="2807">
        <v>1.9</v>
      </c>
      <c r="F5" s="2807">
        <v>2.4</v>
      </c>
      <c r="G5" s="2813">
        <v>1.6</v>
      </c>
      <c r="H5" s="2807">
        <v>2.4</v>
      </c>
      <c r="I5" s="2807">
        <v>1.8</v>
      </c>
      <c r="J5" s="2807">
        <v>1.4</v>
      </c>
      <c r="K5" s="2806">
        <v>2</v>
      </c>
      <c r="L5" s="2806">
        <v>1.1000000000000001</v>
      </c>
      <c r="M5" s="2814">
        <v>1.5</v>
      </c>
      <c r="N5" s="2807">
        <v>2.2000000000000002</v>
      </c>
      <c r="O5" s="2808">
        <v>1.5</v>
      </c>
      <c r="P5" s="2815">
        <f>AVERAGE(D6:O6)</f>
        <v>2.0666666666666664</v>
      </c>
      <c r="Q5" s="2805">
        <f>STDEV(D6:O6)</f>
        <v>0.9422732023562963</v>
      </c>
    </row>
    <row r="6" spans="1:18" ht="23">
      <c r="A6" s="804" t="s">
        <v>1026</v>
      </c>
      <c r="B6" s="804" t="s">
        <v>982</v>
      </c>
      <c r="C6" s="539" t="s">
        <v>984</v>
      </c>
      <c r="D6" s="2807">
        <v>1.7</v>
      </c>
      <c r="E6" s="2807">
        <v>2.1</v>
      </c>
      <c r="F6" s="2807">
        <v>1.8</v>
      </c>
      <c r="G6" s="2813">
        <v>1.5</v>
      </c>
      <c r="H6" s="2807">
        <v>1.6</v>
      </c>
      <c r="I6" s="2807">
        <v>1.4</v>
      </c>
      <c r="J6" s="2807">
        <v>4.9000000000000004</v>
      </c>
      <c r="K6" s="2806">
        <v>2.2999999999999998</v>
      </c>
      <c r="L6" s="2806">
        <v>1.4</v>
      </c>
      <c r="M6" s="2814">
        <v>2</v>
      </c>
      <c r="N6" s="2807">
        <v>2.2000000000000002</v>
      </c>
      <c r="O6" s="2808">
        <v>1.9</v>
      </c>
      <c r="P6" s="2815">
        <f>AVERAGE(D5:O5)</f>
        <v>1.7666666666666666</v>
      </c>
      <c r="Q6" s="2805">
        <f>STDEV(D5:O5)</f>
        <v>0.42067766397765582</v>
      </c>
    </row>
    <row r="7" spans="1:18" ht="14" customHeight="1">
      <c r="A7" s="804"/>
      <c r="B7" s="804"/>
      <c r="C7" s="539"/>
      <c r="D7" s="3080" t="s">
        <v>986</v>
      </c>
      <c r="E7" s="3081"/>
      <c r="F7" s="3081"/>
      <c r="G7" s="3081"/>
      <c r="H7" s="3081"/>
      <c r="I7" s="3081"/>
      <c r="J7" s="3081"/>
      <c r="K7" s="3081"/>
      <c r="L7" s="3081"/>
      <c r="M7" s="3081"/>
      <c r="N7" s="3081"/>
      <c r="O7" s="3081"/>
      <c r="P7" s="801"/>
      <c r="R7" s="853" t="s">
        <v>1062</v>
      </c>
    </row>
    <row r="8" spans="1:18" ht="23">
      <c r="A8" s="804" t="s">
        <v>1026</v>
      </c>
      <c r="B8" s="805" t="s">
        <v>208</v>
      </c>
      <c r="C8" s="806" t="s">
        <v>983</v>
      </c>
      <c r="D8" s="2809">
        <v>72</v>
      </c>
      <c r="E8" s="2810">
        <v>76</v>
      </c>
      <c r="F8" s="2810">
        <v>80</v>
      </c>
      <c r="G8" s="2810">
        <v>74</v>
      </c>
      <c r="H8" s="2810">
        <v>70</v>
      </c>
      <c r="I8" s="2810">
        <v>64</v>
      </c>
      <c r="J8" s="2811">
        <v>76</v>
      </c>
      <c r="K8" s="2810">
        <v>66</v>
      </c>
      <c r="L8" s="2810">
        <v>62</v>
      </c>
      <c r="M8" s="2812">
        <v>72</v>
      </c>
      <c r="N8" s="2812">
        <v>68</v>
      </c>
      <c r="O8" s="2812">
        <v>76</v>
      </c>
      <c r="P8" s="809">
        <f>AVERAGE(D8:O8)</f>
        <v>71.333333333333329</v>
      </c>
      <c r="Q8" s="810">
        <f>STDEV(D8:O8)</f>
        <v>5.4827553347387354</v>
      </c>
      <c r="R8" s="854">
        <f>_xlfn.PERCENTILE.INC(D8:O8,0.05)</f>
        <v>63.1</v>
      </c>
    </row>
    <row r="9" spans="1:18" ht="23">
      <c r="A9" s="807" t="s">
        <v>939</v>
      </c>
      <c r="B9" s="808" t="s">
        <v>1747</v>
      </c>
      <c r="C9" s="806" t="s">
        <v>364</v>
      </c>
      <c r="D9" s="2809">
        <v>106</v>
      </c>
      <c r="E9" s="2810">
        <v>112</v>
      </c>
      <c r="F9" s="2810">
        <v>114</v>
      </c>
      <c r="G9" s="2810">
        <v>110</v>
      </c>
      <c r="H9" s="2810">
        <v>92</v>
      </c>
      <c r="I9" s="2810">
        <v>94</v>
      </c>
      <c r="J9" s="2809">
        <v>104</v>
      </c>
      <c r="K9" s="2810">
        <v>92</v>
      </c>
      <c r="L9" s="2810">
        <v>68</v>
      </c>
      <c r="M9" s="2812">
        <v>86</v>
      </c>
      <c r="N9" s="2812">
        <v>86</v>
      </c>
      <c r="O9" s="2812">
        <v>116</v>
      </c>
      <c r="P9" s="809">
        <f>AVERAGE(D9:O9)</f>
        <v>98.333333333333329</v>
      </c>
      <c r="Q9" s="810">
        <f>STDEV(D9:O9)</f>
        <v>14.443201189696868</v>
      </c>
      <c r="R9" s="854">
        <f>_xlfn.PERCENTILE.INC(D9:O9,0.05)</f>
        <v>77.900000000000006</v>
      </c>
    </row>
    <row r="10" spans="1:18" ht="23">
      <c r="A10" s="804" t="s">
        <v>1026</v>
      </c>
      <c r="B10" s="804" t="s">
        <v>982</v>
      </c>
      <c r="C10" s="539" t="s">
        <v>984</v>
      </c>
      <c r="D10" s="2809">
        <v>600</v>
      </c>
      <c r="E10" s="2810">
        <v>600</v>
      </c>
      <c r="F10" s="2810">
        <v>560</v>
      </c>
      <c r="G10" s="2810">
        <v>550</v>
      </c>
      <c r="H10" s="2810">
        <v>492</v>
      </c>
      <c r="I10" s="2810">
        <v>550</v>
      </c>
      <c r="J10" s="2811">
        <v>610</v>
      </c>
      <c r="K10" s="2810">
        <v>570</v>
      </c>
      <c r="L10" s="2810">
        <v>550</v>
      </c>
      <c r="M10" s="2812">
        <v>580</v>
      </c>
      <c r="N10" s="2812">
        <v>590</v>
      </c>
      <c r="O10" s="2812">
        <v>600</v>
      </c>
      <c r="P10" s="809">
        <f>AVERAGE(D10:O10)</f>
        <v>571</v>
      </c>
      <c r="Q10" s="810">
        <f>STDEV(D10:O10)</f>
        <v>33.264777987316471</v>
      </c>
      <c r="R10" s="854">
        <f>_xlfn.PERCENTILE.INC(D10:O10,0.05)</f>
        <v>523.9</v>
      </c>
    </row>
    <row r="11" spans="1:18">
      <c r="M11" s="724"/>
      <c r="N11" s="726"/>
    </row>
    <row r="12" spans="1:18">
      <c r="M12" s="724"/>
      <c r="N12" s="722"/>
    </row>
    <row r="13" spans="1:18" ht="23">
      <c r="A13" s="732" t="s">
        <v>987</v>
      </c>
      <c r="B13" s="732"/>
      <c r="C13" s="3086" t="s">
        <v>988</v>
      </c>
      <c r="D13" s="3086"/>
      <c r="E13" s="1664" t="s">
        <v>989</v>
      </c>
      <c r="F13" s="732" t="s">
        <v>990</v>
      </c>
      <c r="M13" s="724"/>
      <c r="N13" s="726"/>
    </row>
    <row r="14" spans="1:18">
      <c r="A14" s="728"/>
      <c r="B14" s="728" t="s">
        <v>991</v>
      </c>
      <c r="C14" s="728" t="s">
        <v>992</v>
      </c>
      <c r="D14" s="728" t="s">
        <v>993</v>
      </c>
      <c r="E14" s="728"/>
      <c r="F14" s="728" t="s">
        <v>994</v>
      </c>
      <c r="M14" s="724"/>
      <c r="N14" s="722"/>
    </row>
    <row r="15" spans="1:18" ht="14.5">
      <c r="A15" s="727" t="s">
        <v>995</v>
      </c>
      <c r="B15" s="729">
        <v>0</v>
      </c>
      <c r="C15" s="730">
        <v>7.01</v>
      </c>
      <c r="D15" s="731">
        <v>10.27</v>
      </c>
      <c r="E15" s="729">
        <v>1000</v>
      </c>
      <c r="F15" s="729">
        <v>200</v>
      </c>
      <c r="M15" s="724"/>
      <c r="N15" s="722"/>
    </row>
    <row r="16" spans="1:18">
      <c r="M16" s="724"/>
      <c r="N16" s="722"/>
    </row>
    <row r="17" spans="1:14">
      <c r="A17" s="733" t="s">
        <v>992</v>
      </c>
      <c r="B17" s="733"/>
      <c r="C17" s="733"/>
      <c r="D17" s="733"/>
      <c r="E17" s="733"/>
      <c r="F17" s="733"/>
      <c r="M17" s="724"/>
      <c r="N17" s="726"/>
    </row>
    <row r="18" spans="1:14">
      <c r="A18" s="733" t="s">
        <v>996</v>
      </c>
      <c r="B18" s="733"/>
      <c r="C18" s="733"/>
      <c r="D18" s="733"/>
      <c r="E18" s="733"/>
      <c r="F18" s="733"/>
      <c r="M18" s="724"/>
      <c r="N18" s="722"/>
    </row>
    <row r="19" spans="1:14">
      <c r="A19" s="733"/>
      <c r="B19" s="733" t="s">
        <v>997</v>
      </c>
      <c r="C19" s="733" t="s">
        <v>998</v>
      </c>
      <c r="D19" s="733"/>
      <c r="E19" s="733"/>
      <c r="F19" s="3088" t="s">
        <v>999</v>
      </c>
      <c r="G19" s="3088"/>
      <c r="M19" s="724"/>
      <c r="N19" s="726"/>
    </row>
    <row r="20" spans="1:14">
      <c r="A20" s="733"/>
      <c r="B20" s="733">
        <f>C27</f>
        <v>71.333333333333329</v>
      </c>
      <c r="C20" s="734">
        <f t="shared" ref="C20:C25" si="0">LN(B20)</f>
        <v>4.2673637263537421</v>
      </c>
      <c r="D20" s="734">
        <f t="shared" ref="D20:D25" si="1">C20*0.819</f>
        <v>3.4949708918837143</v>
      </c>
      <c r="E20" s="734">
        <f t="shared" ref="E20:E25" si="2">D20-1.7428</f>
        <v>1.7521708918837144</v>
      </c>
      <c r="F20" s="735">
        <f t="shared" ref="F20:F25" si="3">EXP(E20)</f>
        <v>5.7671088661308243</v>
      </c>
    </row>
    <row r="21" spans="1:14">
      <c r="B21" s="733">
        <f>C28</f>
        <v>98.333333333333329</v>
      </c>
      <c r="C21" s="734">
        <f t="shared" si="0"/>
        <v>4.5883630676717102</v>
      </c>
      <c r="D21" s="734">
        <f t="shared" si="1"/>
        <v>3.7578693524231306</v>
      </c>
      <c r="E21" s="734">
        <f t="shared" si="2"/>
        <v>2.0150693524231307</v>
      </c>
      <c r="F21" s="735">
        <f t="shared" si="3"/>
        <v>7.5012475928608513</v>
      </c>
    </row>
    <row r="22" spans="1:14">
      <c r="B22" s="733">
        <f>C29</f>
        <v>571</v>
      </c>
      <c r="C22" s="734">
        <f t="shared" si="0"/>
        <v>6.3473892096560105</v>
      </c>
      <c r="D22" s="734">
        <f t="shared" si="1"/>
        <v>5.1985117627082724</v>
      </c>
      <c r="E22" s="734">
        <f t="shared" si="2"/>
        <v>3.4557117627082725</v>
      </c>
      <c r="F22" s="735">
        <f t="shared" si="3"/>
        <v>31.680829892611449</v>
      </c>
    </row>
    <row r="23" spans="1:14" s="358" customFormat="1">
      <c r="B23" s="733">
        <f>R8</f>
        <v>63.1</v>
      </c>
      <c r="C23" s="734">
        <f t="shared" si="0"/>
        <v>4.1447207695471677</v>
      </c>
      <c r="D23" s="734">
        <f t="shared" si="1"/>
        <v>3.3945263102591303</v>
      </c>
      <c r="E23" s="734">
        <f t="shared" si="2"/>
        <v>1.6517263102591304</v>
      </c>
      <c r="F23" s="735">
        <f t="shared" si="3"/>
        <v>5.2159764531241546</v>
      </c>
    </row>
    <row r="24" spans="1:14" s="358" customFormat="1">
      <c r="B24" s="733">
        <f>R9</f>
        <v>77.900000000000006</v>
      </c>
      <c r="C24" s="734">
        <f t="shared" si="0"/>
        <v>4.3554259528767023</v>
      </c>
      <c r="D24" s="734">
        <f t="shared" si="1"/>
        <v>3.5670938554060188</v>
      </c>
      <c r="E24" s="734">
        <f t="shared" si="2"/>
        <v>1.8242938554060188</v>
      </c>
      <c r="F24" s="735">
        <f t="shared" si="3"/>
        <v>6.1984164950520384</v>
      </c>
    </row>
    <row r="25" spans="1:14">
      <c r="B25" s="733">
        <f>R10</f>
        <v>523.9</v>
      </c>
      <c r="C25" s="734">
        <f t="shared" si="0"/>
        <v>6.2613008264141738</v>
      </c>
      <c r="D25" s="734">
        <f t="shared" si="1"/>
        <v>5.1280053768332081</v>
      </c>
      <c r="E25" s="734">
        <f t="shared" si="2"/>
        <v>3.3852053768332082</v>
      </c>
      <c r="F25" s="735">
        <f t="shared" si="3"/>
        <v>29.524055650590025</v>
      </c>
    </row>
    <row r="26" spans="1:14" ht="46">
      <c r="B26" s="547" t="s">
        <v>9</v>
      </c>
      <c r="C26" s="547" t="s">
        <v>1027</v>
      </c>
      <c r="D26" s="1665" t="s">
        <v>999</v>
      </c>
      <c r="E26" s="547" t="s">
        <v>1029</v>
      </c>
      <c r="F26" s="547" t="s">
        <v>1062</v>
      </c>
      <c r="G26" s="1665" t="s">
        <v>999</v>
      </c>
      <c r="H26" s="547" t="s">
        <v>1029</v>
      </c>
    </row>
    <row r="27" spans="1:14">
      <c r="B27" s="805" t="s">
        <v>208</v>
      </c>
      <c r="C27" s="800">
        <f>P8</f>
        <v>71.333333333333329</v>
      </c>
      <c r="D27" s="297">
        <f>F20</f>
        <v>5.7671088661308243</v>
      </c>
      <c r="E27" s="294">
        <v>8.31</v>
      </c>
      <c r="F27" s="855">
        <f>R8</f>
        <v>63.1</v>
      </c>
      <c r="G27" s="297">
        <f>F23</f>
        <v>5.2159764531241546</v>
      </c>
      <c r="H27" s="297">
        <v>5.9347939776771508</v>
      </c>
    </row>
    <row r="28" spans="1:14">
      <c r="B28" s="808" t="s">
        <v>1345</v>
      </c>
      <c r="C28" s="800">
        <f>P9</f>
        <v>98.333333333333329</v>
      </c>
      <c r="D28" s="297">
        <f>F21</f>
        <v>7.5012475928608513</v>
      </c>
      <c r="E28" s="294">
        <v>57.18</v>
      </c>
      <c r="F28" s="855">
        <f>R9</f>
        <v>77.900000000000006</v>
      </c>
      <c r="G28" s="297">
        <f>F24</f>
        <v>6.1984164950520384</v>
      </c>
      <c r="H28" s="297">
        <v>49.61820964452609</v>
      </c>
    </row>
    <row r="29" spans="1:14">
      <c r="B29" s="804" t="s">
        <v>982</v>
      </c>
      <c r="C29" s="800">
        <f>P10</f>
        <v>571</v>
      </c>
      <c r="D29" s="297">
        <f>F22</f>
        <v>31.680829892611449</v>
      </c>
      <c r="E29" s="294">
        <v>10.89</v>
      </c>
      <c r="F29" s="855">
        <f>R10</f>
        <v>523.9</v>
      </c>
      <c r="G29" s="297">
        <f>F25</f>
        <v>29.524055650590025</v>
      </c>
      <c r="H29" s="297">
        <v>7.2576917074405261</v>
      </c>
    </row>
    <row r="31" spans="1:14">
      <c r="A31" s="799" t="s">
        <v>987</v>
      </c>
      <c r="B31" s="799"/>
      <c r="C31" s="3086" t="s">
        <v>988</v>
      </c>
      <c r="D31" s="3086"/>
      <c r="E31" s="799" t="s">
        <v>989</v>
      </c>
      <c r="F31" s="799" t="s">
        <v>990</v>
      </c>
    </row>
    <row r="32" spans="1:14">
      <c r="A32" s="728"/>
      <c r="B32" s="728" t="s">
        <v>991</v>
      </c>
      <c r="C32" s="728" t="s">
        <v>992</v>
      </c>
      <c r="D32" s="728" t="s">
        <v>1028</v>
      </c>
      <c r="E32" s="728"/>
      <c r="F32" s="728" t="s">
        <v>994</v>
      </c>
    </row>
    <row r="33" spans="1:16" ht="14.5">
      <c r="A33" s="727" t="s">
        <v>995</v>
      </c>
      <c r="B33" s="729">
        <v>21</v>
      </c>
      <c r="C33" s="730">
        <v>6.33</v>
      </c>
      <c r="D33" s="731">
        <v>10.89</v>
      </c>
      <c r="E33" s="729">
        <v>1000</v>
      </c>
      <c r="F33" s="729">
        <v>200</v>
      </c>
    </row>
    <row r="36" spans="1:16">
      <c r="D36" s="3087" t="s">
        <v>1071</v>
      </c>
      <c r="E36" s="3087"/>
      <c r="F36" s="3087"/>
      <c r="G36" s="3087"/>
      <c r="H36" s="3087"/>
      <c r="I36" s="3087"/>
      <c r="J36" s="3087"/>
      <c r="K36" s="3087"/>
    </row>
    <row r="37" spans="1:16" ht="23">
      <c r="A37" s="547" t="s">
        <v>236</v>
      </c>
      <c r="B37" s="802" t="s">
        <v>214</v>
      </c>
      <c r="C37" s="902" t="s">
        <v>215</v>
      </c>
      <c r="D37" s="40" t="s">
        <v>65</v>
      </c>
      <c r="E37" s="40" t="s">
        <v>66</v>
      </c>
      <c r="F37" s="40" t="s">
        <v>67</v>
      </c>
      <c r="G37" s="40" t="s">
        <v>68</v>
      </c>
      <c r="H37" s="40" t="s">
        <v>69</v>
      </c>
      <c r="I37" s="40" t="s">
        <v>70</v>
      </c>
      <c r="J37" s="40" t="s">
        <v>71</v>
      </c>
      <c r="K37" s="40" t="s">
        <v>72</v>
      </c>
      <c r="L37" s="40" t="s">
        <v>73</v>
      </c>
      <c r="M37" s="40" t="s">
        <v>74</v>
      </c>
      <c r="N37" s="40" t="s">
        <v>75</v>
      </c>
      <c r="O37" s="40" t="s">
        <v>76</v>
      </c>
    </row>
    <row r="38" spans="1:16" ht="23">
      <c r="A38" s="804" t="s">
        <v>1026</v>
      </c>
      <c r="B38" s="805" t="s">
        <v>208</v>
      </c>
      <c r="C38" s="903" t="s">
        <v>983</v>
      </c>
      <c r="D38" s="567">
        <v>20</v>
      </c>
      <c r="E38" s="567">
        <v>14</v>
      </c>
      <c r="F38" s="567">
        <v>12.8</v>
      </c>
      <c r="G38" s="567">
        <v>18.100000000000001</v>
      </c>
      <c r="H38" s="567">
        <v>37.1</v>
      </c>
      <c r="I38" s="567">
        <v>11.6</v>
      </c>
      <c r="J38" s="309">
        <v>6.5</v>
      </c>
      <c r="K38" s="309">
        <v>9.1</v>
      </c>
      <c r="L38" s="428">
        <v>15.2</v>
      </c>
      <c r="M38" s="428">
        <v>14</v>
      </c>
      <c r="N38" s="428">
        <v>12.2</v>
      </c>
      <c r="O38" s="428">
        <v>14</v>
      </c>
    </row>
    <row r="39" spans="1:16" ht="23">
      <c r="A39" s="807" t="s">
        <v>939</v>
      </c>
      <c r="B39" s="808" t="s">
        <v>868</v>
      </c>
      <c r="C39" s="903" t="s">
        <v>364</v>
      </c>
      <c r="D39" s="567">
        <v>0.51</v>
      </c>
      <c r="E39" s="567">
        <v>0.6</v>
      </c>
      <c r="F39" s="567">
        <v>0.9</v>
      </c>
      <c r="G39" s="567">
        <v>0.73</v>
      </c>
      <c r="H39" s="567">
        <v>1.9</v>
      </c>
      <c r="I39" s="567">
        <v>1</v>
      </c>
      <c r="J39" s="309">
        <v>0.56999999999999995</v>
      </c>
      <c r="K39" s="309">
        <v>0.44</v>
      </c>
      <c r="L39" s="309">
        <v>0.3</v>
      </c>
      <c r="M39" s="309">
        <v>0.36</v>
      </c>
      <c r="N39" s="309">
        <v>0.3</v>
      </c>
      <c r="O39" s="1656">
        <v>0.24</v>
      </c>
    </row>
    <row r="40" spans="1:16" ht="23">
      <c r="A40" s="804" t="s">
        <v>1026</v>
      </c>
      <c r="B40" s="804" t="s">
        <v>982</v>
      </c>
      <c r="C40" s="904" t="s">
        <v>984</v>
      </c>
      <c r="D40" s="567">
        <f>SUM(D38:D39)</f>
        <v>20.51</v>
      </c>
      <c r="E40" s="567">
        <f t="shared" ref="E40:O40" si="4">SUM(E38:E39)</f>
        <v>14.6</v>
      </c>
      <c r="F40" s="567">
        <f t="shared" si="4"/>
        <v>13.700000000000001</v>
      </c>
      <c r="G40" s="567">
        <f t="shared" si="4"/>
        <v>18.830000000000002</v>
      </c>
      <c r="H40" s="567">
        <f t="shared" si="4"/>
        <v>39</v>
      </c>
      <c r="I40" s="567">
        <f t="shared" si="4"/>
        <v>12.6</v>
      </c>
      <c r="J40" s="567">
        <f t="shared" si="4"/>
        <v>7.07</v>
      </c>
      <c r="K40" s="567">
        <f t="shared" si="4"/>
        <v>9.5399999999999991</v>
      </c>
      <c r="L40" s="567">
        <f t="shared" si="4"/>
        <v>15.5</v>
      </c>
      <c r="M40" s="567">
        <f t="shared" si="4"/>
        <v>14.36</v>
      </c>
      <c r="N40" s="567">
        <f t="shared" si="4"/>
        <v>12.5</v>
      </c>
      <c r="O40" s="567">
        <f t="shared" si="4"/>
        <v>14.24</v>
      </c>
    </row>
    <row r="41" spans="1:16" s="358" customFormat="1">
      <c r="A41" s="905"/>
      <c r="B41" s="905"/>
      <c r="C41" s="906"/>
      <c r="D41" s="534">
        <v>31</v>
      </c>
      <c r="E41" s="534">
        <v>28</v>
      </c>
      <c r="F41" s="534">
        <v>31</v>
      </c>
      <c r="G41" s="1583">
        <v>30</v>
      </c>
      <c r="H41" s="1583">
        <v>31</v>
      </c>
      <c r="I41" s="1583">
        <v>30</v>
      </c>
      <c r="J41" s="534">
        <v>31</v>
      </c>
      <c r="K41" s="534">
        <v>31</v>
      </c>
      <c r="L41" s="534">
        <v>30</v>
      </c>
      <c r="M41" s="534">
        <v>30</v>
      </c>
      <c r="N41" s="534">
        <v>30</v>
      </c>
      <c r="O41" s="534">
        <v>31</v>
      </c>
    </row>
    <row r="42" spans="1:16">
      <c r="D42" s="3085" t="s">
        <v>1082</v>
      </c>
      <c r="E42" s="3085"/>
      <c r="F42" s="3085"/>
      <c r="G42" s="3085"/>
      <c r="H42" s="3085"/>
      <c r="I42" s="3085"/>
      <c r="J42" s="3085"/>
      <c r="K42" s="3085"/>
    </row>
    <row r="43" spans="1:16" ht="23">
      <c r="A43" s="547" t="s">
        <v>236</v>
      </c>
      <c r="B43" s="802" t="s">
        <v>214</v>
      </c>
      <c r="C43" s="902" t="s">
        <v>215</v>
      </c>
      <c r="D43" s="40" t="s">
        <v>65</v>
      </c>
      <c r="E43" s="40" t="s">
        <v>66</v>
      </c>
      <c r="F43" s="40" t="s">
        <v>67</v>
      </c>
      <c r="G43" s="40" t="s">
        <v>68</v>
      </c>
      <c r="H43" s="40" t="s">
        <v>69</v>
      </c>
      <c r="I43" s="40" t="s">
        <v>70</v>
      </c>
      <c r="J43" s="40" t="s">
        <v>71</v>
      </c>
      <c r="K43" s="40" t="s">
        <v>72</v>
      </c>
      <c r="L43" s="40" t="s">
        <v>73</v>
      </c>
      <c r="M43" s="40" t="s">
        <v>74</v>
      </c>
      <c r="N43" s="40" t="s">
        <v>75</v>
      </c>
      <c r="O43" s="40" t="s">
        <v>76</v>
      </c>
    </row>
    <row r="44" spans="1:16" ht="23">
      <c r="A44" s="804" t="s">
        <v>1026</v>
      </c>
      <c r="B44" s="805" t="s">
        <v>208</v>
      </c>
      <c r="C44" s="903" t="s">
        <v>983</v>
      </c>
      <c r="D44" s="1517">
        <f>D38*1.983*D$41</f>
        <v>1229.46</v>
      </c>
      <c r="E44" s="1517">
        <f t="shared" ref="E44:O44" si="5">E38*1.983*E$41</f>
        <v>777.33600000000001</v>
      </c>
      <c r="F44" s="1517">
        <f t="shared" si="5"/>
        <v>786.85440000000017</v>
      </c>
      <c r="G44" s="1517">
        <f t="shared" si="5"/>
        <v>1076.7690000000002</v>
      </c>
      <c r="H44" s="1517">
        <f t="shared" si="5"/>
        <v>2280.6483000000003</v>
      </c>
      <c r="I44" s="1517">
        <f t="shared" si="5"/>
        <v>690.08400000000006</v>
      </c>
      <c r="J44" s="1517">
        <f t="shared" si="5"/>
        <v>399.5745</v>
      </c>
      <c r="K44" s="1517">
        <f t="shared" si="5"/>
        <v>559.40430000000003</v>
      </c>
      <c r="L44" s="1517">
        <f t="shared" si="5"/>
        <v>904.24800000000005</v>
      </c>
      <c r="M44" s="1517">
        <f t="shared" si="5"/>
        <v>832.86</v>
      </c>
      <c r="N44" s="1517">
        <f t="shared" si="5"/>
        <v>725.77800000000002</v>
      </c>
      <c r="O44" s="1517">
        <f t="shared" si="5"/>
        <v>860.62200000000007</v>
      </c>
    </row>
    <row r="45" spans="1:16" ht="23">
      <c r="A45" s="807" t="s">
        <v>939</v>
      </c>
      <c r="B45" s="808" t="s">
        <v>1345</v>
      </c>
      <c r="C45" s="903" t="s">
        <v>364</v>
      </c>
      <c r="D45" s="1517">
        <f t="shared" ref="D45:O46" si="6">D39*1.983*D$41</f>
        <v>31.351230000000001</v>
      </c>
      <c r="E45" s="1517">
        <f t="shared" si="6"/>
        <v>33.314399999999999</v>
      </c>
      <c r="F45" s="1517">
        <f t="shared" si="6"/>
        <v>55.325700000000005</v>
      </c>
      <c r="G45" s="1517">
        <f t="shared" si="6"/>
        <v>43.427700000000002</v>
      </c>
      <c r="H45" s="1517">
        <f t="shared" si="6"/>
        <v>116.7987</v>
      </c>
      <c r="I45" s="1517">
        <f t="shared" si="6"/>
        <v>59.49</v>
      </c>
      <c r="J45" s="1517">
        <f t="shared" si="6"/>
        <v>35.039609999999996</v>
      </c>
      <c r="K45" s="1517">
        <f t="shared" si="6"/>
        <v>27.048120000000001</v>
      </c>
      <c r="L45" s="1517">
        <f t="shared" si="6"/>
        <v>17.847000000000001</v>
      </c>
      <c r="M45" s="1517">
        <f t="shared" si="6"/>
        <v>21.416399999999999</v>
      </c>
      <c r="N45" s="1517">
        <f t="shared" si="6"/>
        <v>17.847000000000001</v>
      </c>
      <c r="O45" s="1517">
        <f t="shared" si="6"/>
        <v>14.75352</v>
      </c>
    </row>
    <row r="46" spans="1:16" ht="23">
      <c r="A46" s="804" t="s">
        <v>1026</v>
      </c>
      <c r="B46" s="804" t="s">
        <v>982</v>
      </c>
      <c r="C46" s="904" t="s">
        <v>984</v>
      </c>
      <c r="D46" s="1517">
        <f t="shared" si="6"/>
        <v>1260.8112300000003</v>
      </c>
      <c r="E46" s="1517">
        <f t="shared" si="6"/>
        <v>810.6504000000001</v>
      </c>
      <c r="F46" s="1517">
        <f t="shared" si="6"/>
        <v>842.18010000000015</v>
      </c>
      <c r="G46" s="1517">
        <f t="shared" si="6"/>
        <v>1120.1967000000002</v>
      </c>
      <c r="H46" s="1517">
        <f t="shared" si="6"/>
        <v>2397.4470000000001</v>
      </c>
      <c r="I46" s="1517">
        <f t="shared" si="6"/>
        <v>749.57400000000007</v>
      </c>
      <c r="J46" s="1517">
        <f t="shared" si="6"/>
        <v>434.61411000000004</v>
      </c>
      <c r="K46" s="1517">
        <f t="shared" si="6"/>
        <v>586.45241999999996</v>
      </c>
      <c r="L46" s="1517">
        <f t="shared" si="6"/>
        <v>922.09500000000014</v>
      </c>
      <c r="M46" s="1517">
        <f t="shared" si="6"/>
        <v>854.27639999999997</v>
      </c>
      <c r="N46" s="1517">
        <f t="shared" si="6"/>
        <v>743.625</v>
      </c>
      <c r="O46" s="1517">
        <f t="shared" si="6"/>
        <v>875.37552000000005</v>
      </c>
    </row>
    <row r="48" spans="1:16" ht="14" customHeight="1">
      <c r="C48" s="881">
        <v>2.7230000000000002E-3</v>
      </c>
      <c r="D48" s="3082" t="s">
        <v>1366</v>
      </c>
      <c r="E48" s="3083"/>
      <c r="F48" s="3083"/>
      <c r="G48" s="3083"/>
      <c r="H48" s="3083"/>
      <c r="I48" s="3083"/>
      <c r="J48" s="3083"/>
      <c r="K48" s="3083"/>
      <c r="L48" s="3083"/>
      <c r="M48" s="3083"/>
      <c r="N48" s="3083"/>
      <c r="O48" s="3084"/>
      <c r="P48" s="909" t="s">
        <v>1346</v>
      </c>
    </row>
    <row r="49" spans="1:16" ht="23">
      <c r="A49" s="547" t="s">
        <v>236</v>
      </c>
      <c r="B49" s="802" t="s">
        <v>214</v>
      </c>
      <c r="C49" s="902" t="s">
        <v>215</v>
      </c>
      <c r="D49" s="1516" t="s">
        <v>65</v>
      </c>
      <c r="E49" s="1516" t="s">
        <v>66</v>
      </c>
      <c r="F49" s="1516" t="s">
        <v>67</v>
      </c>
      <c r="G49" s="1516" t="s">
        <v>68</v>
      </c>
      <c r="H49" s="1516" t="s">
        <v>69</v>
      </c>
      <c r="I49" s="1516" t="s">
        <v>70</v>
      </c>
      <c r="J49" s="1516" t="s">
        <v>71</v>
      </c>
      <c r="K49" s="1516" t="s">
        <v>72</v>
      </c>
      <c r="L49" s="1516" t="s">
        <v>73</v>
      </c>
      <c r="M49" s="1516" t="s">
        <v>74</v>
      </c>
      <c r="N49" s="1516" t="s">
        <v>75</v>
      </c>
      <c r="O49" s="1516" t="s">
        <v>76</v>
      </c>
      <c r="P49" s="87" t="s">
        <v>1083</v>
      </c>
    </row>
    <row r="50" spans="1:16" ht="23">
      <c r="A50" s="804" t="s">
        <v>1026</v>
      </c>
      <c r="B50" s="805" t="s">
        <v>208</v>
      </c>
      <c r="C50" s="903" t="s">
        <v>983</v>
      </c>
      <c r="D50" s="907">
        <f>D44*D4*$C$48</f>
        <v>5.0217293700000001</v>
      </c>
      <c r="E50" s="907">
        <f t="shared" ref="E50:O50" si="7">E44*E4*$C$48</f>
        <v>4.2333718560000007</v>
      </c>
      <c r="F50" s="907">
        <f t="shared" si="7"/>
        <v>3.8566881561600015</v>
      </c>
      <c r="G50" s="907">
        <f t="shared" si="7"/>
        <v>4.1048587818000009</v>
      </c>
      <c r="H50" s="907">
        <f t="shared" si="7"/>
        <v>9.315307981350001</v>
      </c>
      <c r="I50" s="907">
        <f t="shared" si="7"/>
        <v>3.3823777176000007</v>
      </c>
      <c r="J50" s="907">
        <f t="shared" si="7"/>
        <v>5.1137944084500004</v>
      </c>
      <c r="K50" s="907">
        <f t="shared" si="7"/>
        <v>3.0465158178000005</v>
      </c>
      <c r="L50" s="907">
        <f t="shared" si="7"/>
        <v>3.4471742256000004</v>
      </c>
      <c r="M50" s="907">
        <f t="shared" si="7"/>
        <v>3.6286044480000004</v>
      </c>
      <c r="N50" s="907">
        <f t="shared" si="7"/>
        <v>4.5454750362</v>
      </c>
      <c r="O50" s="907">
        <f t="shared" si="7"/>
        <v>3.9839053002000004</v>
      </c>
      <c r="P50" s="908">
        <f>SUM(D50:O50)</f>
        <v>53.679803099160004</v>
      </c>
    </row>
    <row r="51" spans="1:16" ht="23">
      <c r="A51" s="807" t="s">
        <v>939</v>
      </c>
      <c r="B51" s="808" t="s">
        <v>1345</v>
      </c>
      <c r="C51" s="903" t="s">
        <v>364</v>
      </c>
      <c r="D51" s="907">
        <f t="shared" ref="D51:O51" si="8">D45*D6*$C$48</f>
        <v>0.14512797879300002</v>
      </c>
      <c r="E51" s="907">
        <f t="shared" si="8"/>
        <v>0.19050173352000002</v>
      </c>
      <c r="F51" s="907">
        <f t="shared" si="8"/>
        <v>0.27117338598000007</v>
      </c>
      <c r="G51" s="907">
        <f t="shared" si="8"/>
        <v>0.17738044065</v>
      </c>
      <c r="H51" s="907">
        <f t="shared" si="8"/>
        <v>0.50886857616000003</v>
      </c>
      <c r="I51" s="907">
        <f t="shared" si="8"/>
        <v>0.22678777800000002</v>
      </c>
      <c r="J51" s="907">
        <f t="shared" si="8"/>
        <v>0.467523004347</v>
      </c>
      <c r="K51" s="907">
        <f t="shared" si="8"/>
        <v>0.169399670748</v>
      </c>
      <c r="L51" s="907">
        <f t="shared" si="8"/>
        <v>6.803633340000001E-2</v>
      </c>
      <c r="M51" s="907">
        <f t="shared" si="8"/>
        <v>0.1166337144</v>
      </c>
      <c r="N51" s="907">
        <f t="shared" si="8"/>
        <v>0.10691423820000001</v>
      </c>
      <c r="O51" s="907">
        <f t="shared" si="8"/>
        <v>7.6330286423999999E-2</v>
      </c>
      <c r="P51" s="908">
        <f>SUM(D51:O51)</f>
        <v>2.5246771406219999</v>
      </c>
    </row>
    <row r="52" spans="1:16" ht="23">
      <c r="A52" s="804" t="s">
        <v>1026</v>
      </c>
      <c r="B52" s="804" t="s">
        <v>982</v>
      </c>
      <c r="C52" s="904" t="s">
        <v>984</v>
      </c>
      <c r="D52" s="907">
        <f t="shared" ref="D52:O52" si="9">D46*D5*$C$48</f>
        <v>4.8064645710060008</v>
      </c>
      <c r="E52" s="907">
        <f t="shared" si="9"/>
        <v>4.1940619744800003</v>
      </c>
      <c r="F52" s="907">
        <f t="shared" si="9"/>
        <v>5.5038153895200015</v>
      </c>
      <c r="G52" s="907">
        <f t="shared" si="9"/>
        <v>4.8804729825600015</v>
      </c>
      <c r="H52" s="907">
        <f t="shared" si="9"/>
        <v>15.667795634400001</v>
      </c>
      <c r="I52" s="907">
        <f t="shared" si="9"/>
        <v>3.6739620036000007</v>
      </c>
      <c r="J52" s="907">
        <f t="shared" si="9"/>
        <v>1.656835910142</v>
      </c>
      <c r="K52" s="907">
        <f t="shared" si="9"/>
        <v>3.1938198793199999</v>
      </c>
      <c r="L52" s="907">
        <f t="shared" si="9"/>
        <v>2.7619511535000005</v>
      </c>
      <c r="M52" s="907">
        <f t="shared" si="9"/>
        <v>3.4892919558000002</v>
      </c>
      <c r="N52" s="907">
        <f t="shared" si="9"/>
        <v>4.4547599250000003</v>
      </c>
      <c r="O52" s="907">
        <f t="shared" si="9"/>
        <v>3.5754713114400003</v>
      </c>
      <c r="P52" s="908">
        <f>SUM(D52:O52)</f>
        <v>57.858702690768006</v>
      </c>
    </row>
    <row r="56" spans="1:16" ht="42">
      <c r="B56" s="910" t="s">
        <v>151</v>
      </c>
      <c r="C56" s="910" t="s">
        <v>152</v>
      </c>
      <c r="D56" s="910" t="s">
        <v>153</v>
      </c>
      <c r="E56" s="910" t="s">
        <v>154</v>
      </c>
      <c r="F56" s="910" t="s">
        <v>307</v>
      </c>
    </row>
    <row r="57" spans="1:16">
      <c r="B57" s="924">
        <v>2</v>
      </c>
      <c r="C57" s="150">
        <v>0.22</v>
      </c>
      <c r="D57" s="925">
        <v>0.36</v>
      </c>
      <c r="E57" s="925">
        <f>C57*3</f>
        <v>0.66</v>
      </c>
      <c r="F57" s="926">
        <f>D57*E57</f>
        <v>0.23760000000000001</v>
      </c>
    </row>
    <row r="58" spans="1:16">
      <c r="B58" s="934">
        <v>4</v>
      </c>
      <c r="C58" s="935">
        <v>0.62</v>
      </c>
      <c r="D58" s="935">
        <v>0.5</v>
      </c>
      <c r="E58" s="925">
        <f t="shared" ref="E58" si="10">C58*4</f>
        <v>2.48</v>
      </c>
      <c r="F58" s="926">
        <f>D58*E58</f>
        <v>1.24</v>
      </c>
    </row>
  </sheetData>
  <mergeCells count="8">
    <mergeCell ref="D2:O2"/>
    <mergeCell ref="D7:O7"/>
    <mergeCell ref="D48:O48"/>
    <mergeCell ref="D42:K42"/>
    <mergeCell ref="C13:D13"/>
    <mergeCell ref="C31:D31"/>
    <mergeCell ref="D36:K36"/>
    <mergeCell ref="F19:G19"/>
  </mergeCells>
  <conditionalFormatting sqref="C15">
    <cfRule type="cellIs" dxfId="5" priority="6" operator="lessThan">
      <formula>$G$38</formula>
    </cfRule>
  </conditionalFormatting>
  <conditionalFormatting sqref="E15">
    <cfRule type="cellIs" dxfId="4" priority="5" operator="lessThan">
      <formula>$G$38</formula>
    </cfRule>
  </conditionalFormatting>
  <conditionalFormatting sqref="F15">
    <cfRule type="cellIs" dxfId="3" priority="4" operator="lessThan">
      <formula>$G$38</formula>
    </cfRule>
  </conditionalFormatting>
  <conditionalFormatting sqref="C33">
    <cfRule type="cellIs" dxfId="2" priority="3" operator="lessThan">
      <formula>$G$38</formula>
    </cfRule>
  </conditionalFormatting>
  <conditionalFormatting sqref="E33">
    <cfRule type="cellIs" dxfId="1" priority="2" operator="lessThan">
      <formula>$G$38</formula>
    </cfRule>
  </conditionalFormatting>
  <conditionalFormatting sqref="F33">
    <cfRule type="cellIs" dxfId="0" priority="1" operator="lessThan">
      <formula>$G$38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0.59999389629810485"/>
  </sheetPr>
  <dimension ref="A1:AH431"/>
  <sheetViews>
    <sheetView topLeftCell="L1" workbookViewId="0">
      <selection activeCell="W9" sqref="W9:AH9"/>
    </sheetView>
  </sheetViews>
  <sheetFormatPr defaultRowHeight="14"/>
  <cols>
    <col min="1" max="1" width="11.453125" bestFit="1" customWidth="1"/>
    <col min="2" max="2" width="11.7265625" bestFit="1" customWidth="1"/>
    <col min="3" max="3" width="14.81640625" bestFit="1" customWidth="1"/>
    <col min="4" max="4" width="11.36328125" bestFit="1" customWidth="1"/>
    <col min="5" max="5" width="14.81640625" bestFit="1" customWidth="1"/>
    <col min="6" max="6" width="7.453125" customWidth="1"/>
    <col min="7" max="7" width="16.08984375" bestFit="1" customWidth="1"/>
    <col min="8" max="9" width="8" bestFit="1" customWidth="1"/>
    <col min="10" max="10" width="5.81640625" bestFit="1" customWidth="1"/>
    <col min="11" max="11" width="7.90625" bestFit="1" customWidth="1"/>
    <col min="12" max="12" width="4.90625" bestFit="1" customWidth="1"/>
    <col min="13" max="13" width="5.81640625" bestFit="1" customWidth="1"/>
    <col min="14" max="14" width="13.81640625" bestFit="1" customWidth="1"/>
    <col min="16" max="16" width="3.81640625" style="358" bestFit="1" customWidth="1"/>
    <col min="17" max="17" width="4.81640625" bestFit="1" customWidth="1"/>
    <col min="18" max="18" width="9.90625" style="358" customWidth="1"/>
    <col min="19" max="19" width="5.90625" bestFit="1" customWidth="1"/>
    <col min="20" max="20" width="8.36328125" customWidth="1"/>
    <col min="21" max="21" width="7.08984375" bestFit="1" customWidth="1"/>
    <col min="22" max="22" width="31.90625" customWidth="1"/>
    <col min="23" max="23" width="4.81640625" bestFit="1" customWidth="1"/>
    <col min="24" max="24" width="3.81640625" style="358" bestFit="1" customWidth="1"/>
    <col min="25" max="25" width="4.81640625" bestFit="1" customWidth="1"/>
    <col min="26" max="26" width="3.81640625" style="358" bestFit="1" customWidth="1"/>
    <col min="27" max="27" width="4.81640625" bestFit="1" customWidth="1"/>
    <col min="28" max="28" width="4.453125" style="358" customWidth="1"/>
    <col min="29" max="29" width="4.81640625" bestFit="1" customWidth="1"/>
    <col min="30" max="30" width="3.81640625" style="358" bestFit="1" customWidth="1"/>
    <col min="31" max="31" width="4.81640625" bestFit="1" customWidth="1"/>
    <col min="32" max="32" width="3.90625" style="358" customWidth="1"/>
    <col min="33" max="33" width="5.08984375" customWidth="1"/>
    <col min="34" max="34" width="3.81640625" bestFit="1" customWidth="1"/>
  </cols>
  <sheetData>
    <row r="1" spans="1:34">
      <c r="A1" s="627" t="s">
        <v>716</v>
      </c>
      <c r="B1" s="627" t="s">
        <v>717</v>
      </c>
      <c r="C1" s="628" t="s">
        <v>718</v>
      </c>
      <c r="D1" s="628" t="s">
        <v>719</v>
      </c>
      <c r="E1" s="627" t="s">
        <v>720</v>
      </c>
      <c r="F1" s="627" t="s">
        <v>721</v>
      </c>
      <c r="G1" s="627" t="s">
        <v>934</v>
      </c>
      <c r="H1" s="629" t="s">
        <v>722</v>
      </c>
      <c r="I1" s="630" t="s">
        <v>722</v>
      </c>
      <c r="J1" s="627" t="s">
        <v>935</v>
      </c>
      <c r="K1" s="627" t="s">
        <v>936</v>
      </c>
      <c r="L1" s="631" t="s">
        <v>937</v>
      </c>
      <c r="M1" s="631" t="s">
        <v>482</v>
      </c>
      <c r="N1" s="628" t="s">
        <v>938</v>
      </c>
      <c r="Q1" s="447"/>
      <c r="R1" s="447"/>
      <c r="S1" s="215"/>
      <c r="T1" s="215"/>
      <c r="AA1" s="216"/>
      <c r="AB1" s="216"/>
      <c r="AC1" s="216"/>
      <c r="AD1" s="216"/>
      <c r="AE1" s="215"/>
      <c r="AF1" s="215"/>
    </row>
    <row r="2" spans="1:34" s="358" customFormat="1">
      <c r="A2" s="2052" t="s">
        <v>1519</v>
      </c>
      <c r="B2" s="2057" t="s">
        <v>950</v>
      </c>
      <c r="C2" s="2056">
        <v>43234</v>
      </c>
      <c r="D2" s="2056">
        <v>43234</v>
      </c>
      <c r="E2" s="2060" t="s">
        <v>181</v>
      </c>
      <c r="F2" s="2052" t="s">
        <v>723</v>
      </c>
      <c r="G2" s="2058" t="s">
        <v>940</v>
      </c>
      <c r="H2" s="2054">
        <v>727</v>
      </c>
      <c r="I2" s="2059">
        <v>727</v>
      </c>
      <c r="J2" s="2052"/>
      <c r="K2" s="2061" t="s">
        <v>941</v>
      </c>
      <c r="L2" s="2055">
        <v>6</v>
      </c>
      <c r="M2" s="2055">
        <v>42</v>
      </c>
      <c r="N2" s="2053">
        <v>43259</v>
      </c>
      <c r="O2" s="190">
        <v>43234</v>
      </c>
      <c r="P2" s="2681">
        <v>64</v>
      </c>
      <c r="Q2" s="2678">
        <v>675</v>
      </c>
      <c r="R2" s="2704"/>
    </row>
    <row r="3" spans="1:34" s="358" customFormat="1">
      <c r="A3" s="2052" t="s">
        <v>1519</v>
      </c>
      <c r="B3" s="2057" t="s">
        <v>950</v>
      </c>
      <c r="C3" s="2056">
        <v>43234</v>
      </c>
      <c r="D3" s="2056">
        <v>43234</v>
      </c>
      <c r="E3" s="2052" t="s">
        <v>160</v>
      </c>
      <c r="F3" s="2052" t="s">
        <v>723</v>
      </c>
      <c r="G3" s="2058" t="s">
        <v>942</v>
      </c>
      <c r="H3" s="2054">
        <v>33</v>
      </c>
      <c r="I3" s="2059">
        <v>33</v>
      </c>
      <c r="J3" s="2054"/>
      <c r="K3" s="2052" t="s">
        <v>941</v>
      </c>
      <c r="L3" s="2055">
        <v>2</v>
      </c>
      <c r="M3" s="2055">
        <v>8</v>
      </c>
      <c r="N3" s="2053">
        <v>43259</v>
      </c>
      <c r="O3" s="190">
        <v>43270</v>
      </c>
      <c r="P3" s="2681">
        <v>64</v>
      </c>
      <c r="Q3" s="2678">
        <v>30</v>
      </c>
      <c r="R3" s="2704"/>
      <c r="U3" s="3095" t="s">
        <v>214</v>
      </c>
      <c r="V3" s="3097" t="s">
        <v>215</v>
      </c>
      <c r="W3" s="3113">
        <v>43234</v>
      </c>
      <c r="X3" s="3112"/>
      <c r="Y3" s="3112">
        <v>43270</v>
      </c>
      <c r="Z3" s="3112"/>
      <c r="AA3" s="3114">
        <v>43300</v>
      </c>
      <c r="AB3" s="3114"/>
      <c r="AC3" s="3114">
        <v>43326</v>
      </c>
      <c r="AD3" s="3114"/>
      <c r="AE3" s="3114">
        <v>43371</v>
      </c>
      <c r="AF3" s="3114"/>
      <c r="AG3" s="3112">
        <v>43396</v>
      </c>
      <c r="AH3" s="3112"/>
    </row>
    <row r="4" spans="1:34" s="358" customFormat="1">
      <c r="A4" s="2062" t="s">
        <v>1520</v>
      </c>
      <c r="B4" s="2067" t="s">
        <v>1279</v>
      </c>
      <c r="C4" s="2066">
        <v>43234</v>
      </c>
      <c r="D4" s="2066">
        <v>43234</v>
      </c>
      <c r="E4" s="2070" t="s">
        <v>181</v>
      </c>
      <c r="F4" s="2062" t="s">
        <v>723</v>
      </c>
      <c r="G4" s="2068" t="s">
        <v>940</v>
      </c>
      <c r="H4" s="2064">
        <v>1212</v>
      </c>
      <c r="I4" s="2069">
        <v>1212</v>
      </c>
      <c r="J4" s="2062"/>
      <c r="K4" s="2071" t="s">
        <v>941</v>
      </c>
      <c r="L4" s="2065">
        <v>6</v>
      </c>
      <c r="M4" s="2065">
        <v>42</v>
      </c>
      <c r="N4" s="2063">
        <v>43259</v>
      </c>
      <c r="O4" s="190">
        <v>43300</v>
      </c>
      <c r="P4" s="2681">
        <v>25</v>
      </c>
      <c r="Q4" s="2678">
        <v>41</v>
      </c>
      <c r="R4" s="2704"/>
      <c r="U4" s="3096"/>
      <c r="V4" s="3098"/>
      <c r="W4" s="358" t="s">
        <v>28</v>
      </c>
      <c r="X4" s="358" t="s">
        <v>27</v>
      </c>
      <c r="Y4" s="358" t="s">
        <v>28</v>
      </c>
      <c r="Z4" s="358" t="s">
        <v>27</v>
      </c>
      <c r="AA4" s="358" t="s">
        <v>28</v>
      </c>
      <c r="AB4" s="358" t="s">
        <v>27</v>
      </c>
      <c r="AC4" s="358" t="s">
        <v>28</v>
      </c>
      <c r="AD4" s="358" t="s">
        <v>27</v>
      </c>
      <c r="AE4" s="358" t="s">
        <v>28</v>
      </c>
      <c r="AF4" s="358" t="s">
        <v>27</v>
      </c>
      <c r="AG4" s="358" t="s">
        <v>28</v>
      </c>
      <c r="AH4" s="358" t="s">
        <v>27</v>
      </c>
    </row>
    <row r="5" spans="1:34" s="358" customFormat="1">
      <c r="A5" s="2062" t="s">
        <v>1520</v>
      </c>
      <c r="B5" s="2067" t="s">
        <v>1279</v>
      </c>
      <c r="C5" s="2066">
        <v>43234</v>
      </c>
      <c r="D5" s="2066">
        <v>43234</v>
      </c>
      <c r="E5" s="2062" t="s">
        <v>160</v>
      </c>
      <c r="F5" s="2062" t="s">
        <v>723</v>
      </c>
      <c r="G5" s="2068" t="s">
        <v>942</v>
      </c>
      <c r="H5" s="2064">
        <v>6</v>
      </c>
      <c r="I5" s="2069">
        <v>6</v>
      </c>
      <c r="J5" s="2064" t="s">
        <v>953</v>
      </c>
      <c r="K5" s="2062" t="s">
        <v>941</v>
      </c>
      <c r="L5" s="2065">
        <v>2</v>
      </c>
      <c r="M5" s="2065">
        <v>8</v>
      </c>
      <c r="N5" s="2063">
        <v>43259</v>
      </c>
      <c r="O5" s="190">
        <v>43326</v>
      </c>
      <c r="P5" s="2681">
        <v>25</v>
      </c>
      <c r="Q5" s="2678">
        <v>11</v>
      </c>
      <c r="R5" s="2704"/>
      <c r="S5" s="3093" t="s">
        <v>1236</v>
      </c>
      <c r="T5" s="3093" t="s">
        <v>1246</v>
      </c>
      <c r="U5" s="1035" t="s">
        <v>202</v>
      </c>
      <c r="V5" s="1037" t="s">
        <v>585</v>
      </c>
      <c r="W5" s="4"/>
      <c r="X5" s="4"/>
      <c r="Y5" s="4">
        <v>241</v>
      </c>
      <c r="Z5" s="4">
        <v>2</v>
      </c>
      <c r="AA5" s="218">
        <v>133</v>
      </c>
      <c r="AB5" s="218">
        <v>2</v>
      </c>
      <c r="AC5" s="218">
        <v>180</v>
      </c>
      <c r="AD5" s="218">
        <v>4</v>
      </c>
      <c r="AE5" s="218">
        <v>211</v>
      </c>
      <c r="AF5" s="218">
        <v>7</v>
      </c>
      <c r="AG5" s="4"/>
      <c r="AH5" s="4"/>
    </row>
    <row r="6" spans="1:34" ht="14" customHeight="1">
      <c r="A6" s="2710" t="s">
        <v>1715</v>
      </c>
      <c r="B6" s="2707">
        <v>64</v>
      </c>
      <c r="C6" s="2706">
        <v>43235</v>
      </c>
      <c r="D6" s="2706">
        <v>43235</v>
      </c>
      <c r="E6" s="2711" t="s">
        <v>181</v>
      </c>
      <c r="F6" s="2702" t="s">
        <v>723</v>
      </c>
      <c r="G6" s="2708" t="s">
        <v>940</v>
      </c>
      <c r="H6" s="2704">
        <v>763</v>
      </c>
      <c r="I6" s="2709">
        <v>763</v>
      </c>
      <c r="J6" s="2702"/>
      <c r="K6" s="2712" t="s">
        <v>941</v>
      </c>
      <c r="L6" s="2705">
        <v>6</v>
      </c>
      <c r="M6" s="2705">
        <v>42</v>
      </c>
      <c r="N6" s="2703">
        <v>43263</v>
      </c>
      <c r="O6" s="190">
        <v>43371</v>
      </c>
      <c r="P6" s="2681">
        <v>58</v>
      </c>
      <c r="Q6" s="2678">
        <v>190</v>
      </c>
      <c r="R6" s="2704"/>
      <c r="S6" s="3094"/>
      <c r="T6" s="3094"/>
      <c r="U6" s="1035" t="s">
        <v>203</v>
      </c>
      <c r="V6" s="1037" t="s">
        <v>1237</v>
      </c>
      <c r="W6" s="2860"/>
      <c r="X6" s="854"/>
      <c r="Y6" s="854">
        <v>495</v>
      </c>
      <c r="Z6" s="854">
        <v>8</v>
      </c>
      <c r="AA6" s="218">
        <v>187</v>
      </c>
      <c r="AB6" s="218">
        <v>5</v>
      </c>
      <c r="AC6" s="218">
        <v>253</v>
      </c>
      <c r="AD6" s="218">
        <v>9</v>
      </c>
      <c r="AE6" s="218">
        <v>326</v>
      </c>
      <c r="AF6" s="218">
        <v>12</v>
      </c>
      <c r="AG6" s="4"/>
      <c r="AH6" s="4"/>
    </row>
    <row r="7" spans="1:34">
      <c r="A7" s="2710" t="s">
        <v>1715</v>
      </c>
      <c r="B7" s="2707">
        <v>64</v>
      </c>
      <c r="C7" s="2706">
        <v>43235</v>
      </c>
      <c r="D7" s="2706">
        <v>43235</v>
      </c>
      <c r="E7" s="2702" t="s">
        <v>160</v>
      </c>
      <c r="F7" s="2702" t="s">
        <v>723</v>
      </c>
      <c r="G7" s="2708" t="s">
        <v>942</v>
      </c>
      <c r="H7" s="2704">
        <v>170</v>
      </c>
      <c r="I7" s="2709">
        <v>170</v>
      </c>
      <c r="J7" s="2704"/>
      <c r="K7" s="2702" t="s">
        <v>941</v>
      </c>
      <c r="L7" s="2705">
        <v>2</v>
      </c>
      <c r="M7" s="2705">
        <v>8</v>
      </c>
      <c r="N7" s="2703">
        <v>43263</v>
      </c>
      <c r="O7" s="190">
        <v>43396</v>
      </c>
      <c r="P7" s="2681">
        <v>58</v>
      </c>
      <c r="Q7" s="2678">
        <v>3</v>
      </c>
      <c r="R7" s="2704"/>
      <c r="S7" s="3104" t="s">
        <v>1017</v>
      </c>
      <c r="T7" s="3093" t="s">
        <v>1247</v>
      </c>
      <c r="U7" s="367" t="s">
        <v>292</v>
      </c>
      <c r="V7" s="1038" t="s">
        <v>1376</v>
      </c>
      <c r="W7" s="2797">
        <v>341</v>
      </c>
      <c r="X7" s="854">
        <v>19</v>
      </c>
      <c r="Y7" s="854">
        <v>195</v>
      </c>
      <c r="Z7" s="854">
        <v>14</v>
      </c>
      <c r="AA7" s="218">
        <v>144</v>
      </c>
      <c r="AB7" s="218">
        <v>4</v>
      </c>
      <c r="AC7" s="218">
        <v>139</v>
      </c>
      <c r="AD7" s="218">
        <v>4</v>
      </c>
      <c r="AE7" s="218">
        <v>150</v>
      </c>
      <c r="AF7" s="218">
        <v>2</v>
      </c>
      <c r="AG7" s="4">
        <v>190</v>
      </c>
      <c r="AH7" s="4">
        <v>3</v>
      </c>
    </row>
    <row r="8" spans="1:34">
      <c r="A8" s="2710" t="s">
        <v>1716</v>
      </c>
      <c r="B8" s="2707">
        <v>25</v>
      </c>
      <c r="C8" s="2706">
        <v>43235</v>
      </c>
      <c r="D8" s="2706">
        <v>43235</v>
      </c>
      <c r="E8" s="2711" t="s">
        <v>181</v>
      </c>
      <c r="F8" s="2702" t="s">
        <v>723</v>
      </c>
      <c r="G8" s="2708" t="s">
        <v>940</v>
      </c>
      <c r="H8" s="2704">
        <v>181</v>
      </c>
      <c r="I8" s="2709">
        <v>181</v>
      </c>
      <c r="J8" s="2702"/>
      <c r="K8" s="2712" t="s">
        <v>941</v>
      </c>
      <c r="L8" s="2705">
        <v>6</v>
      </c>
      <c r="M8" s="2705">
        <v>42</v>
      </c>
      <c r="N8" s="2703">
        <v>43263</v>
      </c>
      <c r="P8" s="2681" t="s">
        <v>1367</v>
      </c>
      <c r="Q8" s="2678">
        <v>106</v>
      </c>
      <c r="R8" s="2704"/>
      <c r="S8" s="3105"/>
      <c r="T8" s="3107"/>
      <c r="U8" s="368" t="s">
        <v>291</v>
      </c>
      <c r="V8" s="1038" t="s">
        <v>316</v>
      </c>
      <c r="W8" s="2860">
        <v>209</v>
      </c>
      <c r="X8" s="854">
        <v>19</v>
      </c>
      <c r="Y8" s="854">
        <v>218</v>
      </c>
      <c r="Z8" s="854">
        <v>21</v>
      </c>
      <c r="AA8" s="218">
        <v>170</v>
      </c>
      <c r="AB8" s="218">
        <v>9</v>
      </c>
      <c r="AC8" s="218">
        <v>111</v>
      </c>
      <c r="AD8" s="218">
        <v>8</v>
      </c>
      <c r="AE8" s="218">
        <v>148</v>
      </c>
      <c r="AF8" s="218">
        <v>6</v>
      </c>
      <c r="AG8" s="4">
        <v>106</v>
      </c>
      <c r="AH8" s="4">
        <v>6</v>
      </c>
    </row>
    <row r="9" spans="1:34">
      <c r="A9" s="2710" t="s">
        <v>1716</v>
      </c>
      <c r="B9" s="2707">
        <v>25</v>
      </c>
      <c r="C9" s="2706">
        <v>43235</v>
      </c>
      <c r="D9" s="2706">
        <v>43235</v>
      </c>
      <c r="E9" s="2702" t="s">
        <v>160</v>
      </c>
      <c r="F9" s="2702" t="s">
        <v>723</v>
      </c>
      <c r="G9" s="2708" t="s">
        <v>942</v>
      </c>
      <c r="H9" s="2704">
        <v>37</v>
      </c>
      <c r="I9" s="2709">
        <v>37</v>
      </c>
      <c r="J9" s="2704"/>
      <c r="K9" s="2702" t="s">
        <v>941</v>
      </c>
      <c r="L9" s="2705">
        <v>2</v>
      </c>
      <c r="M9" s="2705">
        <v>8</v>
      </c>
      <c r="N9" s="2703">
        <v>43263</v>
      </c>
      <c r="P9" s="2681" t="s">
        <v>1367</v>
      </c>
      <c r="Q9" s="2678">
        <v>6</v>
      </c>
      <c r="R9" s="2704"/>
      <c r="S9" s="3106"/>
      <c r="T9" s="3094"/>
      <c r="U9" s="368" t="s">
        <v>217</v>
      </c>
      <c r="V9" s="904" t="s">
        <v>218</v>
      </c>
      <c r="W9" s="854">
        <v>227</v>
      </c>
      <c r="X9" s="854">
        <v>11</v>
      </c>
      <c r="Y9" s="2799">
        <v>254</v>
      </c>
      <c r="Z9" s="2799">
        <v>21</v>
      </c>
      <c r="AA9" s="220">
        <v>355</v>
      </c>
      <c r="AB9" s="220">
        <v>25</v>
      </c>
      <c r="AC9" s="220">
        <v>518</v>
      </c>
      <c r="AD9" s="220">
        <v>62</v>
      </c>
      <c r="AE9" s="218">
        <v>363</v>
      </c>
      <c r="AF9" s="218">
        <v>25</v>
      </c>
      <c r="AG9" s="4">
        <v>196</v>
      </c>
      <c r="AH9" s="4">
        <v>20</v>
      </c>
    </row>
    <row r="10" spans="1:34">
      <c r="A10" s="2710" t="s">
        <v>1717</v>
      </c>
      <c r="B10" s="2707">
        <v>58</v>
      </c>
      <c r="C10" s="2706">
        <v>43235</v>
      </c>
      <c r="D10" s="2706">
        <v>43235</v>
      </c>
      <c r="E10" s="2711" t="s">
        <v>181</v>
      </c>
      <c r="F10" s="2702" t="s">
        <v>723</v>
      </c>
      <c r="G10" s="2708" t="s">
        <v>940</v>
      </c>
      <c r="H10" s="2704">
        <v>341</v>
      </c>
      <c r="I10" s="2709">
        <v>341</v>
      </c>
      <c r="J10" s="2702"/>
      <c r="K10" s="2712" t="s">
        <v>941</v>
      </c>
      <c r="L10" s="2705">
        <v>6</v>
      </c>
      <c r="M10" s="2705">
        <v>42</v>
      </c>
      <c r="N10" s="2703">
        <v>43263</v>
      </c>
      <c r="P10" s="2681" t="s">
        <v>1368</v>
      </c>
      <c r="Q10" s="2678">
        <v>105</v>
      </c>
      <c r="R10" s="2704"/>
      <c r="S10" s="2861" t="s">
        <v>1018</v>
      </c>
      <c r="T10" s="1746" t="s">
        <v>1248</v>
      </c>
      <c r="U10" s="368" t="s">
        <v>211</v>
      </c>
      <c r="V10" s="904" t="s">
        <v>225</v>
      </c>
      <c r="W10" s="4">
        <v>181</v>
      </c>
      <c r="X10" s="4">
        <v>37</v>
      </c>
      <c r="Y10" s="4">
        <v>144</v>
      </c>
      <c r="Z10" s="4">
        <v>54</v>
      </c>
      <c r="AA10" s="218">
        <v>68</v>
      </c>
      <c r="AB10" s="218">
        <v>7</v>
      </c>
      <c r="AC10" s="218">
        <v>87</v>
      </c>
      <c r="AD10" s="218">
        <v>7</v>
      </c>
      <c r="AE10" s="218">
        <v>51</v>
      </c>
      <c r="AF10" s="218">
        <v>8</v>
      </c>
      <c r="AG10" s="4">
        <v>41</v>
      </c>
      <c r="AH10" s="4">
        <v>11</v>
      </c>
    </row>
    <row r="11" spans="1:34">
      <c r="A11" s="2710" t="s">
        <v>1717</v>
      </c>
      <c r="B11" s="2707">
        <v>58</v>
      </c>
      <c r="C11" s="2706">
        <v>43235</v>
      </c>
      <c r="D11" s="2706">
        <v>43235</v>
      </c>
      <c r="E11" s="2702" t="s">
        <v>160</v>
      </c>
      <c r="F11" s="2702" t="s">
        <v>723</v>
      </c>
      <c r="G11" s="2708" t="s">
        <v>942</v>
      </c>
      <c r="H11" s="2704">
        <v>19</v>
      </c>
      <c r="I11" s="2709">
        <v>19</v>
      </c>
      <c r="J11" s="2704"/>
      <c r="K11" s="2702" t="s">
        <v>941</v>
      </c>
      <c r="L11" s="2705">
        <v>2</v>
      </c>
      <c r="M11" s="2705">
        <v>8</v>
      </c>
      <c r="N11" s="2703">
        <v>43263</v>
      </c>
      <c r="P11" s="2681" t="s">
        <v>1368</v>
      </c>
      <c r="Q11" s="2678">
        <v>13</v>
      </c>
      <c r="R11" s="2704"/>
      <c r="S11" s="2855" t="s">
        <v>1238</v>
      </c>
      <c r="T11" s="2837" t="s">
        <v>740</v>
      </c>
      <c r="U11" s="368" t="s">
        <v>1240</v>
      </c>
      <c r="V11" s="904" t="s">
        <v>1239</v>
      </c>
      <c r="W11" s="4">
        <v>287</v>
      </c>
      <c r="X11" s="4">
        <v>13</v>
      </c>
      <c r="Y11" s="4">
        <v>287</v>
      </c>
      <c r="Z11" s="4">
        <v>11</v>
      </c>
      <c r="AA11" s="218">
        <v>270</v>
      </c>
      <c r="AB11" s="218">
        <v>11</v>
      </c>
      <c r="AC11" s="218">
        <v>253</v>
      </c>
      <c r="AD11" s="218">
        <v>17</v>
      </c>
      <c r="AE11" s="218">
        <v>161</v>
      </c>
      <c r="AF11" s="218">
        <v>11</v>
      </c>
      <c r="AG11" s="4">
        <v>250</v>
      </c>
      <c r="AH11" s="4">
        <v>13</v>
      </c>
    </row>
    <row r="12" spans="1:34" s="358" customFormat="1">
      <c r="A12" s="2710" t="s">
        <v>1718</v>
      </c>
      <c r="B12" s="2707" t="s">
        <v>1367</v>
      </c>
      <c r="C12" s="2706">
        <v>43235</v>
      </c>
      <c r="D12" s="2706">
        <v>43235</v>
      </c>
      <c r="E12" s="2711" t="s">
        <v>181</v>
      </c>
      <c r="F12" s="2702" t="s">
        <v>723</v>
      </c>
      <c r="G12" s="2708" t="s">
        <v>940</v>
      </c>
      <c r="H12" s="2704">
        <v>209</v>
      </c>
      <c r="I12" s="2709">
        <v>209</v>
      </c>
      <c r="J12" s="2702"/>
      <c r="K12" s="2712" t="s">
        <v>941</v>
      </c>
      <c r="L12" s="2705">
        <v>6</v>
      </c>
      <c r="M12" s="2705">
        <v>42</v>
      </c>
      <c r="N12" s="2703">
        <v>43263</v>
      </c>
      <c r="P12" s="2681">
        <v>26</v>
      </c>
      <c r="Q12" s="2678">
        <v>109</v>
      </c>
      <c r="R12" s="2704"/>
      <c r="S12" s="3108" t="s">
        <v>1019</v>
      </c>
      <c r="T12" s="3101" t="s">
        <v>1253</v>
      </c>
      <c r="U12" s="368" t="s">
        <v>166</v>
      </c>
      <c r="V12" s="904" t="s">
        <v>232</v>
      </c>
      <c r="W12" s="4">
        <v>358</v>
      </c>
      <c r="X12" s="4">
        <v>36</v>
      </c>
      <c r="Y12" s="4">
        <v>275</v>
      </c>
      <c r="Z12" s="4">
        <v>27</v>
      </c>
      <c r="AA12" s="218">
        <v>298</v>
      </c>
      <c r="AB12" s="218">
        <v>31</v>
      </c>
      <c r="AC12" s="218">
        <v>329</v>
      </c>
      <c r="AD12" s="218">
        <v>46</v>
      </c>
      <c r="AE12" s="218">
        <v>274</v>
      </c>
      <c r="AF12" s="218">
        <v>33</v>
      </c>
      <c r="AG12" s="4">
        <v>172</v>
      </c>
      <c r="AH12" s="4">
        <v>34</v>
      </c>
    </row>
    <row r="13" spans="1:34" s="358" customFormat="1">
      <c r="A13" s="2710" t="s">
        <v>1718</v>
      </c>
      <c r="B13" s="2707" t="s">
        <v>1367</v>
      </c>
      <c r="C13" s="2706">
        <v>43235</v>
      </c>
      <c r="D13" s="2706">
        <v>43235</v>
      </c>
      <c r="E13" s="2702" t="s">
        <v>160</v>
      </c>
      <c r="F13" s="2702" t="s">
        <v>723</v>
      </c>
      <c r="G13" s="2708" t="s">
        <v>942</v>
      </c>
      <c r="H13" s="2704">
        <v>19</v>
      </c>
      <c r="I13" s="2709">
        <v>19</v>
      </c>
      <c r="J13" s="2704"/>
      <c r="K13" s="2702" t="s">
        <v>941</v>
      </c>
      <c r="L13" s="2705">
        <v>2</v>
      </c>
      <c r="M13" s="2705">
        <v>8</v>
      </c>
      <c r="N13" s="2703">
        <v>43263</v>
      </c>
      <c r="P13" s="2681">
        <v>26</v>
      </c>
      <c r="Q13" s="2678">
        <v>12</v>
      </c>
      <c r="R13" s="2704"/>
      <c r="S13" s="3109"/>
      <c r="T13" s="3111"/>
      <c r="U13" s="368" t="s">
        <v>204</v>
      </c>
      <c r="V13" s="904" t="s">
        <v>220</v>
      </c>
      <c r="W13" s="4">
        <v>600</v>
      </c>
      <c r="X13" s="4">
        <v>42</v>
      </c>
      <c r="Y13" s="4">
        <v>431</v>
      </c>
      <c r="Z13" s="4">
        <v>32</v>
      </c>
      <c r="AA13" s="218">
        <v>663</v>
      </c>
      <c r="AB13" s="218">
        <v>37</v>
      </c>
      <c r="AC13" s="218">
        <v>912</v>
      </c>
      <c r="AD13" s="218">
        <v>62</v>
      </c>
      <c r="AE13" s="218">
        <v>851</v>
      </c>
      <c r="AF13" s="218">
        <v>151</v>
      </c>
      <c r="AG13" s="4">
        <v>520</v>
      </c>
      <c r="AH13" s="4">
        <v>27</v>
      </c>
    </row>
    <row r="14" spans="1:34" s="358" customFormat="1">
      <c r="A14" s="2702" t="s">
        <v>1719</v>
      </c>
      <c r="B14" s="2707" t="s">
        <v>1368</v>
      </c>
      <c r="C14" s="2706">
        <v>43235</v>
      </c>
      <c r="D14" s="2706">
        <v>43235</v>
      </c>
      <c r="E14" s="2711" t="s">
        <v>181</v>
      </c>
      <c r="F14" s="2702" t="s">
        <v>723</v>
      </c>
      <c r="G14" s="2708" t="s">
        <v>940</v>
      </c>
      <c r="H14" s="2704">
        <v>258</v>
      </c>
      <c r="I14" s="2709">
        <v>258</v>
      </c>
      <c r="J14" s="2702"/>
      <c r="K14" s="2712" t="s">
        <v>941</v>
      </c>
      <c r="L14" s="2705">
        <v>6</v>
      </c>
      <c r="M14" s="2705">
        <v>42</v>
      </c>
      <c r="N14" s="2703">
        <v>43263</v>
      </c>
      <c r="P14" s="2681">
        <v>5</v>
      </c>
      <c r="Q14" s="2678">
        <v>172</v>
      </c>
      <c r="R14" s="2704"/>
      <c r="S14" s="3109"/>
      <c r="T14" s="3111"/>
      <c r="U14" s="368" t="s">
        <v>205</v>
      </c>
      <c r="V14" s="904" t="s">
        <v>221</v>
      </c>
      <c r="W14" s="4">
        <v>603</v>
      </c>
      <c r="X14" s="4">
        <v>52</v>
      </c>
      <c r="Y14" s="4">
        <v>424</v>
      </c>
      <c r="Z14" s="4">
        <v>35</v>
      </c>
      <c r="AA14" s="218">
        <v>402</v>
      </c>
      <c r="AB14" s="218">
        <v>48</v>
      </c>
      <c r="AC14" s="218">
        <v>667</v>
      </c>
      <c r="AD14" s="218">
        <v>31</v>
      </c>
      <c r="AE14" s="218">
        <v>382</v>
      </c>
      <c r="AF14" s="218">
        <v>39</v>
      </c>
      <c r="AG14" s="4">
        <v>370</v>
      </c>
      <c r="AH14" s="4">
        <v>23</v>
      </c>
    </row>
    <row r="15" spans="1:34">
      <c r="A15" s="2702" t="s">
        <v>1719</v>
      </c>
      <c r="B15" s="2707" t="s">
        <v>1368</v>
      </c>
      <c r="C15" s="2706">
        <v>43235</v>
      </c>
      <c r="D15" s="2706">
        <v>43235</v>
      </c>
      <c r="E15" s="2702" t="s">
        <v>160</v>
      </c>
      <c r="F15" s="2702" t="s">
        <v>723</v>
      </c>
      <c r="G15" s="2708" t="s">
        <v>942</v>
      </c>
      <c r="H15" s="2704">
        <v>28</v>
      </c>
      <c r="I15" s="2709">
        <v>28</v>
      </c>
      <c r="J15" s="2704"/>
      <c r="K15" s="2702" t="s">
        <v>941</v>
      </c>
      <c r="L15" s="2705">
        <v>2</v>
      </c>
      <c r="M15" s="2705">
        <v>8</v>
      </c>
      <c r="N15" s="2703">
        <v>43263</v>
      </c>
      <c r="P15" s="2681">
        <v>5</v>
      </c>
      <c r="Q15" s="2678">
        <v>34</v>
      </c>
      <c r="R15" s="2704"/>
      <c r="S15" s="3109"/>
      <c r="T15" s="3111"/>
      <c r="U15" s="368" t="s">
        <v>206</v>
      </c>
      <c r="V15" s="904" t="s">
        <v>222</v>
      </c>
      <c r="W15" s="4">
        <v>582</v>
      </c>
      <c r="X15" s="4">
        <v>44</v>
      </c>
      <c r="Y15" s="4">
        <v>557</v>
      </c>
      <c r="Z15" s="4">
        <v>57</v>
      </c>
      <c r="AA15" s="220">
        <v>913</v>
      </c>
      <c r="AB15" s="220">
        <v>50</v>
      </c>
      <c r="AC15" s="220">
        <v>1182</v>
      </c>
      <c r="AD15" s="220">
        <v>43</v>
      </c>
      <c r="AE15" s="218">
        <v>1272</v>
      </c>
      <c r="AF15" s="218">
        <v>40</v>
      </c>
      <c r="AG15" s="4">
        <v>580</v>
      </c>
      <c r="AH15" s="4">
        <v>24</v>
      </c>
    </row>
    <row r="16" spans="1:34" s="358" customFormat="1">
      <c r="A16" s="2710" t="s">
        <v>1720</v>
      </c>
      <c r="B16" s="2707">
        <v>26</v>
      </c>
      <c r="C16" s="2706">
        <v>43235</v>
      </c>
      <c r="D16" s="2706">
        <v>43235</v>
      </c>
      <c r="E16" s="2711" t="s">
        <v>181</v>
      </c>
      <c r="F16" s="2702" t="s">
        <v>723</v>
      </c>
      <c r="G16" s="2708" t="s">
        <v>940</v>
      </c>
      <c r="H16" s="2704">
        <v>751</v>
      </c>
      <c r="I16" s="2709">
        <v>751</v>
      </c>
      <c r="J16" s="2702"/>
      <c r="K16" s="2712" t="s">
        <v>941</v>
      </c>
      <c r="L16" s="2705">
        <v>6</v>
      </c>
      <c r="M16" s="2705">
        <v>42</v>
      </c>
      <c r="N16" s="2703">
        <v>43263</v>
      </c>
      <c r="P16" s="2681" t="s">
        <v>1369</v>
      </c>
      <c r="Q16" s="2678">
        <v>520</v>
      </c>
      <c r="R16" s="2704"/>
      <c r="S16" s="3109"/>
      <c r="T16" s="3111"/>
      <c r="U16" s="368" t="s">
        <v>207</v>
      </c>
      <c r="V16" s="904" t="s">
        <v>223</v>
      </c>
      <c r="W16" s="4">
        <v>647</v>
      </c>
      <c r="X16" s="4">
        <v>47</v>
      </c>
      <c r="Y16" s="4">
        <v>470</v>
      </c>
      <c r="Z16" s="4">
        <v>42</v>
      </c>
      <c r="AA16" s="220">
        <v>640</v>
      </c>
      <c r="AB16" s="220">
        <v>44</v>
      </c>
      <c r="AC16" s="220">
        <v>559</v>
      </c>
      <c r="AD16" s="220">
        <v>26</v>
      </c>
      <c r="AE16" s="218">
        <v>725</v>
      </c>
      <c r="AF16" s="218">
        <v>56</v>
      </c>
      <c r="AG16" s="4">
        <v>491</v>
      </c>
      <c r="AH16" s="4">
        <v>72</v>
      </c>
    </row>
    <row r="17" spans="1:34" s="358" customFormat="1">
      <c r="A17" s="2710" t="s">
        <v>1720</v>
      </c>
      <c r="B17" s="2707">
        <v>26</v>
      </c>
      <c r="C17" s="2706">
        <v>43235</v>
      </c>
      <c r="D17" s="2706">
        <v>43235</v>
      </c>
      <c r="E17" s="2702" t="s">
        <v>160</v>
      </c>
      <c r="F17" s="2702" t="s">
        <v>723</v>
      </c>
      <c r="G17" s="2708" t="s">
        <v>942</v>
      </c>
      <c r="H17" s="2704">
        <v>59</v>
      </c>
      <c r="I17" s="2709">
        <v>59</v>
      </c>
      <c r="J17" s="2702"/>
      <c r="K17" s="2702" t="s">
        <v>941</v>
      </c>
      <c r="L17" s="2705">
        <v>2</v>
      </c>
      <c r="M17" s="2705">
        <v>8</v>
      </c>
      <c r="N17" s="2703">
        <v>43263</v>
      </c>
      <c r="P17" s="2681" t="s">
        <v>1369</v>
      </c>
      <c r="Q17" s="2678">
        <v>27</v>
      </c>
      <c r="R17" s="2704"/>
      <c r="S17" s="3110"/>
      <c r="T17" s="3102"/>
      <c r="U17" s="368" t="s">
        <v>208</v>
      </c>
      <c r="V17" s="904" t="s">
        <v>233</v>
      </c>
      <c r="W17" s="4">
        <v>727</v>
      </c>
      <c r="X17" s="4">
        <v>33</v>
      </c>
      <c r="Y17" s="4">
        <v>566</v>
      </c>
      <c r="Z17" s="4">
        <v>65</v>
      </c>
      <c r="AA17" s="220">
        <v>708</v>
      </c>
      <c r="AB17" s="220">
        <v>46</v>
      </c>
      <c r="AC17" s="220">
        <v>517</v>
      </c>
      <c r="AD17" s="220">
        <v>126</v>
      </c>
      <c r="AE17" s="218">
        <v>728</v>
      </c>
      <c r="AF17" s="218">
        <v>84</v>
      </c>
      <c r="AG17" s="4">
        <v>617</v>
      </c>
      <c r="AH17" s="4">
        <v>18</v>
      </c>
    </row>
    <row r="18" spans="1:34" s="358" customFormat="1">
      <c r="A18" s="2710" t="s">
        <v>1721</v>
      </c>
      <c r="B18" s="2707">
        <v>5</v>
      </c>
      <c r="C18" s="2706">
        <v>43235</v>
      </c>
      <c r="D18" s="2706">
        <v>43235</v>
      </c>
      <c r="E18" s="2711" t="s">
        <v>181</v>
      </c>
      <c r="F18" s="2702" t="s">
        <v>723</v>
      </c>
      <c r="G18" s="2708" t="s">
        <v>940</v>
      </c>
      <c r="H18" s="2704">
        <v>358</v>
      </c>
      <c r="I18" s="2709">
        <v>358</v>
      </c>
      <c r="J18" s="2702"/>
      <c r="K18" s="2712" t="s">
        <v>941</v>
      </c>
      <c r="L18" s="2705">
        <v>6</v>
      </c>
      <c r="M18" s="2705">
        <v>42</v>
      </c>
      <c r="N18" s="2703">
        <v>43263</v>
      </c>
      <c r="P18" s="2681" t="s">
        <v>1370</v>
      </c>
      <c r="Q18" s="2678">
        <v>1400</v>
      </c>
      <c r="R18" s="2704"/>
      <c r="S18" s="2856" t="s">
        <v>1021</v>
      </c>
      <c r="T18" s="3101" t="s">
        <v>1377</v>
      </c>
      <c r="U18" s="368" t="s">
        <v>1372</v>
      </c>
      <c r="V18" s="904" t="s">
        <v>1375</v>
      </c>
      <c r="W18" s="4">
        <v>751</v>
      </c>
      <c r="X18" s="4">
        <v>59</v>
      </c>
      <c r="Y18" s="4">
        <v>392</v>
      </c>
      <c r="Z18" s="4">
        <v>36</v>
      </c>
      <c r="AA18" s="220">
        <v>298</v>
      </c>
      <c r="AB18" s="220">
        <v>30</v>
      </c>
      <c r="AC18" s="220">
        <v>250</v>
      </c>
      <c r="AD18" s="220">
        <v>71</v>
      </c>
      <c r="AE18" s="218">
        <v>235</v>
      </c>
      <c r="AF18" s="218">
        <v>17</v>
      </c>
      <c r="AG18" s="4">
        <v>109</v>
      </c>
      <c r="AH18" s="4">
        <v>12</v>
      </c>
    </row>
    <row r="19" spans="1:34" s="358" customFormat="1">
      <c r="A19" s="2710" t="s">
        <v>1721</v>
      </c>
      <c r="B19" s="2707">
        <v>5</v>
      </c>
      <c r="C19" s="2706">
        <v>43235</v>
      </c>
      <c r="D19" s="2706">
        <v>43235</v>
      </c>
      <c r="E19" s="2702" t="s">
        <v>160</v>
      </c>
      <c r="F19" s="2702" t="s">
        <v>723</v>
      </c>
      <c r="G19" s="2708" t="s">
        <v>942</v>
      </c>
      <c r="H19" s="2704">
        <v>36</v>
      </c>
      <c r="I19" s="2709">
        <v>36</v>
      </c>
      <c r="J19" s="2704"/>
      <c r="K19" s="2702" t="s">
        <v>941</v>
      </c>
      <c r="L19" s="2705">
        <v>2</v>
      </c>
      <c r="M19" s="2705">
        <v>8</v>
      </c>
      <c r="N19" s="2703">
        <v>43263</v>
      </c>
      <c r="P19" s="2681" t="s">
        <v>1370</v>
      </c>
      <c r="Q19" s="2678">
        <v>113</v>
      </c>
      <c r="R19" s="2704"/>
      <c r="S19" s="2857"/>
      <c r="T19" s="3111"/>
      <c r="U19" s="369" t="s">
        <v>361</v>
      </c>
      <c r="V19" s="1039" t="s">
        <v>363</v>
      </c>
      <c r="W19" s="4">
        <v>763</v>
      </c>
      <c r="X19" s="4">
        <v>170</v>
      </c>
      <c r="Y19" s="4">
        <v>598</v>
      </c>
      <c r="Z19" s="4">
        <v>70</v>
      </c>
      <c r="AA19" s="220">
        <v>495</v>
      </c>
      <c r="AB19" s="220">
        <v>76</v>
      </c>
      <c r="AC19" s="220">
        <v>249</v>
      </c>
      <c r="AD19" s="220">
        <v>28</v>
      </c>
      <c r="AE19" s="218">
        <v>335</v>
      </c>
      <c r="AF19" s="218">
        <v>25</v>
      </c>
      <c r="AG19" s="4">
        <v>675</v>
      </c>
      <c r="AH19" s="4">
        <v>30</v>
      </c>
    </row>
    <row r="20" spans="1:34" s="358" customFormat="1">
      <c r="A20" s="2710" t="s">
        <v>1722</v>
      </c>
      <c r="B20" s="2707" t="s">
        <v>1369</v>
      </c>
      <c r="C20" s="2706">
        <v>43235</v>
      </c>
      <c r="D20" s="2706">
        <v>43235</v>
      </c>
      <c r="E20" s="2711" t="s">
        <v>181</v>
      </c>
      <c r="F20" s="2702" t="s">
        <v>723</v>
      </c>
      <c r="G20" s="2708" t="s">
        <v>940</v>
      </c>
      <c r="H20" s="2704">
        <v>600</v>
      </c>
      <c r="I20" s="2709">
        <v>600</v>
      </c>
      <c r="J20" s="2702"/>
      <c r="K20" s="2712" t="s">
        <v>941</v>
      </c>
      <c r="L20" s="2705">
        <v>6</v>
      </c>
      <c r="M20" s="2705">
        <v>42</v>
      </c>
      <c r="N20" s="2703">
        <v>43263</v>
      </c>
      <c r="P20" s="2681">
        <v>9</v>
      </c>
      <c r="Q20" s="2678">
        <v>370</v>
      </c>
      <c r="R20" s="2704"/>
      <c r="S20" s="2858"/>
      <c r="T20" s="3102"/>
      <c r="U20" s="367" t="s">
        <v>1757</v>
      </c>
      <c r="V20" s="1038" t="s">
        <v>362</v>
      </c>
      <c r="W20" s="4">
        <v>1465</v>
      </c>
      <c r="X20" s="4">
        <v>147</v>
      </c>
      <c r="Y20" s="4">
        <v>1071</v>
      </c>
      <c r="Z20" s="4">
        <v>155</v>
      </c>
      <c r="AA20" s="220">
        <v>956</v>
      </c>
      <c r="AB20" s="220">
        <v>136</v>
      </c>
      <c r="AC20" s="220">
        <v>731</v>
      </c>
      <c r="AD20" s="220">
        <v>97</v>
      </c>
      <c r="AE20" s="218">
        <v>849</v>
      </c>
      <c r="AF20" s="218">
        <v>136</v>
      </c>
      <c r="AG20" s="4">
        <v>1400</v>
      </c>
      <c r="AH20" s="4">
        <v>113</v>
      </c>
    </row>
    <row r="21" spans="1:34" s="358" customFormat="1">
      <c r="A21" s="2710" t="s">
        <v>1722</v>
      </c>
      <c r="B21" s="2707" t="s">
        <v>1369</v>
      </c>
      <c r="C21" s="2706">
        <v>43235</v>
      </c>
      <c r="D21" s="2706">
        <v>43235</v>
      </c>
      <c r="E21" s="2702" t="s">
        <v>160</v>
      </c>
      <c r="F21" s="2702" t="s">
        <v>723</v>
      </c>
      <c r="G21" s="2708" t="s">
        <v>942</v>
      </c>
      <c r="H21" s="2704">
        <v>42</v>
      </c>
      <c r="I21" s="2709">
        <v>42</v>
      </c>
      <c r="J21" s="2702"/>
      <c r="K21" s="2702" t="s">
        <v>941</v>
      </c>
      <c r="L21" s="2705">
        <v>2</v>
      </c>
      <c r="M21" s="2705">
        <v>8</v>
      </c>
      <c r="N21" s="2703">
        <v>43263</v>
      </c>
      <c r="P21" s="2681">
        <v>9</v>
      </c>
      <c r="Q21" s="2678">
        <v>23</v>
      </c>
      <c r="R21" s="2704"/>
      <c r="S21" s="2855" t="s">
        <v>1020</v>
      </c>
      <c r="T21" s="1746" t="s">
        <v>1378</v>
      </c>
      <c r="U21" s="367" t="s">
        <v>1756</v>
      </c>
      <c r="V21" s="1038" t="s">
        <v>364</v>
      </c>
      <c r="W21" s="4">
        <v>1212</v>
      </c>
      <c r="X21" s="4">
        <v>6</v>
      </c>
      <c r="Y21" s="4">
        <v>1201</v>
      </c>
      <c r="Z21" s="4">
        <v>51</v>
      </c>
      <c r="AA21" s="220">
        <v>621</v>
      </c>
      <c r="AB21" s="220">
        <v>25</v>
      </c>
      <c r="AC21" s="220">
        <v>542</v>
      </c>
      <c r="AD21" s="220">
        <v>6</v>
      </c>
      <c r="AE21" s="218">
        <v>528</v>
      </c>
      <c r="AF21" s="218">
        <v>5</v>
      </c>
      <c r="AG21" s="4">
        <v>469</v>
      </c>
      <c r="AH21" s="4">
        <v>2</v>
      </c>
    </row>
    <row r="22" spans="1:34">
      <c r="A22" s="2710" t="s">
        <v>1723</v>
      </c>
      <c r="B22" s="2707" t="s">
        <v>1370</v>
      </c>
      <c r="C22" s="2706">
        <v>43235</v>
      </c>
      <c r="D22" s="2706">
        <v>43235</v>
      </c>
      <c r="E22" s="2711" t="s">
        <v>181</v>
      </c>
      <c r="F22" s="2702" t="s">
        <v>723</v>
      </c>
      <c r="G22" s="2708" t="s">
        <v>940</v>
      </c>
      <c r="H22" s="2704">
        <v>1465</v>
      </c>
      <c r="I22" s="2709">
        <v>1465</v>
      </c>
      <c r="J22" s="2702"/>
      <c r="K22" s="2712" t="s">
        <v>941</v>
      </c>
      <c r="L22" s="2705">
        <v>6</v>
      </c>
      <c r="M22" s="2705">
        <v>42</v>
      </c>
      <c r="N22" s="2703">
        <v>43263</v>
      </c>
      <c r="P22" s="2681">
        <v>12</v>
      </c>
      <c r="Q22" s="2678">
        <v>580</v>
      </c>
      <c r="R22" s="2704"/>
      <c r="S22" s="2855" t="s">
        <v>1249</v>
      </c>
      <c r="T22" s="2837" t="s">
        <v>1254</v>
      </c>
      <c r="U22" s="367" t="s">
        <v>325</v>
      </c>
      <c r="V22" s="1038" t="s">
        <v>1243</v>
      </c>
      <c r="W22" s="4">
        <v>769</v>
      </c>
      <c r="X22" s="4">
        <v>30</v>
      </c>
      <c r="Y22" s="4">
        <v>833</v>
      </c>
      <c r="Z22" s="4">
        <v>62</v>
      </c>
      <c r="AA22" s="218">
        <v>1209</v>
      </c>
      <c r="AB22" s="218">
        <v>110</v>
      </c>
      <c r="AC22" s="218">
        <v>1271</v>
      </c>
      <c r="AD22" s="218">
        <v>32</v>
      </c>
      <c r="AE22" s="218">
        <v>903</v>
      </c>
      <c r="AF22" s="218">
        <v>24</v>
      </c>
      <c r="AG22" s="4">
        <v>790</v>
      </c>
      <c r="AH22" s="4">
        <v>79</v>
      </c>
    </row>
    <row r="23" spans="1:34" s="358" customFormat="1">
      <c r="A23" s="2710" t="s">
        <v>1723</v>
      </c>
      <c r="B23" s="2707" t="s">
        <v>1370</v>
      </c>
      <c r="C23" s="2706">
        <v>43235</v>
      </c>
      <c r="D23" s="2706">
        <v>43235</v>
      </c>
      <c r="E23" s="2702" t="s">
        <v>160</v>
      </c>
      <c r="F23" s="2702" t="s">
        <v>723</v>
      </c>
      <c r="G23" s="2708" t="s">
        <v>942</v>
      </c>
      <c r="H23" s="2704">
        <v>147</v>
      </c>
      <c r="I23" s="2709">
        <v>147</v>
      </c>
      <c r="J23" s="2704"/>
      <c r="K23" s="2702" t="s">
        <v>941</v>
      </c>
      <c r="L23" s="2705">
        <v>2</v>
      </c>
      <c r="M23" s="2705">
        <v>8</v>
      </c>
      <c r="N23" s="2703">
        <v>43263</v>
      </c>
      <c r="P23" s="2681">
        <v>12</v>
      </c>
      <c r="Q23" s="2678">
        <v>24</v>
      </c>
      <c r="R23" s="2704"/>
      <c r="S23" s="2859" t="s">
        <v>1023</v>
      </c>
      <c r="T23" s="2837" t="s">
        <v>870</v>
      </c>
      <c r="U23" s="1043" t="s">
        <v>210</v>
      </c>
      <c r="V23" s="904" t="s">
        <v>229</v>
      </c>
      <c r="W23" s="4">
        <v>564</v>
      </c>
      <c r="X23" s="4">
        <v>30</v>
      </c>
      <c r="Y23" s="4">
        <v>392</v>
      </c>
      <c r="Z23" s="4">
        <v>41</v>
      </c>
      <c r="AA23" s="218">
        <v>314</v>
      </c>
      <c r="AB23" s="218">
        <v>87</v>
      </c>
      <c r="AC23" s="218">
        <v>558</v>
      </c>
      <c r="AD23" s="218">
        <v>262</v>
      </c>
      <c r="AE23" s="218">
        <v>139</v>
      </c>
      <c r="AF23" s="218">
        <v>25</v>
      </c>
      <c r="AG23" s="4">
        <v>151</v>
      </c>
      <c r="AH23" s="4">
        <v>11</v>
      </c>
    </row>
    <row r="24" spans="1:34" s="358" customFormat="1">
      <c r="A24" s="2710" t="s">
        <v>1724</v>
      </c>
      <c r="B24" s="2707">
        <v>9</v>
      </c>
      <c r="C24" s="2706">
        <v>43235</v>
      </c>
      <c r="D24" s="2706">
        <v>43235</v>
      </c>
      <c r="E24" s="2711" t="s">
        <v>181</v>
      </c>
      <c r="F24" s="2702" t="s">
        <v>723</v>
      </c>
      <c r="G24" s="2708" t="s">
        <v>940</v>
      </c>
      <c r="H24" s="2704">
        <v>603</v>
      </c>
      <c r="I24" s="2709">
        <v>603</v>
      </c>
      <c r="J24" s="2702"/>
      <c r="K24" s="2712" t="s">
        <v>941</v>
      </c>
      <c r="L24" s="2705">
        <v>6</v>
      </c>
      <c r="M24" s="2705">
        <v>42</v>
      </c>
      <c r="N24" s="2703">
        <v>43263</v>
      </c>
      <c r="P24" s="2681" t="s">
        <v>1371</v>
      </c>
      <c r="Q24" s="2678">
        <v>491</v>
      </c>
      <c r="R24" s="2704"/>
      <c r="S24" s="3099" t="s">
        <v>1022</v>
      </c>
      <c r="T24" s="3101" t="s">
        <v>870</v>
      </c>
      <c r="U24" s="1043" t="s">
        <v>209</v>
      </c>
      <c r="V24" s="904" t="s">
        <v>700</v>
      </c>
      <c r="W24" s="4">
        <v>537</v>
      </c>
      <c r="X24" s="4">
        <v>38</v>
      </c>
      <c r="Y24" s="4">
        <v>603</v>
      </c>
      <c r="Z24" s="4">
        <v>47</v>
      </c>
      <c r="AA24" s="218">
        <v>516</v>
      </c>
      <c r="AB24" s="218">
        <v>36</v>
      </c>
      <c r="AC24" s="218">
        <v>477</v>
      </c>
      <c r="AD24" s="218">
        <v>57</v>
      </c>
      <c r="AE24" s="218">
        <v>388</v>
      </c>
      <c r="AF24" s="218">
        <v>53</v>
      </c>
      <c r="AG24" s="4">
        <v>275</v>
      </c>
      <c r="AH24" s="4">
        <v>44</v>
      </c>
    </row>
    <row r="25" spans="1:34" s="358" customFormat="1">
      <c r="A25" s="2710" t="s">
        <v>1724</v>
      </c>
      <c r="B25" s="2707">
        <v>9</v>
      </c>
      <c r="C25" s="2706">
        <v>43235</v>
      </c>
      <c r="D25" s="2706">
        <v>43235</v>
      </c>
      <c r="E25" s="2702" t="s">
        <v>160</v>
      </c>
      <c r="F25" s="2702" t="s">
        <v>723</v>
      </c>
      <c r="G25" s="2708" t="s">
        <v>942</v>
      </c>
      <c r="H25" s="2704">
        <v>52</v>
      </c>
      <c r="I25" s="2709">
        <v>52</v>
      </c>
      <c r="J25" s="2704"/>
      <c r="K25" s="2702" t="s">
        <v>941</v>
      </c>
      <c r="L25" s="2705">
        <v>2</v>
      </c>
      <c r="M25" s="2705">
        <v>8</v>
      </c>
      <c r="N25" s="2703">
        <v>43263</v>
      </c>
      <c r="P25" s="2681" t="s">
        <v>1371</v>
      </c>
      <c r="Q25" s="2678">
        <v>72</v>
      </c>
      <c r="R25" s="2704"/>
      <c r="S25" s="3100"/>
      <c r="T25" s="3102"/>
      <c r="U25" s="569" t="s">
        <v>338</v>
      </c>
      <c r="V25" s="1739" t="s">
        <v>1255</v>
      </c>
      <c r="W25" s="4">
        <v>554</v>
      </c>
      <c r="X25" s="4">
        <v>18</v>
      </c>
      <c r="Y25" s="220">
        <v>617</v>
      </c>
      <c r="Z25" s="220">
        <v>53</v>
      </c>
      <c r="AA25" s="220">
        <v>539</v>
      </c>
      <c r="AB25" s="220">
        <v>24</v>
      </c>
      <c r="AC25" s="218">
        <v>744</v>
      </c>
      <c r="AD25" s="218">
        <v>87</v>
      </c>
      <c r="AE25" s="218">
        <v>568</v>
      </c>
      <c r="AF25" s="218">
        <v>29</v>
      </c>
      <c r="AG25" s="4">
        <v>672</v>
      </c>
      <c r="AH25" s="4">
        <v>10</v>
      </c>
    </row>
    <row r="26" spans="1:34" s="358" customFormat="1">
      <c r="A26" s="2710" t="s">
        <v>1725</v>
      </c>
      <c r="B26" s="2707">
        <v>12</v>
      </c>
      <c r="C26" s="2706">
        <v>43235</v>
      </c>
      <c r="D26" s="2706">
        <v>43235</v>
      </c>
      <c r="E26" s="2711" t="s">
        <v>181</v>
      </c>
      <c r="F26" s="2702" t="s">
        <v>723</v>
      </c>
      <c r="G26" s="2708" t="s">
        <v>940</v>
      </c>
      <c r="H26" s="2704">
        <v>582</v>
      </c>
      <c r="I26" s="2709">
        <v>582</v>
      </c>
      <c r="J26" s="2702"/>
      <c r="K26" s="2712" t="s">
        <v>941</v>
      </c>
      <c r="L26" s="2705">
        <v>6</v>
      </c>
      <c r="M26" s="2705">
        <v>42</v>
      </c>
      <c r="N26" s="2703">
        <v>43263</v>
      </c>
      <c r="P26" s="2681">
        <v>18</v>
      </c>
      <c r="Q26" s="2678">
        <v>275</v>
      </c>
      <c r="R26" s="2704"/>
      <c r="S26" s="2855" t="s">
        <v>1250</v>
      </c>
      <c r="T26" s="2837" t="s">
        <v>882</v>
      </c>
      <c r="U26" s="367" t="s">
        <v>1241</v>
      </c>
      <c r="V26" s="1038" t="s">
        <v>1242</v>
      </c>
      <c r="W26" s="4">
        <v>679</v>
      </c>
      <c r="X26" s="4">
        <v>16</v>
      </c>
      <c r="Y26" s="4">
        <v>627</v>
      </c>
      <c r="Z26" s="4">
        <v>39</v>
      </c>
      <c r="AA26" s="218">
        <v>865</v>
      </c>
      <c r="AB26" s="218">
        <v>35</v>
      </c>
      <c r="AC26" s="218">
        <v>606</v>
      </c>
      <c r="AD26" s="218">
        <v>48</v>
      </c>
      <c r="AE26" s="218">
        <v>542</v>
      </c>
      <c r="AF26" s="218">
        <v>48</v>
      </c>
      <c r="AG26" s="4">
        <v>676</v>
      </c>
      <c r="AH26" s="4">
        <v>48</v>
      </c>
    </row>
    <row r="27" spans="1:34">
      <c r="A27" s="2710" t="s">
        <v>1725</v>
      </c>
      <c r="B27" s="2707">
        <v>12</v>
      </c>
      <c r="C27" s="2706">
        <v>43235</v>
      </c>
      <c r="D27" s="2706">
        <v>43235</v>
      </c>
      <c r="E27" s="2702" t="s">
        <v>160</v>
      </c>
      <c r="F27" s="2702" t="s">
        <v>723</v>
      </c>
      <c r="G27" s="2708" t="s">
        <v>942</v>
      </c>
      <c r="H27" s="2704">
        <v>44</v>
      </c>
      <c r="I27" s="2709">
        <v>44</v>
      </c>
      <c r="J27" s="2704"/>
      <c r="K27" s="2702" t="s">
        <v>941</v>
      </c>
      <c r="L27" s="2705">
        <v>2</v>
      </c>
      <c r="M27" s="2705">
        <v>8</v>
      </c>
      <c r="N27" s="2703">
        <v>43263</v>
      </c>
      <c r="P27" s="2681">
        <v>18</v>
      </c>
      <c r="Q27" s="2678">
        <v>44</v>
      </c>
      <c r="R27" s="2704"/>
      <c r="S27" s="3103" t="s">
        <v>1252</v>
      </c>
      <c r="T27" s="3101" t="s">
        <v>1251</v>
      </c>
      <c r="U27" s="1040" t="s">
        <v>331</v>
      </c>
      <c r="V27" s="1740" t="s">
        <v>1245</v>
      </c>
      <c r="W27" s="4">
        <v>930</v>
      </c>
      <c r="X27" s="4">
        <v>14</v>
      </c>
      <c r="Y27" s="4">
        <v>758</v>
      </c>
      <c r="Z27" s="4">
        <v>44</v>
      </c>
      <c r="AA27" s="4">
        <v>868</v>
      </c>
      <c r="AB27" s="4">
        <v>33</v>
      </c>
      <c r="AC27" s="4">
        <v>650</v>
      </c>
      <c r="AD27" s="4">
        <v>46</v>
      </c>
      <c r="AE27" s="4">
        <v>757</v>
      </c>
      <c r="AF27" s="4">
        <v>62</v>
      </c>
      <c r="AG27" s="4">
        <v>550</v>
      </c>
      <c r="AH27" s="4">
        <v>48</v>
      </c>
    </row>
    <row r="28" spans="1:34">
      <c r="A28" s="2710" t="s">
        <v>1726</v>
      </c>
      <c r="B28" s="2707" t="s">
        <v>1371</v>
      </c>
      <c r="C28" s="2706">
        <v>43235</v>
      </c>
      <c r="D28" s="2706">
        <v>43235</v>
      </c>
      <c r="E28" s="2711" t="s">
        <v>181</v>
      </c>
      <c r="F28" s="2702" t="s">
        <v>723</v>
      </c>
      <c r="G28" s="2708" t="s">
        <v>940</v>
      </c>
      <c r="H28" s="2704">
        <v>647</v>
      </c>
      <c r="I28" s="2709">
        <v>647</v>
      </c>
      <c r="J28" s="2702"/>
      <c r="K28" s="2712" t="s">
        <v>941</v>
      </c>
      <c r="L28" s="2705">
        <v>6</v>
      </c>
      <c r="M28" s="2705">
        <v>42</v>
      </c>
      <c r="N28" s="2703">
        <v>43263</v>
      </c>
      <c r="P28" s="2681">
        <v>19</v>
      </c>
      <c r="Q28" s="2678">
        <v>151</v>
      </c>
      <c r="R28" s="2704"/>
      <c r="S28" s="3103"/>
      <c r="T28" s="3102"/>
      <c r="U28" s="1042" t="s">
        <v>815</v>
      </c>
      <c r="V28" s="1741" t="s">
        <v>1244</v>
      </c>
      <c r="W28" s="4">
        <v>823</v>
      </c>
      <c r="X28" s="4">
        <v>30</v>
      </c>
      <c r="Y28" s="4">
        <v>811</v>
      </c>
      <c r="Z28" s="4">
        <v>46</v>
      </c>
      <c r="AA28" s="4">
        <v>1130</v>
      </c>
      <c r="AB28" s="4">
        <v>41</v>
      </c>
      <c r="AC28" s="4">
        <v>864</v>
      </c>
      <c r="AD28" s="4">
        <v>26</v>
      </c>
      <c r="AE28" s="4">
        <v>868</v>
      </c>
      <c r="AF28" s="4">
        <v>17</v>
      </c>
      <c r="AG28" s="4">
        <v>896</v>
      </c>
      <c r="AH28" s="4">
        <v>26</v>
      </c>
    </row>
    <row r="29" spans="1:34" s="358" customFormat="1">
      <c r="A29" s="2710" t="s">
        <v>1726</v>
      </c>
      <c r="B29" s="2707" t="s">
        <v>1371</v>
      </c>
      <c r="C29" s="2706">
        <v>43235</v>
      </c>
      <c r="D29" s="2706">
        <v>43235</v>
      </c>
      <c r="E29" s="2702" t="s">
        <v>160</v>
      </c>
      <c r="F29" s="2702" t="s">
        <v>723</v>
      </c>
      <c r="G29" s="2708" t="s">
        <v>942</v>
      </c>
      <c r="H29" s="2704">
        <v>47</v>
      </c>
      <c r="I29" s="2709">
        <v>47</v>
      </c>
      <c r="J29" s="2704"/>
      <c r="K29" s="2702" t="s">
        <v>941</v>
      </c>
      <c r="L29" s="2705">
        <v>2</v>
      </c>
      <c r="M29" s="2705">
        <v>8</v>
      </c>
      <c r="N29" s="2703">
        <v>43263</v>
      </c>
      <c r="P29" s="2681">
        <v>19</v>
      </c>
      <c r="Q29" s="2678">
        <v>11</v>
      </c>
      <c r="R29" s="2704"/>
    </row>
    <row r="30" spans="1:34" s="358" customFormat="1">
      <c r="A30" s="2710" t="s">
        <v>1727</v>
      </c>
      <c r="B30" s="2707">
        <v>18</v>
      </c>
      <c r="C30" s="2706">
        <v>43235</v>
      </c>
      <c r="D30" s="2706">
        <v>43235</v>
      </c>
      <c r="E30" s="2711" t="s">
        <v>181</v>
      </c>
      <c r="F30" s="2702" t="s">
        <v>723</v>
      </c>
      <c r="G30" s="2708" t="s">
        <v>940</v>
      </c>
      <c r="H30" s="2704">
        <v>537</v>
      </c>
      <c r="I30" s="2709">
        <v>537</v>
      </c>
      <c r="J30" s="2702"/>
      <c r="K30" s="2712" t="s">
        <v>941</v>
      </c>
      <c r="L30" s="2705">
        <v>6</v>
      </c>
      <c r="M30" s="2705">
        <v>42</v>
      </c>
      <c r="N30" s="2703">
        <v>43263</v>
      </c>
      <c r="P30" s="2681" t="s">
        <v>1279</v>
      </c>
      <c r="Q30" s="2678">
        <v>469</v>
      </c>
      <c r="R30" s="2704"/>
    </row>
    <row r="31" spans="1:34" s="358" customFormat="1">
      <c r="A31" s="2710" t="s">
        <v>1727</v>
      </c>
      <c r="B31" s="2707">
        <v>18</v>
      </c>
      <c r="C31" s="2706">
        <v>43235</v>
      </c>
      <c r="D31" s="2706">
        <v>43235</v>
      </c>
      <c r="E31" s="2702" t="s">
        <v>160</v>
      </c>
      <c r="F31" s="2702" t="s">
        <v>723</v>
      </c>
      <c r="G31" s="2708" t="s">
        <v>942</v>
      </c>
      <c r="H31" s="2704">
        <v>38</v>
      </c>
      <c r="I31" s="2709">
        <v>38</v>
      </c>
      <c r="J31" s="2704"/>
      <c r="K31" s="2702" t="s">
        <v>941</v>
      </c>
      <c r="L31" s="2705">
        <v>2</v>
      </c>
      <c r="M31" s="2705">
        <v>8</v>
      </c>
      <c r="N31" s="2703">
        <v>43263</v>
      </c>
      <c r="P31" s="2681" t="s">
        <v>1279</v>
      </c>
      <c r="Q31" s="2678">
        <v>2</v>
      </c>
      <c r="R31" s="2704"/>
      <c r="S31" s="1044"/>
    </row>
    <row r="32" spans="1:34" s="358" customFormat="1">
      <c r="A32" s="2710" t="s">
        <v>1728</v>
      </c>
      <c r="B32" s="2707">
        <v>19</v>
      </c>
      <c r="C32" s="2706">
        <v>43235</v>
      </c>
      <c r="D32" s="2706">
        <v>43235</v>
      </c>
      <c r="E32" s="2711" t="s">
        <v>181</v>
      </c>
      <c r="F32" s="2702" t="s">
        <v>723</v>
      </c>
      <c r="G32" s="2708" t="s">
        <v>940</v>
      </c>
      <c r="H32" s="2704">
        <v>564</v>
      </c>
      <c r="I32" s="2709">
        <v>564</v>
      </c>
      <c r="J32" s="2702"/>
      <c r="K32" s="2712" t="s">
        <v>941</v>
      </c>
      <c r="L32" s="2705">
        <v>6</v>
      </c>
      <c r="M32" s="2705">
        <v>42</v>
      </c>
      <c r="N32" s="2703">
        <v>43263</v>
      </c>
      <c r="P32" s="2681" t="s">
        <v>950</v>
      </c>
      <c r="Q32" s="2678">
        <v>617</v>
      </c>
      <c r="R32" s="2704"/>
      <c r="S32" s="626"/>
    </row>
    <row r="33" spans="1:19">
      <c r="A33" s="2710" t="s">
        <v>1728</v>
      </c>
      <c r="B33" s="2707">
        <v>19</v>
      </c>
      <c r="C33" s="2706">
        <v>43235</v>
      </c>
      <c r="D33" s="2706">
        <v>43235</v>
      </c>
      <c r="E33" s="2702" t="s">
        <v>160</v>
      </c>
      <c r="F33" s="2702" t="s">
        <v>723</v>
      </c>
      <c r="G33" s="2708" t="s">
        <v>942</v>
      </c>
      <c r="H33" s="2704">
        <v>30</v>
      </c>
      <c r="I33" s="2709">
        <v>30</v>
      </c>
      <c r="J33" s="2704"/>
      <c r="K33" s="2702" t="s">
        <v>941</v>
      </c>
      <c r="L33" s="2705">
        <v>2</v>
      </c>
      <c r="M33" s="2705">
        <v>8</v>
      </c>
      <c r="N33" s="2703">
        <v>43263</v>
      </c>
      <c r="P33" s="2681" t="s">
        <v>950</v>
      </c>
      <c r="Q33" s="2678">
        <v>18</v>
      </c>
      <c r="R33" s="2704"/>
      <c r="S33" s="626"/>
    </row>
    <row r="34" spans="1:19">
      <c r="A34" s="1674"/>
      <c r="B34" s="1671"/>
      <c r="C34" s="1670"/>
      <c r="D34" s="1670"/>
      <c r="E34" s="1675"/>
      <c r="F34" s="1666"/>
      <c r="G34" s="1672"/>
      <c r="H34" s="1668"/>
      <c r="I34" s="1673"/>
      <c r="J34" s="1666"/>
      <c r="K34" s="1676"/>
      <c r="L34" s="1669"/>
      <c r="M34" s="1669"/>
      <c r="N34" s="1667"/>
      <c r="Q34" s="625"/>
      <c r="R34" s="2681"/>
      <c r="S34" s="626"/>
    </row>
    <row r="35" spans="1:19">
      <c r="A35" s="1674"/>
      <c r="B35" s="1671"/>
      <c r="C35" s="1670"/>
      <c r="D35" s="1670"/>
      <c r="E35" s="1666"/>
      <c r="F35" s="1666"/>
      <c r="G35" s="1672"/>
      <c r="H35" s="1668"/>
      <c r="I35" s="1673"/>
      <c r="J35" s="1668"/>
      <c r="K35" s="1666"/>
      <c r="L35" s="1669"/>
      <c r="M35" s="358"/>
      <c r="N35" s="358"/>
      <c r="Q35" s="625"/>
      <c r="R35" s="2681"/>
      <c r="S35" s="626"/>
    </row>
    <row r="36" spans="1:19">
      <c r="A36" s="2640" t="s">
        <v>1636</v>
      </c>
      <c r="B36" s="2637">
        <v>64</v>
      </c>
      <c r="C36" s="2636">
        <v>43270</v>
      </c>
      <c r="D36" s="2636">
        <v>43270</v>
      </c>
      <c r="E36" s="2641" t="s">
        <v>181</v>
      </c>
      <c r="F36" s="2632" t="s">
        <v>723</v>
      </c>
      <c r="G36" s="2638" t="s">
        <v>940</v>
      </c>
      <c r="H36" s="2634">
        <v>598</v>
      </c>
      <c r="I36" s="2639">
        <v>598</v>
      </c>
      <c r="J36" s="2632"/>
      <c r="K36" s="2642" t="s">
        <v>941</v>
      </c>
      <c r="L36" s="2635">
        <v>6</v>
      </c>
      <c r="M36" s="2679"/>
      <c r="N36" s="2677"/>
      <c r="Q36" s="625"/>
      <c r="R36" s="2681"/>
      <c r="S36" s="626"/>
    </row>
    <row r="37" spans="1:19">
      <c r="A37" s="2640" t="s">
        <v>1636</v>
      </c>
      <c r="B37" s="2637">
        <v>64</v>
      </c>
      <c r="C37" s="2636">
        <v>43270</v>
      </c>
      <c r="D37" s="2636">
        <v>43270</v>
      </c>
      <c r="E37" s="2632" t="s">
        <v>160</v>
      </c>
      <c r="F37" s="2632" t="s">
        <v>723</v>
      </c>
      <c r="G37" s="2638" t="s">
        <v>942</v>
      </c>
      <c r="H37" s="2634">
        <v>70</v>
      </c>
      <c r="I37" s="2639">
        <v>70</v>
      </c>
      <c r="J37" s="2634"/>
      <c r="K37" s="2632" t="s">
        <v>941</v>
      </c>
      <c r="L37" s="2635">
        <v>2</v>
      </c>
      <c r="M37" s="2679"/>
      <c r="N37" s="2677"/>
      <c r="Q37" s="625"/>
      <c r="R37" s="2681"/>
      <c r="S37" s="626"/>
    </row>
    <row r="38" spans="1:19">
      <c r="A38" s="2640" t="s">
        <v>1637</v>
      </c>
      <c r="B38" s="2637">
        <v>25</v>
      </c>
      <c r="C38" s="2636">
        <v>43270</v>
      </c>
      <c r="D38" s="2636">
        <v>43270</v>
      </c>
      <c r="E38" s="2641" t="s">
        <v>181</v>
      </c>
      <c r="F38" s="2632" t="s">
        <v>723</v>
      </c>
      <c r="G38" s="2638" t="s">
        <v>940</v>
      </c>
      <c r="H38" s="2634">
        <v>144</v>
      </c>
      <c r="I38" s="2639">
        <v>144</v>
      </c>
      <c r="J38" s="2632"/>
      <c r="K38" s="2642" t="s">
        <v>941</v>
      </c>
      <c r="L38" s="2635">
        <v>6</v>
      </c>
      <c r="M38" s="2679"/>
      <c r="N38" s="2677"/>
      <c r="Q38" s="625"/>
      <c r="R38" s="2681"/>
      <c r="S38" s="626"/>
    </row>
    <row r="39" spans="1:19">
      <c r="A39" s="2640" t="s">
        <v>1637</v>
      </c>
      <c r="B39" s="2637">
        <v>25</v>
      </c>
      <c r="C39" s="2636">
        <v>43270</v>
      </c>
      <c r="D39" s="2636">
        <v>43270</v>
      </c>
      <c r="E39" s="2632" t="s">
        <v>160</v>
      </c>
      <c r="F39" s="2632" t="s">
        <v>723</v>
      </c>
      <c r="G39" s="2638" t="s">
        <v>942</v>
      </c>
      <c r="H39" s="2634">
        <v>54</v>
      </c>
      <c r="I39" s="2639">
        <v>54</v>
      </c>
      <c r="J39" s="2634"/>
      <c r="K39" s="2632" t="s">
        <v>941</v>
      </c>
      <c r="L39" s="2635">
        <v>2</v>
      </c>
      <c r="M39" s="1669"/>
      <c r="N39" s="1667"/>
      <c r="Q39" s="625"/>
      <c r="R39" s="2681"/>
      <c r="S39" s="626"/>
    </row>
    <row r="40" spans="1:19">
      <c r="A40" s="2640" t="s">
        <v>1638</v>
      </c>
      <c r="B40" s="2637">
        <v>58</v>
      </c>
      <c r="C40" s="2636">
        <v>43270</v>
      </c>
      <c r="D40" s="2636">
        <v>43270</v>
      </c>
      <c r="E40" s="2641" t="s">
        <v>181</v>
      </c>
      <c r="F40" s="2632" t="s">
        <v>723</v>
      </c>
      <c r="G40" s="2638" t="s">
        <v>940</v>
      </c>
      <c r="H40" s="2634">
        <v>195</v>
      </c>
      <c r="I40" s="2639">
        <v>195</v>
      </c>
      <c r="J40" s="2632"/>
      <c r="K40" s="2642" t="s">
        <v>941</v>
      </c>
      <c r="L40" s="2635">
        <v>6</v>
      </c>
      <c r="M40" s="2635">
        <v>42</v>
      </c>
      <c r="N40" s="2633">
        <v>43278</v>
      </c>
      <c r="Q40" s="625"/>
      <c r="R40" s="2681"/>
      <c r="S40" s="626"/>
    </row>
    <row r="41" spans="1:19">
      <c r="A41" s="2640" t="s">
        <v>1638</v>
      </c>
      <c r="B41" s="2637">
        <v>58</v>
      </c>
      <c r="C41" s="2636">
        <v>43270</v>
      </c>
      <c r="D41" s="2636">
        <v>43270</v>
      </c>
      <c r="E41" s="2632" t="s">
        <v>160</v>
      </c>
      <c r="F41" s="2632" t="s">
        <v>723</v>
      </c>
      <c r="G41" s="2638" t="s">
        <v>942</v>
      </c>
      <c r="H41" s="2634">
        <v>14</v>
      </c>
      <c r="I41" s="2639">
        <v>14</v>
      </c>
      <c r="J41" s="2634"/>
      <c r="K41" s="2632" t="s">
        <v>941</v>
      </c>
      <c r="L41" s="2635">
        <v>2</v>
      </c>
      <c r="M41" s="2635">
        <v>8</v>
      </c>
      <c r="N41" s="2633">
        <v>43278</v>
      </c>
      <c r="Q41" s="625"/>
      <c r="R41" s="2681"/>
      <c r="S41" s="626"/>
    </row>
    <row r="42" spans="1:19">
      <c r="A42" s="2640" t="s">
        <v>1639</v>
      </c>
      <c r="B42" s="2637" t="s">
        <v>1367</v>
      </c>
      <c r="C42" s="2636">
        <v>43270</v>
      </c>
      <c r="D42" s="2636">
        <v>43270</v>
      </c>
      <c r="E42" s="2641" t="s">
        <v>181</v>
      </c>
      <c r="F42" s="2632" t="s">
        <v>723</v>
      </c>
      <c r="G42" s="2638" t="s">
        <v>940</v>
      </c>
      <c r="H42" s="2634">
        <v>218</v>
      </c>
      <c r="I42" s="2639">
        <v>218</v>
      </c>
      <c r="J42" s="2632"/>
      <c r="K42" s="2642" t="s">
        <v>941</v>
      </c>
      <c r="L42" s="2635">
        <v>6</v>
      </c>
      <c r="M42" s="2635">
        <v>42</v>
      </c>
      <c r="N42" s="2633">
        <v>43278</v>
      </c>
      <c r="Q42" s="625"/>
      <c r="R42" s="2681"/>
      <c r="S42" s="626"/>
    </row>
    <row r="43" spans="1:19">
      <c r="A43" s="2640" t="s">
        <v>1639</v>
      </c>
      <c r="B43" s="2637" t="s">
        <v>1367</v>
      </c>
      <c r="C43" s="2636">
        <v>43270</v>
      </c>
      <c r="D43" s="2636">
        <v>43270</v>
      </c>
      <c r="E43" s="2632" t="s">
        <v>160</v>
      </c>
      <c r="F43" s="2632" t="s">
        <v>723</v>
      </c>
      <c r="G43" s="2638" t="s">
        <v>942</v>
      </c>
      <c r="H43" s="2634">
        <v>21</v>
      </c>
      <c r="I43" s="2639">
        <v>21</v>
      </c>
      <c r="J43" s="2634"/>
      <c r="K43" s="2632" t="s">
        <v>941</v>
      </c>
      <c r="L43" s="2635">
        <v>2</v>
      </c>
      <c r="M43" s="2635">
        <v>8</v>
      </c>
      <c r="N43" s="2633">
        <v>43278</v>
      </c>
      <c r="Q43" s="625"/>
      <c r="R43" s="2681"/>
      <c r="S43" s="626"/>
    </row>
    <row r="44" spans="1:19">
      <c r="A44" s="2632" t="s">
        <v>1640</v>
      </c>
      <c r="B44" s="2637" t="s">
        <v>1368</v>
      </c>
      <c r="C44" s="2636">
        <v>43270</v>
      </c>
      <c r="D44" s="2636">
        <v>43270</v>
      </c>
      <c r="E44" s="2641" t="s">
        <v>181</v>
      </c>
      <c r="F44" s="2632" t="s">
        <v>723</v>
      </c>
      <c r="G44" s="2638" t="s">
        <v>940</v>
      </c>
      <c r="H44" s="2634">
        <v>267</v>
      </c>
      <c r="I44" s="2639">
        <v>267</v>
      </c>
      <c r="J44" s="2632"/>
      <c r="K44" s="2642" t="s">
        <v>941</v>
      </c>
      <c r="L44" s="2635">
        <v>6</v>
      </c>
      <c r="M44" s="2635">
        <v>42</v>
      </c>
      <c r="N44" s="2633">
        <v>43278</v>
      </c>
      <c r="Q44" s="625"/>
      <c r="R44" s="2681"/>
      <c r="S44" s="626"/>
    </row>
    <row r="45" spans="1:19">
      <c r="A45" s="2632" t="s">
        <v>1640</v>
      </c>
      <c r="B45" s="2637" t="s">
        <v>1368</v>
      </c>
      <c r="C45" s="2636">
        <v>43270</v>
      </c>
      <c r="D45" s="2636">
        <v>43270</v>
      </c>
      <c r="E45" s="2632" t="s">
        <v>160</v>
      </c>
      <c r="F45" s="2632" t="s">
        <v>723</v>
      </c>
      <c r="G45" s="2638" t="s">
        <v>942</v>
      </c>
      <c r="H45" s="2634">
        <v>28</v>
      </c>
      <c r="I45" s="2639">
        <v>28</v>
      </c>
      <c r="J45" s="2634"/>
      <c r="K45" s="2632" t="s">
        <v>941</v>
      </c>
      <c r="L45" s="2635">
        <v>2</v>
      </c>
      <c r="M45" s="2635">
        <v>8</v>
      </c>
      <c r="N45" s="2633">
        <v>43278</v>
      </c>
      <c r="Q45" s="625"/>
      <c r="R45" s="2681"/>
      <c r="S45" s="626"/>
    </row>
    <row r="46" spans="1:19">
      <c r="A46" s="2640" t="s">
        <v>1641</v>
      </c>
      <c r="B46" s="2637">
        <v>26</v>
      </c>
      <c r="C46" s="2636">
        <v>43270</v>
      </c>
      <c r="D46" s="2636">
        <v>43270</v>
      </c>
      <c r="E46" s="2641" t="s">
        <v>181</v>
      </c>
      <c r="F46" s="2632" t="s">
        <v>723</v>
      </c>
      <c r="G46" s="2638" t="s">
        <v>940</v>
      </c>
      <c r="H46" s="2634">
        <v>392</v>
      </c>
      <c r="I46" s="2639">
        <v>392</v>
      </c>
      <c r="J46" s="2632"/>
      <c r="K46" s="2642" t="s">
        <v>941</v>
      </c>
      <c r="L46" s="2635">
        <v>6</v>
      </c>
      <c r="M46" s="2635">
        <v>42</v>
      </c>
      <c r="N46" s="2633">
        <v>43278</v>
      </c>
      <c r="Q46" s="625"/>
      <c r="R46" s="2681"/>
      <c r="S46" s="626"/>
    </row>
    <row r="47" spans="1:19">
      <c r="A47" s="2640" t="s">
        <v>1641</v>
      </c>
      <c r="B47" s="2637">
        <v>26</v>
      </c>
      <c r="C47" s="2636">
        <v>43270</v>
      </c>
      <c r="D47" s="2636">
        <v>43270</v>
      </c>
      <c r="E47" s="2632" t="s">
        <v>160</v>
      </c>
      <c r="F47" s="2632" t="s">
        <v>723</v>
      </c>
      <c r="G47" s="2638" t="s">
        <v>942</v>
      </c>
      <c r="H47" s="2634">
        <v>36</v>
      </c>
      <c r="I47" s="2639">
        <v>36</v>
      </c>
      <c r="J47" s="2632"/>
      <c r="K47" s="2632" t="s">
        <v>941</v>
      </c>
      <c r="L47" s="2635">
        <v>2</v>
      </c>
      <c r="M47" s="2635">
        <v>8</v>
      </c>
      <c r="N47" s="2633">
        <v>43278</v>
      </c>
      <c r="Q47" s="625"/>
      <c r="R47" s="2681"/>
      <c r="S47" s="626"/>
    </row>
    <row r="48" spans="1:19">
      <c r="A48" s="2640" t="s">
        <v>1642</v>
      </c>
      <c r="B48" s="2637">
        <v>5</v>
      </c>
      <c r="C48" s="2636">
        <v>43270</v>
      </c>
      <c r="D48" s="2636">
        <v>43270</v>
      </c>
      <c r="E48" s="2641" t="s">
        <v>181</v>
      </c>
      <c r="F48" s="2632" t="s">
        <v>723</v>
      </c>
      <c r="G48" s="2638" t="s">
        <v>940</v>
      </c>
      <c r="H48" s="2634">
        <v>275</v>
      </c>
      <c r="I48" s="2639">
        <v>275</v>
      </c>
      <c r="J48" s="2632"/>
      <c r="K48" s="2642" t="s">
        <v>941</v>
      </c>
      <c r="L48" s="2635">
        <v>6</v>
      </c>
      <c r="M48" s="2635">
        <v>42</v>
      </c>
      <c r="N48" s="2633">
        <v>43278</v>
      </c>
      <c r="Q48" s="625"/>
      <c r="R48" s="2681"/>
      <c r="S48" s="626"/>
    </row>
    <row r="49" spans="1:32">
      <c r="A49" s="2640" t="s">
        <v>1642</v>
      </c>
      <c r="B49" s="2637">
        <v>5</v>
      </c>
      <c r="C49" s="2636">
        <v>43270</v>
      </c>
      <c r="D49" s="2636">
        <v>43270</v>
      </c>
      <c r="E49" s="2632" t="s">
        <v>160</v>
      </c>
      <c r="F49" s="2632" t="s">
        <v>723</v>
      </c>
      <c r="G49" s="2638" t="s">
        <v>942</v>
      </c>
      <c r="H49" s="2634">
        <v>27</v>
      </c>
      <c r="I49" s="2639">
        <v>27</v>
      </c>
      <c r="J49" s="2634"/>
      <c r="K49" s="2632" t="s">
        <v>941</v>
      </c>
      <c r="L49" s="2635">
        <v>2</v>
      </c>
      <c r="M49" s="2635">
        <v>8</v>
      </c>
      <c r="N49" s="2633">
        <v>43278</v>
      </c>
      <c r="Q49" s="625"/>
      <c r="R49" s="2681"/>
      <c r="S49" s="626"/>
    </row>
    <row r="50" spans="1:32">
      <c r="A50" s="2640" t="s">
        <v>1643</v>
      </c>
      <c r="B50" s="2637" t="s">
        <v>1369</v>
      </c>
      <c r="C50" s="2636">
        <v>43270</v>
      </c>
      <c r="D50" s="2636">
        <v>43270</v>
      </c>
      <c r="E50" s="2641" t="s">
        <v>181</v>
      </c>
      <c r="F50" s="2632" t="s">
        <v>723</v>
      </c>
      <c r="G50" s="2638" t="s">
        <v>940</v>
      </c>
      <c r="H50" s="2634">
        <v>431</v>
      </c>
      <c r="I50" s="2639">
        <v>431</v>
      </c>
      <c r="J50" s="2632"/>
      <c r="K50" s="2642" t="s">
        <v>941</v>
      </c>
      <c r="L50" s="2635">
        <v>6</v>
      </c>
      <c r="M50" s="2635">
        <v>42</v>
      </c>
      <c r="N50" s="2633">
        <v>43278</v>
      </c>
      <c r="Q50" s="625"/>
      <c r="R50" s="2681"/>
      <c r="S50" s="626"/>
    </row>
    <row r="51" spans="1:32">
      <c r="A51" s="2640" t="s">
        <v>1643</v>
      </c>
      <c r="B51" s="2637" t="s">
        <v>1369</v>
      </c>
      <c r="C51" s="2636">
        <v>43270</v>
      </c>
      <c r="D51" s="2636">
        <v>43270</v>
      </c>
      <c r="E51" s="2632" t="s">
        <v>160</v>
      </c>
      <c r="F51" s="2632" t="s">
        <v>723</v>
      </c>
      <c r="G51" s="2638" t="s">
        <v>942</v>
      </c>
      <c r="H51" s="2634">
        <v>32</v>
      </c>
      <c r="I51" s="2639">
        <v>32</v>
      </c>
      <c r="J51" s="2632"/>
      <c r="K51" s="2632" t="s">
        <v>941</v>
      </c>
      <c r="L51" s="2635">
        <v>2</v>
      </c>
      <c r="M51" s="2635">
        <v>8</v>
      </c>
      <c r="N51" s="2633">
        <v>43278</v>
      </c>
      <c r="Q51" s="625"/>
      <c r="R51" s="2681"/>
      <c r="S51" s="626"/>
    </row>
    <row r="52" spans="1:32">
      <c r="A52" s="2640" t="s">
        <v>1644</v>
      </c>
      <c r="B52" s="2637" t="s">
        <v>1370</v>
      </c>
      <c r="C52" s="2636">
        <v>43270</v>
      </c>
      <c r="D52" s="2636">
        <v>43270</v>
      </c>
      <c r="E52" s="2641" t="s">
        <v>181</v>
      </c>
      <c r="F52" s="2632" t="s">
        <v>723</v>
      </c>
      <c r="G52" s="2638" t="s">
        <v>940</v>
      </c>
      <c r="H52" s="2634">
        <v>1071</v>
      </c>
      <c r="I52" s="2639">
        <v>1071</v>
      </c>
      <c r="J52" s="2632"/>
      <c r="K52" s="2642" t="s">
        <v>941</v>
      </c>
      <c r="L52" s="2635">
        <v>6</v>
      </c>
      <c r="M52" s="2635">
        <v>42</v>
      </c>
      <c r="N52" s="2633">
        <v>43278</v>
      </c>
      <c r="Q52" s="625"/>
      <c r="R52" s="2681"/>
      <c r="S52" s="626"/>
    </row>
    <row r="53" spans="1:32">
      <c r="A53" s="2640" t="s">
        <v>1644</v>
      </c>
      <c r="B53" s="2637" t="s">
        <v>1370</v>
      </c>
      <c r="C53" s="2636">
        <v>43270</v>
      </c>
      <c r="D53" s="2636">
        <v>43270</v>
      </c>
      <c r="E53" s="2632" t="s">
        <v>160</v>
      </c>
      <c r="F53" s="2632" t="s">
        <v>723</v>
      </c>
      <c r="G53" s="2638" t="s">
        <v>942</v>
      </c>
      <c r="H53" s="2634">
        <v>155</v>
      </c>
      <c r="I53" s="2639">
        <v>155</v>
      </c>
      <c r="J53" s="2634"/>
      <c r="K53" s="2632" t="s">
        <v>941</v>
      </c>
      <c r="L53" s="2635">
        <v>2</v>
      </c>
      <c r="M53" s="2635">
        <v>8</v>
      </c>
      <c r="N53" s="2633">
        <v>43278</v>
      </c>
      <c r="Q53" s="625"/>
      <c r="R53" s="2681"/>
      <c r="S53" s="626"/>
    </row>
    <row r="54" spans="1:32">
      <c r="A54" s="2640" t="s">
        <v>1645</v>
      </c>
      <c r="B54" s="2637">
        <v>9</v>
      </c>
      <c r="C54" s="2636">
        <v>43270</v>
      </c>
      <c r="D54" s="2636">
        <v>43270</v>
      </c>
      <c r="E54" s="2641" t="s">
        <v>181</v>
      </c>
      <c r="F54" s="2632" t="s">
        <v>723</v>
      </c>
      <c r="G54" s="2638" t="s">
        <v>940</v>
      </c>
      <c r="H54" s="2634">
        <v>424</v>
      </c>
      <c r="I54" s="2639">
        <v>424</v>
      </c>
      <c r="J54" s="2632"/>
      <c r="K54" s="2642" t="s">
        <v>941</v>
      </c>
      <c r="L54" s="2635">
        <v>6</v>
      </c>
      <c r="M54" s="2635">
        <v>42</v>
      </c>
      <c r="N54" s="2633">
        <v>43278</v>
      </c>
      <c r="Q54" s="625"/>
      <c r="R54" s="2681"/>
      <c r="S54" s="626"/>
    </row>
    <row r="55" spans="1:32">
      <c r="A55" s="2640" t="s">
        <v>1645</v>
      </c>
      <c r="B55" s="2637">
        <v>9</v>
      </c>
      <c r="C55" s="2636">
        <v>43270</v>
      </c>
      <c r="D55" s="2636">
        <v>43270</v>
      </c>
      <c r="E55" s="2632" t="s">
        <v>160</v>
      </c>
      <c r="F55" s="2632" t="s">
        <v>723</v>
      </c>
      <c r="G55" s="2638" t="s">
        <v>942</v>
      </c>
      <c r="H55" s="2634">
        <v>35</v>
      </c>
      <c r="I55" s="2639">
        <v>35</v>
      </c>
      <c r="J55" s="2634"/>
      <c r="K55" s="2632" t="s">
        <v>941</v>
      </c>
      <c r="L55" s="2635">
        <v>2</v>
      </c>
      <c r="M55" s="2635">
        <v>8</v>
      </c>
      <c r="N55" s="2633">
        <v>43278</v>
      </c>
      <c r="Q55" s="625"/>
      <c r="R55" s="2681"/>
      <c r="S55" s="626"/>
    </row>
    <row r="56" spans="1:32" s="358" customFormat="1">
      <c r="A56" s="2640" t="s">
        <v>1646</v>
      </c>
      <c r="B56" s="2637">
        <v>12</v>
      </c>
      <c r="C56" s="2636">
        <v>43270</v>
      </c>
      <c r="D56" s="2636">
        <v>43270</v>
      </c>
      <c r="E56" s="2641" t="s">
        <v>181</v>
      </c>
      <c r="F56" s="2632" t="s">
        <v>723</v>
      </c>
      <c r="G56" s="2638" t="s">
        <v>940</v>
      </c>
      <c r="H56" s="2634">
        <v>557</v>
      </c>
      <c r="I56" s="2639">
        <v>557</v>
      </c>
      <c r="J56" s="2632"/>
      <c r="K56" s="2642" t="s">
        <v>941</v>
      </c>
      <c r="L56" s="2635">
        <v>6</v>
      </c>
      <c r="M56" s="2635">
        <v>42</v>
      </c>
      <c r="N56" s="2633">
        <v>43278</v>
      </c>
      <c r="Q56" s="625"/>
      <c r="R56" s="2681"/>
      <c r="S56" s="626"/>
    </row>
    <row r="57" spans="1:32" s="358" customFormat="1">
      <c r="A57" s="2640" t="s">
        <v>1646</v>
      </c>
      <c r="B57" s="2637">
        <v>12</v>
      </c>
      <c r="C57" s="2636">
        <v>43270</v>
      </c>
      <c r="D57" s="2636">
        <v>43270</v>
      </c>
      <c r="E57" s="2632" t="s">
        <v>160</v>
      </c>
      <c r="F57" s="2632" t="s">
        <v>723</v>
      </c>
      <c r="G57" s="2638" t="s">
        <v>942</v>
      </c>
      <c r="H57" s="2634">
        <v>57</v>
      </c>
      <c r="I57" s="2639">
        <v>57</v>
      </c>
      <c r="J57" s="2634"/>
      <c r="K57" s="2632" t="s">
        <v>941</v>
      </c>
      <c r="L57" s="2635">
        <v>2</v>
      </c>
      <c r="M57" s="2635">
        <v>8</v>
      </c>
      <c r="N57" s="2633">
        <v>43278</v>
      </c>
      <c r="Q57" s="625"/>
      <c r="R57" s="2681"/>
      <c r="S57" s="626"/>
    </row>
    <row r="58" spans="1:32">
      <c r="A58" s="2640" t="s">
        <v>1647</v>
      </c>
      <c r="B58" s="2637" t="s">
        <v>1371</v>
      </c>
      <c r="C58" s="2636">
        <v>43270</v>
      </c>
      <c r="D58" s="2636">
        <v>43270</v>
      </c>
      <c r="E58" s="2641" t="s">
        <v>181</v>
      </c>
      <c r="F58" s="2632" t="s">
        <v>723</v>
      </c>
      <c r="G58" s="2638" t="s">
        <v>940</v>
      </c>
      <c r="H58" s="2634">
        <v>470</v>
      </c>
      <c r="I58" s="2639">
        <v>470</v>
      </c>
      <c r="J58" s="2632"/>
      <c r="K58" s="2642" t="s">
        <v>941</v>
      </c>
      <c r="L58" s="2635">
        <v>6</v>
      </c>
      <c r="M58" s="2635">
        <v>42</v>
      </c>
      <c r="N58" s="2633">
        <v>43278</v>
      </c>
    </row>
    <row r="59" spans="1:32">
      <c r="A59" s="2640" t="s">
        <v>1647</v>
      </c>
      <c r="B59" s="2637" t="s">
        <v>1371</v>
      </c>
      <c r="C59" s="2636">
        <v>43270</v>
      </c>
      <c r="D59" s="2636">
        <v>43270</v>
      </c>
      <c r="E59" s="2632" t="s">
        <v>160</v>
      </c>
      <c r="F59" s="2632" t="s">
        <v>723</v>
      </c>
      <c r="G59" s="2638" t="s">
        <v>942</v>
      </c>
      <c r="H59" s="2634">
        <v>42</v>
      </c>
      <c r="I59" s="2639">
        <v>42</v>
      </c>
      <c r="J59" s="2634"/>
      <c r="K59" s="2632" t="s">
        <v>941</v>
      </c>
      <c r="L59" s="2635">
        <v>2</v>
      </c>
      <c r="M59" s="2635">
        <v>8</v>
      </c>
      <c r="N59" s="2633">
        <v>43278</v>
      </c>
      <c r="Q59" s="625"/>
      <c r="R59" s="2681"/>
      <c r="S59" s="626"/>
    </row>
    <row r="60" spans="1:32">
      <c r="A60" s="2640" t="s">
        <v>1648</v>
      </c>
      <c r="B60" s="2637">
        <v>18</v>
      </c>
      <c r="C60" s="2636">
        <v>43270</v>
      </c>
      <c r="D60" s="2636">
        <v>43270</v>
      </c>
      <c r="E60" s="2641" t="s">
        <v>181</v>
      </c>
      <c r="F60" s="2632" t="s">
        <v>723</v>
      </c>
      <c r="G60" s="2638" t="s">
        <v>940</v>
      </c>
      <c r="H60" s="2634">
        <v>603</v>
      </c>
      <c r="I60" s="2639">
        <v>603</v>
      </c>
      <c r="J60" s="2632"/>
      <c r="K60" s="2642" t="s">
        <v>941</v>
      </c>
      <c r="L60" s="2635">
        <v>6</v>
      </c>
      <c r="M60" s="2635">
        <v>42</v>
      </c>
      <c r="N60" s="2633">
        <v>43278</v>
      </c>
      <c r="Q60" s="625"/>
      <c r="R60" s="2681"/>
      <c r="S60" s="626"/>
    </row>
    <row r="61" spans="1:32">
      <c r="A61" s="2640" t="s">
        <v>1648</v>
      </c>
      <c r="B61" s="2637">
        <v>18</v>
      </c>
      <c r="C61" s="2636">
        <v>43270</v>
      </c>
      <c r="D61" s="2636">
        <v>43270</v>
      </c>
      <c r="E61" s="2632" t="s">
        <v>160</v>
      </c>
      <c r="F61" s="2632" t="s">
        <v>723</v>
      </c>
      <c r="G61" s="2638" t="s">
        <v>942</v>
      </c>
      <c r="H61" s="2634">
        <v>47</v>
      </c>
      <c r="I61" s="2639">
        <v>47</v>
      </c>
      <c r="J61" s="2634"/>
      <c r="K61" s="2632" t="s">
        <v>941</v>
      </c>
      <c r="L61" s="2635">
        <v>2</v>
      </c>
      <c r="M61" s="2635">
        <v>8</v>
      </c>
      <c r="N61" s="2633">
        <v>43278</v>
      </c>
      <c r="Q61" s="625"/>
      <c r="R61" s="2681"/>
      <c r="S61" s="626"/>
    </row>
    <row r="62" spans="1:32">
      <c r="A62" s="2640" t="s">
        <v>1649</v>
      </c>
      <c r="B62" s="2637">
        <v>19</v>
      </c>
      <c r="C62" s="2636">
        <v>43270</v>
      </c>
      <c r="D62" s="2636">
        <v>43270</v>
      </c>
      <c r="E62" s="2641" t="s">
        <v>181</v>
      </c>
      <c r="F62" s="2632" t="s">
        <v>723</v>
      </c>
      <c r="G62" s="2638" t="s">
        <v>940</v>
      </c>
      <c r="H62" s="2634">
        <v>392</v>
      </c>
      <c r="I62" s="2639">
        <v>392</v>
      </c>
      <c r="J62" s="2632"/>
      <c r="K62" s="2642" t="s">
        <v>941</v>
      </c>
      <c r="L62" s="2635">
        <v>6</v>
      </c>
      <c r="M62" s="2635">
        <v>42</v>
      </c>
      <c r="N62" s="2633">
        <v>43278</v>
      </c>
      <c r="Q62" s="625"/>
      <c r="R62" s="2681"/>
      <c r="S62" s="626"/>
    </row>
    <row r="63" spans="1:32">
      <c r="A63" s="2640" t="s">
        <v>1649</v>
      </c>
      <c r="B63" s="2637">
        <v>19</v>
      </c>
      <c r="C63" s="2636">
        <v>43270</v>
      </c>
      <c r="D63" s="2636">
        <v>43270</v>
      </c>
      <c r="E63" s="2632" t="s">
        <v>160</v>
      </c>
      <c r="F63" s="2632" t="s">
        <v>723</v>
      </c>
      <c r="G63" s="2638" t="s">
        <v>942</v>
      </c>
      <c r="H63" s="2634">
        <v>41</v>
      </c>
      <c r="I63" s="2639">
        <v>41</v>
      </c>
      <c r="J63" s="2634"/>
      <c r="K63" s="2632" t="s">
        <v>941</v>
      </c>
      <c r="L63" s="2635">
        <v>2</v>
      </c>
      <c r="M63" s="2635">
        <v>8</v>
      </c>
      <c r="N63" s="2633">
        <v>43278</v>
      </c>
      <c r="Q63" s="625"/>
      <c r="R63" s="2681"/>
      <c r="S63" s="626"/>
    </row>
    <row r="64" spans="1:32" s="358" customFormat="1">
      <c r="A64" s="2640" t="s">
        <v>1650</v>
      </c>
      <c r="B64" s="2637" t="s">
        <v>950</v>
      </c>
      <c r="C64" s="2636">
        <v>43270</v>
      </c>
      <c r="D64" s="2636">
        <v>43270</v>
      </c>
      <c r="E64" s="2641" t="s">
        <v>181</v>
      </c>
      <c r="F64" s="2632" t="s">
        <v>723</v>
      </c>
      <c r="G64" s="2638" t="s">
        <v>940</v>
      </c>
      <c r="H64" s="2634">
        <v>566</v>
      </c>
      <c r="I64" s="2639">
        <v>566</v>
      </c>
      <c r="J64" s="2634"/>
      <c r="K64" s="2632" t="s">
        <v>941</v>
      </c>
      <c r="L64" s="2635">
        <v>6</v>
      </c>
      <c r="M64" s="2635">
        <v>42</v>
      </c>
      <c r="N64" s="2633">
        <v>43278</v>
      </c>
      <c r="Q64" s="625"/>
      <c r="R64" s="2681"/>
      <c r="S64" s="626"/>
      <c r="T64" s="109"/>
      <c r="AA64" s="218"/>
      <c r="AB64" s="218"/>
      <c r="AC64" s="218"/>
      <c r="AD64" s="218"/>
      <c r="AE64" s="219"/>
      <c r="AF64" s="219"/>
    </row>
    <row r="65" spans="1:32" s="358" customFormat="1">
      <c r="A65" s="2640" t="s">
        <v>1650</v>
      </c>
      <c r="B65" s="2637" t="s">
        <v>950</v>
      </c>
      <c r="C65" s="2636">
        <v>43270</v>
      </c>
      <c r="D65" s="2636">
        <v>43270</v>
      </c>
      <c r="E65" s="2632" t="s">
        <v>160</v>
      </c>
      <c r="F65" s="2632" t="s">
        <v>723</v>
      </c>
      <c r="G65" s="2638" t="s">
        <v>942</v>
      </c>
      <c r="H65" s="2634">
        <v>65</v>
      </c>
      <c r="I65" s="2639">
        <v>65</v>
      </c>
      <c r="J65" s="2634"/>
      <c r="K65" s="2632" t="s">
        <v>941</v>
      </c>
      <c r="L65" s="2635">
        <v>2</v>
      </c>
      <c r="M65" s="2635">
        <v>8</v>
      </c>
      <c r="N65" s="2633">
        <v>43278</v>
      </c>
      <c r="Q65" s="625"/>
      <c r="R65" s="2681"/>
      <c r="S65" s="626"/>
      <c r="T65" s="109"/>
      <c r="AA65" s="218"/>
      <c r="AB65" s="218"/>
      <c r="AC65" s="218"/>
      <c r="AD65" s="218"/>
      <c r="AE65" s="219"/>
      <c r="AF65" s="219"/>
    </row>
    <row r="66" spans="1:32" s="358" customFormat="1">
      <c r="A66" s="2640" t="s">
        <v>1651</v>
      </c>
      <c r="B66" s="2637" t="s">
        <v>1279</v>
      </c>
      <c r="C66" s="2636">
        <v>43270</v>
      </c>
      <c r="D66" s="2636">
        <v>43270</v>
      </c>
      <c r="E66" s="2641" t="s">
        <v>181</v>
      </c>
      <c r="F66" s="2632" t="s">
        <v>723</v>
      </c>
      <c r="G66" s="2638" t="s">
        <v>940</v>
      </c>
      <c r="H66" s="2634">
        <v>1201</v>
      </c>
      <c r="I66" s="2639">
        <v>1201</v>
      </c>
      <c r="J66" s="2634"/>
      <c r="K66" s="2632" t="s">
        <v>941</v>
      </c>
      <c r="L66" s="2635">
        <v>6</v>
      </c>
      <c r="M66" s="2635">
        <v>42</v>
      </c>
      <c r="N66" s="2633">
        <v>43278</v>
      </c>
      <c r="Q66" s="625"/>
      <c r="R66" s="2681"/>
      <c r="S66" s="626"/>
      <c r="T66" s="109"/>
      <c r="AA66" s="218"/>
      <c r="AB66" s="218"/>
      <c r="AC66" s="218"/>
      <c r="AD66" s="218"/>
      <c r="AE66" s="219"/>
      <c r="AF66" s="219"/>
    </row>
    <row r="67" spans="1:32" s="358" customFormat="1">
      <c r="A67" s="2640" t="s">
        <v>1651</v>
      </c>
      <c r="B67" s="2637" t="s">
        <v>1279</v>
      </c>
      <c r="C67" s="2636">
        <v>43270</v>
      </c>
      <c r="D67" s="2636">
        <v>43270</v>
      </c>
      <c r="E67" s="2632" t="s">
        <v>160</v>
      </c>
      <c r="F67" s="2632" t="s">
        <v>723</v>
      </c>
      <c r="G67" s="2638" t="s">
        <v>942</v>
      </c>
      <c r="H67" s="2634">
        <v>51</v>
      </c>
      <c r="I67" s="2639">
        <v>51</v>
      </c>
      <c r="J67" s="2634"/>
      <c r="K67" s="2632" t="s">
        <v>941</v>
      </c>
      <c r="L67" s="2635">
        <v>2</v>
      </c>
      <c r="M67" s="2635">
        <v>8</v>
      </c>
      <c r="N67" s="2633">
        <v>43278</v>
      </c>
      <c r="Q67" s="625"/>
      <c r="R67" s="2681"/>
      <c r="S67" s="626"/>
      <c r="T67" s="109"/>
      <c r="AA67" s="218"/>
      <c r="AB67" s="218"/>
      <c r="AC67" s="218"/>
      <c r="AD67" s="218"/>
      <c r="AE67" s="219"/>
      <c r="AF67" s="219"/>
    </row>
    <row r="68" spans="1:32" s="358" customFormat="1">
      <c r="A68" s="1685"/>
      <c r="B68" s="1682"/>
      <c r="C68" s="1681"/>
      <c r="D68" s="1681"/>
      <c r="E68" s="1686"/>
      <c r="F68" s="1677"/>
      <c r="G68" s="1683"/>
      <c r="H68" s="1679"/>
      <c r="I68" s="1684"/>
      <c r="J68" s="1677"/>
      <c r="K68" s="1687"/>
      <c r="L68" s="1680"/>
      <c r="M68" s="2635">
        <v>42</v>
      </c>
      <c r="N68" s="2633">
        <v>43278</v>
      </c>
      <c r="Q68" s="625"/>
      <c r="R68" s="2681"/>
      <c r="S68" s="626"/>
      <c r="T68" s="109"/>
      <c r="AA68" s="218"/>
      <c r="AB68" s="218"/>
      <c r="AC68" s="218"/>
      <c r="AD68" s="218"/>
      <c r="AE68" s="219"/>
      <c r="AF68" s="219"/>
    </row>
    <row r="69" spans="1:32" s="358" customFormat="1">
      <c r="A69" s="2651" t="s">
        <v>1652</v>
      </c>
      <c r="B69" s="2648">
        <v>64</v>
      </c>
      <c r="C69" s="2647">
        <v>43300</v>
      </c>
      <c r="D69" s="2647">
        <v>43300</v>
      </c>
      <c r="E69" s="2652" t="s">
        <v>181</v>
      </c>
      <c r="F69" s="2643" t="s">
        <v>723</v>
      </c>
      <c r="G69" s="2649" t="s">
        <v>940</v>
      </c>
      <c r="H69" s="2645">
        <v>495</v>
      </c>
      <c r="I69" s="2650">
        <v>495</v>
      </c>
      <c r="J69" s="2643"/>
      <c r="K69" s="2653" t="s">
        <v>941</v>
      </c>
      <c r="L69" s="2646">
        <v>6</v>
      </c>
      <c r="M69" s="2635">
        <v>8</v>
      </c>
      <c r="N69" s="2633">
        <v>43278</v>
      </c>
      <c r="Q69" s="625"/>
      <c r="R69" s="2681"/>
      <c r="S69" s="626"/>
      <c r="T69" s="109"/>
      <c r="AA69" s="218"/>
      <c r="AB69" s="218"/>
      <c r="AC69" s="218"/>
      <c r="AD69" s="218"/>
      <c r="AE69" s="219"/>
      <c r="AF69" s="219"/>
    </row>
    <row r="70" spans="1:32" s="358" customFormat="1">
      <c r="A70" s="2651" t="s">
        <v>1652</v>
      </c>
      <c r="B70" s="2648">
        <v>64</v>
      </c>
      <c r="C70" s="2647">
        <v>43300</v>
      </c>
      <c r="D70" s="2647">
        <v>43300</v>
      </c>
      <c r="E70" s="2643" t="s">
        <v>160</v>
      </c>
      <c r="F70" s="2643" t="s">
        <v>723</v>
      </c>
      <c r="G70" s="2649" t="s">
        <v>942</v>
      </c>
      <c r="H70" s="2645">
        <v>76</v>
      </c>
      <c r="I70" s="2650">
        <v>76</v>
      </c>
      <c r="J70" s="2645"/>
      <c r="K70" s="2643" t="s">
        <v>941</v>
      </c>
      <c r="L70" s="2646">
        <v>2</v>
      </c>
      <c r="M70" s="2635">
        <v>42</v>
      </c>
      <c r="N70" s="2633">
        <v>43278</v>
      </c>
      <c r="Q70" s="625"/>
      <c r="R70" s="2681"/>
      <c r="S70" s="626"/>
      <c r="T70" s="109"/>
      <c r="AA70" s="218"/>
      <c r="AB70" s="218"/>
      <c r="AC70" s="218"/>
      <c r="AD70" s="218"/>
      <c r="AE70" s="219"/>
      <c r="AF70" s="219"/>
    </row>
    <row r="71" spans="1:32" s="358" customFormat="1">
      <c r="A71" s="2651" t="s">
        <v>1653</v>
      </c>
      <c r="B71" s="2648">
        <v>25</v>
      </c>
      <c r="C71" s="2647">
        <v>43300</v>
      </c>
      <c r="D71" s="2647">
        <v>43300</v>
      </c>
      <c r="E71" s="2652" t="s">
        <v>181</v>
      </c>
      <c r="F71" s="2643" t="s">
        <v>723</v>
      </c>
      <c r="G71" s="2649" t="s">
        <v>940</v>
      </c>
      <c r="H71" s="2645">
        <v>68</v>
      </c>
      <c r="I71" s="2650">
        <v>68</v>
      </c>
      <c r="J71" s="2643"/>
      <c r="K71" s="2653" t="s">
        <v>941</v>
      </c>
      <c r="L71" s="2646">
        <v>6</v>
      </c>
      <c r="M71" s="2635">
        <v>8</v>
      </c>
      <c r="N71" s="2633">
        <v>43278</v>
      </c>
      <c r="Q71" s="625"/>
      <c r="R71" s="2681"/>
      <c r="S71" s="626"/>
      <c r="T71" s="109"/>
      <c r="AA71" s="218"/>
      <c r="AB71" s="218"/>
      <c r="AC71" s="218"/>
      <c r="AD71" s="218"/>
      <c r="AE71" s="219"/>
      <c r="AF71" s="219"/>
    </row>
    <row r="72" spans="1:32" s="358" customFormat="1">
      <c r="A72" s="2651" t="s">
        <v>1653</v>
      </c>
      <c r="B72" s="2648">
        <v>25</v>
      </c>
      <c r="C72" s="2647">
        <v>43300</v>
      </c>
      <c r="D72" s="2647">
        <v>43300</v>
      </c>
      <c r="E72" s="2643" t="s">
        <v>160</v>
      </c>
      <c r="F72" s="2643" t="s">
        <v>723</v>
      </c>
      <c r="G72" s="2649" t="s">
        <v>942</v>
      </c>
      <c r="H72" s="2645">
        <v>7</v>
      </c>
      <c r="I72" s="2650">
        <v>7</v>
      </c>
      <c r="J72" s="2645" t="s">
        <v>953</v>
      </c>
      <c r="K72" s="2643" t="s">
        <v>941</v>
      </c>
      <c r="L72" s="2646">
        <v>2</v>
      </c>
      <c r="M72" s="1680"/>
      <c r="N72" s="1678"/>
      <c r="Q72" s="625"/>
      <c r="R72" s="2681"/>
      <c r="S72" s="626"/>
      <c r="T72" s="109"/>
      <c r="AA72" s="218"/>
      <c r="AB72" s="218"/>
      <c r="AC72" s="218"/>
      <c r="AD72" s="218"/>
      <c r="AE72" s="219"/>
      <c r="AF72" s="219"/>
    </row>
    <row r="73" spans="1:32">
      <c r="A73" s="2651" t="s">
        <v>1654</v>
      </c>
      <c r="B73" s="2648">
        <v>58</v>
      </c>
      <c r="C73" s="2647">
        <v>43300</v>
      </c>
      <c r="D73" s="2647">
        <v>43300</v>
      </c>
      <c r="E73" s="2652" t="s">
        <v>181</v>
      </c>
      <c r="F73" s="2643" t="s">
        <v>723</v>
      </c>
      <c r="G73" s="2649" t="s">
        <v>940</v>
      </c>
      <c r="H73" s="2645">
        <v>144</v>
      </c>
      <c r="I73" s="2650">
        <v>144</v>
      </c>
      <c r="J73" s="2643"/>
      <c r="K73" s="2653" t="s">
        <v>941</v>
      </c>
      <c r="L73" s="2646">
        <v>6</v>
      </c>
      <c r="M73" s="2646">
        <v>42</v>
      </c>
      <c r="N73" s="2644">
        <v>43322</v>
      </c>
      <c r="Q73" s="625"/>
      <c r="R73" s="2681"/>
      <c r="S73" s="626"/>
    </row>
    <row r="74" spans="1:32">
      <c r="A74" s="2651" t="s">
        <v>1654</v>
      </c>
      <c r="B74" s="2648">
        <v>58</v>
      </c>
      <c r="C74" s="2647">
        <v>43300</v>
      </c>
      <c r="D74" s="2647">
        <v>43300</v>
      </c>
      <c r="E74" s="2643" t="s">
        <v>160</v>
      </c>
      <c r="F74" s="2643" t="s">
        <v>723</v>
      </c>
      <c r="G74" s="2649" t="s">
        <v>942</v>
      </c>
      <c r="H74" s="2645">
        <v>4</v>
      </c>
      <c r="I74" s="2650">
        <v>4</v>
      </c>
      <c r="J74" s="2645" t="s">
        <v>953</v>
      </c>
      <c r="K74" s="2643" t="s">
        <v>941</v>
      </c>
      <c r="L74" s="2646">
        <v>2</v>
      </c>
      <c r="M74" s="2646">
        <v>8</v>
      </c>
      <c r="N74" s="2644">
        <v>43322</v>
      </c>
      <c r="Q74" s="625"/>
      <c r="R74" s="2681"/>
      <c r="S74" s="626"/>
    </row>
    <row r="75" spans="1:32">
      <c r="A75" s="2651" t="s">
        <v>1655</v>
      </c>
      <c r="B75" s="2648" t="s">
        <v>1367</v>
      </c>
      <c r="C75" s="2647">
        <v>43300</v>
      </c>
      <c r="D75" s="2647">
        <v>43300</v>
      </c>
      <c r="E75" s="2652" t="s">
        <v>181</v>
      </c>
      <c r="F75" s="2643" t="s">
        <v>723</v>
      </c>
      <c r="G75" s="2649" t="s">
        <v>940</v>
      </c>
      <c r="H75" s="2645">
        <v>170</v>
      </c>
      <c r="I75" s="2650">
        <v>170</v>
      </c>
      <c r="J75" s="2643"/>
      <c r="K75" s="2653" t="s">
        <v>941</v>
      </c>
      <c r="L75" s="2646">
        <v>6</v>
      </c>
      <c r="M75" s="2646">
        <v>42</v>
      </c>
      <c r="N75" s="2644">
        <v>43322</v>
      </c>
      <c r="Q75" s="625"/>
      <c r="R75" s="2681"/>
      <c r="S75" s="626"/>
    </row>
    <row r="76" spans="1:32">
      <c r="A76" s="2651" t="s">
        <v>1655</v>
      </c>
      <c r="B76" s="2648" t="s">
        <v>1367</v>
      </c>
      <c r="C76" s="2647">
        <v>43300</v>
      </c>
      <c r="D76" s="2647">
        <v>43300</v>
      </c>
      <c r="E76" s="2643" t="s">
        <v>160</v>
      </c>
      <c r="F76" s="2643" t="s">
        <v>723</v>
      </c>
      <c r="G76" s="2649" t="s">
        <v>942</v>
      </c>
      <c r="H76" s="2645">
        <v>9</v>
      </c>
      <c r="I76" s="2650">
        <v>9</v>
      </c>
      <c r="J76" s="2645"/>
      <c r="K76" s="2643" t="s">
        <v>941</v>
      </c>
      <c r="L76" s="2646">
        <v>2</v>
      </c>
      <c r="M76" s="2646">
        <v>8</v>
      </c>
      <c r="N76" s="2644">
        <v>43322</v>
      </c>
      <c r="Q76" s="625"/>
      <c r="R76" s="2681"/>
      <c r="S76" s="626"/>
    </row>
    <row r="77" spans="1:32" s="358" customFormat="1">
      <c r="A77" s="2643" t="s">
        <v>1656</v>
      </c>
      <c r="B77" s="2648" t="s">
        <v>1368</v>
      </c>
      <c r="C77" s="2647">
        <v>43300</v>
      </c>
      <c r="D77" s="2647">
        <v>43300</v>
      </c>
      <c r="E77" s="2652" t="s">
        <v>181</v>
      </c>
      <c r="F77" s="2643" t="s">
        <v>723</v>
      </c>
      <c r="G77" s="2649" t="s">
        <v>940</v>
      </c>
      <c r="H77" s="2645">
        <v>176</v>
      </c>
      <c r="I77" s="2650">
        <v>176</v>
      </c>
      <c r="J77" s="2643"/>
      <c r="K77" s="2653" t="s">
        <v>941</v>
      </c>
      <c r="L77" s="2646">
        <v>6</v>
      </c>
      <c r="M77" s="2646">
        <v>42</v>
      </c>
      <c r="N77" s="2644">
        <v>43322</v>
      </c>
      <c r="Q77" s="625"/>
      <c r="R77" s="2681"/>
      <c r="S77" s="626"/>
    </row>
    <row r="78" spans="1:32" s="358" customFormat="1">
      <c r="A78" s="2643" t="s">
        <v>1656</v>
      </c>
      <c r="B78" s="2648" t="s">
        <v>1368</v>
      </c>
      <c r="C78" s="2647">
        <v>43300</v>
      </c>
      <c r="D78" s="2647">
        <v>43300</v>
      </c>
      <c r="E78" s="2643" t="s">
        <v>160</v>
      </c>
      <c r="F78" s="2643" t="s">
        <v>723</v>
      </c>
      <c r="G78" s="2649" t="s">
        <v>942</v>
      </c>
      <c r="H78" s="2645">
        <v>13</v>
      </c>
      <c r="I78" s="2650">
        <v>13</v>
      </c>
      <c r="J78" s="2645"/>
      <c r="K78" s="2643" t="s">
        <v>941</v>
      </c>
      <c r="L78" s="2646">
        <v>2</v>
      </c>
      <c r="M78" s="2646">
        <v>8</v>
      </c>
      <c r="N78" s="2644">
        <v>43322</v>
      </c>
      <c r="Q78" s="625"/>
      <c r="R78" s="2681"/>
      <c r="S78" s="626"/>
    </row>
    <row r="79" spans="1:32" s="358" customFormat="1">
      <c r="A79" s="2651" t="s">
        <v>1657</v>
      </c>
      <c r="B79" s="2648">
        <v>26</v>
      </c>
      <c r="C79" s="2647">
        <v>43300</v>
      </c>
      <c r="D79" s="2647">
        <v>43300</v>
      </c>
      <c r="E79" s="2652" t="s">
        <v>181</v>
      </c>
      <c r="F79" s="2643" t="s">
        <v>723</v>
      </c>
      <c r="G79" s="2649" t="s">
        <v>940</v>
      </c>
      <c r="H79" s="2645">
        <v>298</v>
      </c>
      <c r="I79" s="2650">
        <v>298</v>
      </c>
      <c r="J79" s="2643"/>
      <c r="K79" s="2653" t="s">
        <v>941</v>
      </c>
      <c r="L79" s="2646">
        <v>6</v>
      </c>
      <c r="M79" s="2646">
        <v>42</v>
      </c>
      <c r="N79" s="2644">
        <v>43322</v>
      </c>
      <c r="Q79" s="625"/>
      <c r="R79" s="2681"/>
      <c r="S79" s="626"/>
    </row>
    <row r="80" spans="1:32" s="358" customFormat="1">
      <c r="A80" s="2651" t="s">
        <v>1657</v>
      </c>
      <c r="B80" s="2648">
        <v>26</v>
      </c>
      <c r="C80" s="2647">
        <v>43300</v>
      </c>
      <c r="D80" s="2647">
        <v>43300</v>
      </c>
      <c r="E80" s="2643" t="s">
        <v>160</v>
      </c>
      <c r="F80" s="2643" t="s">
        <v>723</v>
      </c>
      <c r="G80" s="2649" t="s">
        <v>942</v>
      </c>
      <c r="H80" s="2645">
        <v>30</v>
      </c>
      <c r="I80" s="2650">
        <v>30</v>
      </c>
      <c r="J80" s="2643"/>
      <c r="K80" s="2643" t="s">
        <v>941</v>
      </c>
      <c r="L80" s="2646">
        <v>2</v>
      </c>
      <c r="M80" s="2646">
        <v>8</v>
      </c>
      <c r="N80" s="2644">
        <v>43322</v>
      </c>
      <c r="Q80" s="625"/>
      <c r="R80" s="2681"/>
      <c r="S80" s="626"/>
    </row>
    <row r="81" spans="1:19" s="358" customFormat="1">
      <c r="A81" s="2651" t="s">
        <v>1658</v>
      </c>
      <c r="B81" s="2648">
        <v>5</v>
      </c>
      <c r="C81" s="2647">
        <v>43300</v>
      </c>
      <c r="D81" s="2647">
        <v>43300</v>
      </c>
      <c r="E81" s="2652" t="s">
        <v>181</v>
      </c>
      <c r="F81" s="2643" t="s">
        <v>723</v>
      </c>
      <c r="G81" s="2649" t="s">
        <v>940</v>
      </c>
      <c r="H81" s="2645">
        <v>298</v>
      </c>
      <c r="I81" s="2650">
        <v>298</v>
      </c>
      <c r="J81" s="2643"/>
      <c r="K81" s="2653" t="s">
        <v>941</v>
      </c>
      <c r="L81" s="2646">
        <v>6</v>
      </c>
      <c r="M81" s="2646">
        <v>42</v>
      </c>
      <c r="N81" s="2644">
        <v>43322</v>
      </c>
      <c r="Q81" s="625"/>
      <c r="R81" s="2681"/>
      <c r="S81" s="626"/>
    </row>
    <row r="82" spans="1:19">
      <c r="A82" s="2651" t="s">
        <v>1658</v>
      </c>
      <c r="B82" s="2648">
        <v>5</v>
      </c>
      <c r="C82" s="2647">
        <v>43300</v>
      </c>
      <c r="D82" s="2647">
        <v>43300</v>
      </c>
      <c r="E82" s="2643" t="s">
        <v>160</v>
      </c>
      <c r="F82" s="2643" t="s">
        <v>723</v>
      </c>
      <c r="G82" s="2649" t="s">
        <v>942</v>
      </c>
      <c r="H82" s="2645">
        <v>31</v>
      </c>
      <c r="I82" s="2650">
        <v>31</v>
      </c>
      <c r="J82" s="2645"/>
      <c r="K82" s="2643" t="s">
        <v>941</v>
      </c>
      <c r="L82" s="2646">
        <v>2</v>
      </c>
      <c r="M82" s="2646">
        <v>8</v>
      </c>
      <c r="N82" s="2644">
        <v>43322</v>
      </c>
      <c r="Q82" s="625"/>
      <c r="R82" s="2681"/>
      <c r="S82" s="626"/>
    </row>
    <row r="83" spans="1:19">
      <c r="A83" s="2651" t="s">
        <v>1659</v>
      </c>
      <c r="B83" s="2648" t="s">
        <v>1369</v>
      </c>
      <c r="C83" s="2647">
        <v>43300</v>
      </c>
      <c r="D83" s="2647">
        <v>43300</v>
      </c>
      <c r="E83" s="2652" t="s">
        <v>181</v>
      </c>
      <c r="F83" s="2643" t="s">
        <v>723</v>
      </c>
      <c r="G83" s="2649" t="s">
        <v>940</v>
      </c>
      <c r="H83" s="2645">
        <v>663</v>
      </c>
      <c r="I83" s="2650">
        <v>663</v>
      </c>
      <c r="J83" s="2643"/>
      <c r="K83" s="2653" t="s">
        <v>941</v>
      </c>
      <c r="L83" s="2646">
        <v>6</v>
      </c>
      <c r="M83" s="2646">
        <v>42</v>
      </c>
      <c r="N83" s="2644">
        <v>43322</v>
      </c>
      <c r="Q83" s="625"/>
      <c r="R83" s="2681"/>
      <c r="S83" s="626"/>
    </row>
    <row r="84" spans="1:19" s="358" customFormat="1">
      <c r="A84" s="2651" t="s">
        <v>1659</v>
      </c>
      <c r="B84" s="2648" t="s">
        <v>1369</v>
      </c>
      <c r="C84" s="2647">
        <v>43300</v>
      </c>
      <c r="D84" s="2647">
        <v>43300</v>
      </c>
      <c r="E84" s="2643" t="s">
        <v>160</v>
      </c>
      <c r="F84" s="2643" t="s">
        <v>723</v>
      </c>
      <c r="G84" s="2649" t="s">
        <v>942</v>
      </c>
      <c r="H84" s="2645">
        <v>37</v>
      </c>
      <c r="I84" s="2650">
        <v>37</v>
      </c>
      <c r="J84" s="2643"/>
      <c r="K84" s="2643" t="s">
        <v>941</v>
      </c>
      <c r="L84" s="2646">
        <v>2</v>
      </c>
      <c r="M84" s="2646">
        <v>8</v>
      </c>
      <c r="N84" s="2644">
        <v>43322</v>
      </c>
      <c r="Q84" s="625"/>
      <c r="R84" s="2681"/>
      <c r="S84" s="626"/>
    </row>
    <row r="85" spans="1:19">
      <c r="A85" s="2651" t="s">
        <v>1660</v>
      </c>
      <c r="B85" s="2648" t="s">
        <v>1370</v>
      </c>
      <c r="C85" s="2647">
        <v>43300</v>
      </c>
      <c r="D85" s="2647">
        <v>43300</v>
      </c>
      <c r="E85" s="2652" t="s">
        <v>181</v>
      </c>
      <c r="F85" s="2643" t="s">
        <v>723</v>
      </c>
      <c r="G85" s="2649" t="s">
        <v>940</v>
      </c>
      <c r="H85" s="2645">
        <v>956</v>
      </c>
      <c r="I85" s="2650">
        <v>956</v>
      </c>
      <c r="J85" s="2643"/>
      <c r="K85" s="2653" t="s">
        <v>941</v>
      </c>
      <c r="L85" s="2646">
        <v>6</v>
      </c>
      <c r="M85" s="2646">
        <v>42</v>
      </c>
      <c r="N85" s="2644">
        <v>43322</v>
      </c>
      <c r="Q85" s="625"/>
      <c r="R85" s="2681"/>
      <c r="S85" s="626"/>
    </row>
    <row r="86" spans="1:19">
      <c r="A86" s="2651" t="s">
        <v>1660</v>
      </c>
      <c r="B86" s="2648" t="s">
        <v>1370</v>
      </c>
      <c r="C86" s="2647">
        <v>43300</v>
      </c>
      <c r="D86" s="2647">
        <v>43300</v>
      </c>
      <c r="E86" s="2643" t="s">
        <v>160</v>
      </c>
      <c r="F86" s="2643" t="s">
        <v>723</v>
      </c>
      <c r="G86" s="2649" t="s">
        <v>942</v>
      </c>
      <c r="H86" s="2645">
        <v>136</v>
      </c>
      <c r="I86" s="2650">
        <v>136</v>
      </c>
      <c r="J86" s="2645"/>
      <c r="K86" s="2643" t="s">
        <v>941</v>
      </c>
      <c r="L86" s="2646">
        <v>2</v>
      </c>
      <c r="M86" s="2646">
        <v>8</v>
      </c>
      <c r="N86" s="2644">
        <v>43322</v>
      </c>
      <c r="Q86" s="625"/>
      <c r="R86" s="2681"/>
      <c r="S86" s="626"/>
    </row>
    <row r="87" spans="1:19">
      <c r="A87" s="2651" t="s">
        <v>1661</v>
      </c>
      <c r="B87" s="2648">
        <v>9</v>
      </c>
      <c r="C87" s="2647">
        <v>43300</v>
      </c>
      <c r="D87" s="2647">
        <v>43300</v>
      </c>
      <c r="E87" s="2652" t="s">
        <v>181</v>
      </c>
      <c r="F87" s="2643" t="s">
        <v>723</v>
      </c>
      <c r="G87" s="2649" t="s">
        <v>940</v>
      </c>
      <c r="H87" s="2645">
        <v>402</v>
      </c>
      <c r="I87" s="2650">
        <v>402</v>
      </c>
      <c r="J87" s="2643"/>
      <c r="K87" s="2653" t="s">
        <v>941</v>
      </c>
      <c r="L87" s="2646">
        <v>6</v>
      </c>
      <c r="M87" s="2646">
        <v>42</v>
      </c>
      <c r="N87" s="2644">
        <v>43322</v>
      </c>
      <c r="Q87" s="625"/>
      <c r="R87" s="2681"/>
      <c r="S87" s="626"/>
    </row>
    <row r="88" spans="1:19">
      <c r="A88" s="2651" t="s">
        <v>1661</v>
      </c>
      <c r="B88" s="2648">
        <v>9</v>
      </c>
      <c r="C88" s="2647">
        <v>43300</v>
      </c>
      <c r="D88" s="2647">
        <v>43300</v>
      </c>
      <c r="E88" s="2643" t="s">
        <v>160</v>
      </c>
      <c r="F88" s="2643" t="s">
        <v>723</v>
      </c>
      <c r="G88" s="2649" t="s">
        <v>942</v>
      </c>
      <c r="H88" s="2645">
        <v>48</v>
      </c>
      <c r="I88" s="2650">
        <v>48</v>
      </c>
      <c r="J88" s="2645"/>
      <c r="K88" s="2643" t="s">
        <v>941</v>
      </c>
      <c r="L88" s="2646">
        <v>2</v>
      </c>
      <c r="M88" s="2646">
        <v>8</v>
      </c>
      <c r="N88" s="2644">
        <v>43322</v>
      </c>
      <c r="Q88" s="625"/>
      <c r="R88" s="2681"/>
      <c r="S88" s="626"/>
    </row>
    <row r="89" spans="1:19">
      <c r="A89" s="2651" t="s">
        <v>1662</v>
      </c>
      <c r="B89" s="2648">
        <v>12</v>
      </c>
      <c r="C89" s="2647">
        <v>43300</v>
      </c>
      <c r="D89" s="2647">
        <v>43300</v>
      </c>
      <c r="E89" s="2652" t="s">
        <v>181</v>
      </c>
      <c r="F89" s="2643" t="s">
        <v>723</v>
      </c>
      <c r="G89" s="2649" t="s">
        <v>940</v>
      </c>
      <c r="H89" s="2645">
        <v>913</v>
      </c>
      <c r="I89" s="2650">
        <v>913</v>
      </c>
      <c r="J89" s="2643"/>
      <c r="K89" s="2653" t="s">
        <v>941</v>
      </c>
      <c r="L89" s="2646">
        <v>6</v>
      </c>
      <c r="M89" s="2646">
        <v>42</v>
      </c>
      <c r="N89" s="2644">
        <v>43322</v>
      </c>
      <c r="Q89" s="625"/>
      <c r="R89" s="2681"/>
      <c r="S89" s="626"/>
    </row>
    <row r="90" spans="1:19">
      <c r="A90" s="2651" t="s">
        <v>1662</v>
      </c>
      <c r="B90" s="2648">
        <v>12</v>
      </c>
      <c r="C90" s="2647">
        <v>43300</v>
      </c>
      <c r="D90" s="2647">
        <v>43300</v>
      </c>
      <c r="E90" s="2643" t="s">
        <v>160</v>
      </c>
      <c r="F90" s="2643" t="s">
        <v>723</v>
      </c>
      <c r="G90" s="2649" t="s">
        <v>942</v>
      </c>
      <c r="H90" s="2645">
        <v>50</v>
      </c>
      <c r="I90" s="2650">
        <v>50</v>
      </c>
      <c r="J90" s="2645"/>
      <c r="K90" s="2643" t="s">
        <v>941</v>
      </c>
      <c r="L90" s="2646">
        <v>2</v>
      </c>
      <c r="M90" s="2646">
        <v>8</v>
      </c>
      <c r="N90" s="2644">
        <v>43322</v>
      </c>
      <c r="Q90" s="625"/>
      <c r="R90" s="2681"/>
      <c r="S90" s="626"/>
    </row>
    <row r="91" spans="1:19">
      <c r="A91" s="2651" t="s">
        <v>1663</v>
      </c>
      <c r="B91" s="2648" t="s">
        <v>1371</v>
      </c>
      <c r="C91" s="2647">
        <v>43300</v>
      </c>
      <c r="D91" s="2647">
        <v>43300</v>
      </c>
      <c r="E91" s="2652" t="s">
        <v>181</v>
      </c>
      <c r="F91" s="2643" t="s">
        <v>723</v>
      </c>
      <c r="G91" s="2649" t="s">
        <v>940</v>
      </c>
      <c r="H91" s="2645">
        <v>640</v>
      </c>
      <c r="I91" s="2650">
        <v>640</v>
      </c>
      <c r="J91" s="2643"/>
      <c r="K91" s="2653" t="s">
        <v>941</v>
      </c>
      <c r="L91" s="2646">
        <v>6</v>
      </c>
      <c r="M91" s="2646">
        <v>42</v>
      </c>
      <c r="N91" s="2644">
        <v>43322</v>
      </c>
      <c r="Q91" s="625"/>
      <c r="R91" s="2681"/>
      <c r="S91" s="626"/>
    </row>
    <row r="92" spans="1:19" s="358" customFormat="1">
      <c r="A92" s="2651" t="s">
        <v>1663</v>
      </c>
      <c r="B92" s="2648" t="s">
        <v>1371</v>
      </c>
      <c r="C92" s="2647">
        <v>43300</v>
      </c>
      <c r="D92" s="2647">
        <v>43300</v>
      </c>
      <c r="E92" s="2643" t="s">
        <v>160</v>
      </c>
      <c r="F92" s="2643" t="s">
        <v>723</v>
      </c>
      <c r="G92" s="2649" t="s">
        <v>942</v>
      </c>
      <c r="H92" s="2645">
        <v>44</v>
      </c>
      <c r="I92" s="2650">
        <v>44</v>
      </c>
      <c r="J92" s="2645"/>
      <c r="K92" s="2643" t="s">
        <v>941</v>
      </c>
      <c r="L92" s="2646">
        <v>2</v>
      </c>
      <c r="M92" s="2646">
        <v>8</v>
      </c>
      <c r="N92" s="2644">
        <v>43322</v>
      </c>
      <c r="Q92" s="625"/>
      <c r="R92" s="2681"/>
      <c r="S92" s="626"/>
    </row>
    <row r="93" spans="1:19" s="358" customFormat="1">
      <c r="A93" s="2651" t="s">
        <v>1664</v>
      </c>
      <c r="B93" s="2648">
        <v>18</v>
      </c>
      <c r="C93" s="2647">
        <v>43300</v>
      </c>
      <c r="D93" s="2647">
        <v>43300</v>
      </c>
      <c r="E93" s="2652" t="s">
        <v>181</v>
      </c>
      <c r="F93" s="2643" t="s">
        <v>723</v>
      </c>
      <c r="G93" s="2649" t="s">
        <v>940</v>
      </c>
      <c r="H93" s="2645">
        <v>516</v>
      </c>
      <c r="I93" s="2650">
        <v>516</v>
      </c>
      <c r="J93" s="2643"/>
      <c r="K93" s="2653" t="s">
        <v>941</v>
      </c>
      <c r="L93" s="2646">
        <v>6</v>
      </c>
      <c r="M93" s="2646">
        <v>42</v>
      </c>
      <c r="N93" s="2644">
        <v>43322</v>
      </c>
      <c r="Q93" s="625"/>
      <c r="R93" s="2681"/>
      <c r="S93" s="626"/>
    </row>
    <row r="94" spans="1:19">
      <c r="A94" s="2651" t="s">
        <v>1664</v>
      </c>
      <c r="B94" s="2648">
        <v>18</v>
      </c>
      <c r="C94" s="2647">
        <v>43300</v>
      </c>
      <c r="D94" s="2647">
        <v>43300</v>
      </c>
      <c r="E94" s="2643" t="s">
        <v>160</v>
      </c>
      <c r="F94" s="2643" t="s">
        <v>723</v>
      </c>
      <c r="G94" s="2649" t="s">
        <v>942</v>
      </c>
      <c r="H94" s="2645">
        <v>36</v>
      </c>
      <c r="I94" s="2650">
        <v>36</v>
      </c>
      <c r="J94" s="2645"/>
      <c r="K94" s="2643" t="s">
        <v>941</v>
      </c>
      <c r="L94" s="2646">
        <v>2</v>
      </c>
      <c r="M94" s="2646">
        <v>8</v>
      </c>
      <c r="N94" s="2644">
        <v>43322</v>
      </c>
      <c r="Q94" s="632"/>
      <c r="R94" s="2681"/>
      <c r="S94" s="633"/>
    </row>
    <row r="95" spans="1:19">
      <c r="A95" s="2651" t="s">
        <v>1665</v>
      </c>
      <c r="B95" s="2648">
        <v>19</v>
      </c>
      <c r="C95" s="2647">
        <v>43300</v>
      </c>
      <c r="D95" s="2647">
        <v>43300</v>
      </c>
      <c r="E95" s="2652" t="s">
        <v>181</v>
      </c>
      <c r="F95" s="2643" t="s">
        <v>723</v>
      </c>
      <c r="G95" s="2649" t="s">
        <v>940</v>
      </c>
      <c r="H95" s="2645">
        <v>314</v>
      </c>
      <c r="I95" s="2650">
        <v>314</v>
      </c>
      <c r="J95" s="2643"/>
      <c r="K95" s="2653" t="s">
        <v>941</v>
      </c>
      <c r="L95" s="2646">
        <v>6</v>
      </c>
      <c r="M95" s="2646">
        <v>42</v>
      </c>
      <c r="N95" s="2644">
        <v>43322</v>
      </c>
      <c r="Q95" s="632"/>
      <c r="R95" s="2681"/>
      <c r="S95" s="633"/>
    </row>
    <row r="96" spans="1:19">
      <c r="A96" s="2651" t="s">
        <v>1665</v>
      </c>
      <c r="B96" s="2648">
        <v>19</v>
      </c>
      <c r="C96" s="2647">
        <v>43300</v>
      </c>
      <c r="D96" s="2647">
        <v>43300</v>
      </c>
      <c r="E96" s="2643" t="s">
        <v>160</v>
      </c>
      <c r="F96" s="2643" t="s">
        <v>723</v>
      </c>
      <c r="G96" s="2649" t="s">
        <v>942</v>
      </c>
      <c r="H96" s="2645">
        <v>87</v>
      </c>
      <c r="I96" s="2650">
        <v>87</v>
      </c>
      <c r="J96" s="2645"/>
      <c r="K96" s="2643" t="s">
        <v>941</v>
      </c>
      <c r="L96" s="2646">
        <v>2</v>
      </c>
      <c r="M96" s="2646">
        <v>8</v>
      </c>
      <c r="N96" s="2644">
        <v>43322</v>
      </c>
      <c r="Q96" s="632"/>
      <c r="R96" s="2681"/>
      <c r="S96" s="633"/>
    </row>
    <row r="97" spans="1:19">
      <c r="A97" s="2651" t="s">
        <v>1666</v>
      </c>
      <c r="B97" s="2648" t="s">
        <v>950</v>
      </c>
      <c r="C97" s="2647">
        <v>43300</v>
      </c>
      <c r="D97" s="2647">
        <v>43300</v>
      </c>
      <c r="E97" s="2652" t="s">
        <v>181</v>
      </c>
      <c r="F97" s="2643" t="s">
        <v>723</v>
      </c>
      <c r="G97" s="2649" t="s">
        <v>940</v>
      </c>
      <c r="H97" s="2645">
        <v>708</v>
      </c>
      <c r="I97" s="2650">
        <v>708</v>
      </c>
      <c r="J97" s="2645"/>
      <c r="K97" s="2643" t="s">
        <v>941</v>
      </c>
      <c r="L97" s="2646">
        <v>6</v>
      </c>
      <c r="M97" s="2646">
        <v>42</v>
      </c>
      <c r="N97" s="2644">
        <v>43322</v>
      </c>
      <c r="Q97" s="632"/>
      <c r="R97" s="2681"/>
      <c r="S97" s="633"/>
    </row>
    <row r="98" spans="1:19">
      <c r="A98" s="2651" t="s">
        <v>1666</v>
      </c>
      <c r="B98" s="2648" t="s">
        <v>950</v>
      </c>
      <c r="C98" s="2647">
        <v>43300</v>
      </c>
      <c r="D98" s="2647">
        <v>43300</v>
      </c>
      <c r="E98" s="2643" t="s">
        <v>160</v>
      </c>
      <c r="F98" s="2643" t="s">
        <v>723</v>
      </c>
      <c r="G98" s="2649" t="s">
        <v>942</v>
      </c>
      <c r="H98" s="2645">
        <v>46</v>
      </c>
      <c r="I98" s="2650">
        <v>46</v>
      </c>
      <c r="J98" s="2645"/>
      <c r="K98" s="2643" t="s">
        <v>941</v>
      </c>
      <c r="L98" s="2646">
        <v>2</v>
      </c>
      <c r="M98" s="2646">
        <v>8</v>
      </c>
      <c r="N98" s="2644">
        <v>43322</v>
      </c>
      <c r="Q98" s="632"/>
      <c r="R98" s="2681"/>
      <c r="S98" s="633"/>
    </row>
    <row r="99" spans="1:19">
      <c r="A99" s="2651" t="s">
        <v>1667</v>
      </c>
      <c r="B99" s="2648" t="s">
        <v>1279</v>
      </c>
      <c r="C99" s="2647">
        <v>43300</v>
      </c>
      <c r="D99" s="2647">
        <v>43300</v>
      </c>
      <c r="E99" s="2652" t="s">
        <v>181</v>
      </c>
      <c r="F99" s="2643" t="s">
        <v>723</v>
      </c>
      <c r="G99" s="2649" t="s">
        <v>940</v>
      </c>
      <c r="H99" s="2645">
        <v>621</v>
      </c>
      <c r="I99" s="2650">
        <v>621</v>
      </c>
      <c r="J99" s="2645"/>
      <c r="K99" s="2643" t="s">
        <v>941</v>
      </c>
      <c r="L99" s="2646">
        <v>6</v>
      </c>
      <c r="M99" s="2646">
        <v>42</v>
      </c>
      <c r="N99" s="2644">
        <v>43322</v>
      </c>
      <c r="Q99" s="632"/>
      <c r="R99" s="2681"/>
      <c r="S99" s="633"/>
    </row>
    <row r="100" spans="1:19">
      <c r="A100" s="2651" t="s">
        <v>1667</v>
      </c>
      <c r="B100" s="2648" t="s">
        <v>1279</v>
      </c>
      <c r="C100" s="2647">
        <v>43300</v>
      </c>
      <c r="D100" s="2647">
        <v>43300</v>
      </c>
      <c r="E100" s="2643" t="s">
        <v>160</v>
      </c>
      <c r="F100" s="2643" t="s">
        <v>723</v>
      </c>
      <c r="G100" s="2649" t="s">
        <v>942</v>
      </c>
      <c r="H100" s="2645">
        <v>25</v>
      </c>
      <c r="I100" s="2650">
        <v>25</v>
      </c>
      <c r="J100" s="2645"/>
      <c r="K100" s="2643" t="s">
        <v>941</v>
      </c>
      <c r="L100" s="2646">
        <v>2</v>
      </c>
      <c r="M100" s="2646">
        <v>8</v>
      </c>
      <c r="N100" s="2644">
        <v>43322</v>
      </c>
      <c r="Q100" s="632"/>
      <c r="R100" s="2681"/>
      <c r="S100" s="633"/>
    </row>
    <row r="101" spans="1:19">
      <c r="A101" s="1696"/>
      <c r="B101" s="1693"/>
      <c r="C101" s="1692"/>
      <c r="D101" s="1692"/>
      <c r="E101" s="1688"/>
      <c r="F101" s="1688"/>
      <c r="G101" s="1694"/>
      <c r="H101" s="1690"/>
      <c r="I101" s="1695"/>
      <c r="J101" s="1688"/>
      <c r="K101" s="1688"/>
      <c r="L101" s="1691"/>
      <c r="M101" s="2646">
        <v>42</v>
      </c>
      <c r="N101" s="2644">
        <v>43322</v>
      </c>
      <c r="Q101" s="632"/>
      <c r="R101" s="2681"/>
      <c r="S101" s="633"/>
    </row>
    <row r="102" spans="1:19">
      <c r="A102" s="2662" t="s">
        <v>1668</v>
      </c>
      <c r="B102" s="2659">
        <v>64</v>
      </c>
      <c r="C102" s="2658">
        <v>43326</v>
      </c>
      <c r="D102" s="2658">
        <v>43326</v>
      </c>
      <c r="E102" s="2663" t="s">
        <v>181</v>
      </c>
      <c r="F102" s="2654" t="s">
        <v>723</v>
      </c>
      <c r="G102" s="2660" t="s">
        <v>940</v>
      </c>
      <c r="H102" s="2656">
        <v>249</v>
      </c>
      <c r="I102" s="2661">
        <v>249</v>
      </c>
      <c r="J102" s="2654"/>
      <c r="K102" s="2664" t="s">
        <v>941</v>
      </c>
      <c r="L102" s="2657">
        <v>6</v>
      </c>
      <c r="M102" s="2646">
        <v>8</v>
      </c>
      <c r="N102" s="2644">
        <v>43322</v>
      </c>
      <c r="Q102" s="632"/>
      <c r="R102" s="2681"/>
      <c r="S102" s="633"/>
    </row>
    <row r="103" spans="1:19">
      <c r="A103" s="2662" t="s">
        <v>1668</v>
      </c>
      <c r="B103" s="2659">
        <v>64</v>
      </c>
      <c r="C103" s="2658">
        <v>43326</v>
      </c>
      <c r="D103" s="2658">
        <v>43326</v>
      </c>
      <c r="E103" s="2654" t="s">
        <v>160</v>
      </c>
      <c r="F103" s="2654" t="s">
        <v>723</v>
      </c>
      <c r="G103" s="2660" t="s">
        <v>942</v>
      </c>
      <c r="H103" s="2656">
        <v>28</v>
      </c>
      <c r="I103" s="2661">
        <v>28</v>
      </c>
      <c r="J103" s="2656"/>
      <c r="K103" s="2654" t="s">
        <v>941</v>
      </c>
      <c r="L103" s="2657">
        <v>2</v>
      </c>
      <c r="M103" s="2646">
        <v>42</v>
      </c>
      <c r="N103" s="2644">
        <v>43322</v>
      </c>
      <c r="Q103" s="632"/>
      <c r="R103" s="2681"/>
      <c r="S103" s="633"/>
    </row>
    <row r="104" spans="1:19">
      <c r="A104" s="2662" t="s">
        <v>1669</v>
      </c>
      <c r="B104" s="2659">
        <v>25</v>
      </c>
      <c r="C104" s="2658">
        <v>43326</v>
      </c>
      <c r="D104" s="2658">
        <v>43326</v>
      </c>
      <c r="E104" s="2663" t="s">
        <v>181</v>
      </c>
      <c r="F104" s="2654" t="s">
        <v>723</v>
      </c>
      <c r="G104" s="2660" t="s">
        <v>940</v>
      </c>
      <c r="H104" s="2656">
        <v>87</v>
      </c>
      <c r="I104" s="2661">
        <v>87</v>
      </c>
      <c r="J104" s="2654"/>
      <c r="K104" s="2664" t="s">
        <v>941</v>
      </c>
      <c r="L104" s="2657">
        <v>6</v>
      </c>
      <c r="M104" s="2646">
        <v>8</v>
      </c>
      <c r="N104" s="2644">
        <v>43322</v>
      </c>
      <c r="Q104" s="632"/>
      <c r="R104" s="2681"/>
      <c r="S104" s="633"/>
    </row>
    <row r="105" spans="1:19" s="358" customFormat="1">
      <c r="A105" s="2662" t="s">
        <v>1669</v>
      </c>
      <c r="B105" s="2659">
        <v>25</v>
      </c>
      <c r="C105" s="2658">
        <v>43326</v>
      </c>
      <c r="D105" s="2658">
        <v>43326</v>
      </c>
      <c r="E105" s="2654" t="s">
        <v>160</v>
      </c>
      <c r="F105" s="2654" t="s">
        <v>723</v>
      </c>
      <c r="G105" s="2660" t="s">
        <v>942</v>
      </c>
      <c r="H105" s="2656">
        <v>7</v>
      </c>
      <c r="I105" s="2661">
        <v>7</v>
      </c>
      <c r="J105" s="2656" t="s">
        <v>953</v>
      </c>
      <c r="K105" s="2654" t="s">
        <v>941</v>
      </c>
      <c r="L105" s="2657">
        <v>2</v>
      </c>
      <c r="M105" s="1691"/>
      <c r="N105" s="1689"/>
      <c r="Q105" s="632"/>
      <c r="R105" s="2681"/>
      <c r="S105" s="633"/>
    </row>
    <row r="106" spans="1:19" s="358" customFormat="1">
      <c r="A106" s="2662" t="s">
        <v>1670</v>
      </c>
      <c r="B106" s="2659">
        <v>58</v>
      </c>
      <c r="C106" s="2658">
        <v>43326</v>
      </c>
      <c r="D106" s="2658">
        <v>43326</v>
      </c>
      <c r="E106" s="2663" t="s">
        <v>181</v>
      </c>
      <c r="F106" s="2654" t="s">
        <v>723</v>
      </c>
      <c r="G106" s="2660" t="s">
        <v>940</v>
      </c>
      <c r="H106" s="2656">
        <v>139</v>
      </c>
      <c r="I106" s="2661">
        <v>139</v>
      </c>
      <c r="J106" s="2654"/>
      <c r="K106" s="2664" t="s">
        <v>941</v>
      </c>
      <c r="L106" s="2657">
        <v>6</v>
      </c>
      <c r="M106" s="2657">
        <v>42</v>
      </c>
      <c r="N106" s="2655">
        <v>43343</v>
      </c>
      <c r="Q106" s="632"/>
      <c r="R106" s="2681"/>
      <c r="S106" s="633"/>
    </row>
    <row r="107" spans="1:19" s="358" customFormat="1">
      <c r="A107" s="2662" t="s">
        <v>1670</v>
      </c>
      <c r="B107" s="2659">
        <v>58</v>
      </c>
      <c r="C107" s="2658">
        <v>43326</v>
      </c>
      <c r="D107" s="2658">
        <v>43326</v>
      </c>
      <c r="E107" s="2654" t="s">
        <v>160</v>
      </c>
      <c r="F107" s="2654" t="s">
        <v>723</v>
      </c>
      <c r="G107" s="2660" t="s">
        <v>942</v>
      </c>
      <c r="H107" s="2656">
        <v>4</v>
      </c>
      <c r="I107" s="2661">
        <v>4</v>
      </c>
      <c r="J107" s="2656" t="s">
        <v>953</v>
      </c>
      <c r="K107" s="2654" t="s">
        <v>941</v>
      </c>
      <c r="L107" s="2657">
        <v>2</v>
      </c>
      <c r="M107" s="2657">
        <v>8</v>
      </c>
      <c r="N107" s="2655">
        <v>43343</v>
      </c>
      <c r="Q107" s="632"/>
      <c r="R107" s="2681"/>
      <c r="S107" s="633"/>
    </row>
    <row r="108" spans="1:19" s="358" customFormat="1">
      <c r="A108" s="2662" t="s">
        <v>1671</v>
      </c>
      <c r="B108" s="2659" t="s">
        <v>1367</v>
      </c>
      <c r="C108" s="2658">
        <v>43326</v>
      </c>
      <c r="D108" s="2658">
        <v>43326</v>
      </c>
      <c r="E108" s="2663" t="s">
        <v>181</v>
      </c>
      <c r="F108" s="2654" t="s">
        <v>723</v>
      </c>
      <c r="G108" s="2660" t="s">
        <v>940</v>
      </c>
      <c r="H108" s="2656">
        <v>111</v>
      </c>
      <c r="I108" s="2661">
        <v>111</v>
      </c>
      <c r="J108" s="2654"/>
      <c r="K108" s="2664" t="s">
        <v>941</v>
      </c>
      <c r="L108" s="2657">
        <v>6</v>
      </c>
      <c r="M108" s="2657">
        <v>42</v>
      </c>
      <c r="N108" s="2655">
        <v>43343</v>
      </c>
      <c r="Q108" s="632"/>
      <c r="R108" s="2681"/>
      <c r="S108" s="633"/>
    </row>
    <row r="109" spans="1:19">
      <c r="A109" s="2662" t="s">
        <v>1671</v>
      </c>
      <c r="B109" s="2659" t="s">
        <v>1367</v>
      </c>
      <c r="C109" s="2658">
        <v>43326</v>
      </c>
      <c r="D109" s="2658">
        <v>43326</v>
      </c>
      <c r="E109" s="2654" t="s">
        <v>160</v>
      </c>
      <c r="F109" s="2654" t="s">
        <v>723</v>
      </c>
      <c r="G109" s="2660" t="s">
        <v>942</v>
      </c>
      <c r="H109" s="2656">
        <v>8</v>
      </c>
      <c r="I109" s="2661">
        <v>8</v>
      </c>
      <c r="J109" s="2656" t="s">
        <v>953</v>
      </c>
      <c r="K109" s="2654" t="s">
        <v>941</v>
      </c>
      <c r="L109" s="2657">
        <v>2</v>
      </c>
      <c r="M109" s="2657">
        <v>8</v>
      </c>
      <c r="N109" s="2655">
        <v>43343</v>
      </c>
      <c r="Q109" s="632"/>
      <c r="R109" s="2681"/>
      <c r="S109" s="633"/>
    </row>
    <row r="110" spans="1:19">
      <c r="A110" s="2654" t="s">
        <v>1672</v>
      </c>
      <c r="B110" s="2659" t="s">
        <v>1368</v>
      </c>
      <c r="C110" s="2658">
        <v>43326</v>
      </c>
      <c r="D110" s="2658">
        <v>43326</v>
      </c>
      <c r="E110" s="2663" t="s">
        <v>181</v>
      </c>
      <c r="F110" s="2654" t="s">
        <v>723</v>
      </c>
      <c r="G110" s="2660" t="s">
        <v>940</v>
      </c>
      <c r="H110" s="2656">
        <v>131</v>
      </c>
      <c r="I110" s="2661">
        <v>131</v>
      </c>
      <c r="J110" s="2654"/>
      <c r="K110" s="2664" t="s">
        <v>941</v>
      </c>
      <c r="L110" s="2657">
        <v>6</v>
      </c>
      <c r="M110" s="2657">
        <v>42</v>
      </c>
      <c r="N110" s="2655">
        <v>43343</v>
      </c>
      <c r="Q110" s="632"/>
      <c r="R110" s="2681"/>
      <c r="S110" s="633"/>
    </row>
    <row r="111" spans="1:19">
      <c r="A111" s="2654" t="s">
        <v>1672</v>
      </c>
      <c r="B111" s="2659" t="s">
        <v>1368</v>
      </c>
      <c r="C111" s="2658">
        <v>43326</v>
      </c>
      <c r="D111" s="2658">
        <v>43326</v>
      </c>
      <c r="E111" s="2654" t="s">
        <v>160</v>
      </c>
      <c r="F111" s="2654" t="s">
        <v>723</v>
      </c>
      <c r="G111" s="2660" t="s">
        <v>942</v>
      </c>
      <c r="H111" s="2656">
        <v>13</v>
      </c>
      <c r="I111" s="2661">
        <v>13</v>
      </c>
      <c r="J111" s="2656"/>
      <c r="K111" s="2654" t="s">
        <v>941</v>
      </c>
      <c r="L111" s="2657">
        <v>2</v>
      </c>
      <c r="M111" s="2657">
        <v>8</v>
      </c>
      <c r="N111" s="2655">
        <v>43343</v>
      </c>
      <c r="Q111" s="632"/>
      <c r="R111" s="2681"/>
      <c r="S111" s="633"/>
    </row>
    <row r="112" spans="1:19">
      <c r="A112" s="2662" t="s">
        <v>1673</v>
      </c>
      <c r="B112" s="2659">
        <v>26</v>
      </c>
      <c r="C112" s="2658">
        <v>43326</v>
      </c>
      <c r="D112" s="2658">
        <v>43326</v>
      </c>
      <c r="E112" s="2663" t="s">
        <v>181</v>
      </c>
      <c r="F112" s="2654" t="s">
        <v>723</v>
      </c>
      <c r="G112" s="2660" t="s">
        <v>940</v>
      </c>
      <c r="H112" s="2656">
        <v>250</v>
      </c>
      <c r="I112" s="2661">
        <v>250</v>
      </c>
      <c r="J112" s="2654"/>
      <c r="K112" s="2664" t="s">
        <v>941</v>
      </c>
      <c r="L112" s="2657">
        <v>6</v>
      </c>
      <c r="M112" s="2657">
        <v>42</v>
      </c>
      <c r="N112" s="2655">
        <v>43343</v>
      </c>
      <c r="Q112" s="632"/>
      <c r="R112" s="2681"/>
      <c r="S112" s="633"/>
    </row>
    <row r="113" spans="1:19">
      <c r="A113" s="2662" t="s">
        <v>1673</v>
      </c>
      <c r="B113" s="2659">
        <v>26</v>
      </c>
      <c r="C113" s="2658">
        <v>43326</v>
      </c>
      <c r="D113" s="2658">
        <v>43326</v>
      </c>
      <c r="E113" s="2654" t="s">
        <v>160</v>
      </c>
      <c r="F113" s="2654" t="s">
        <v>723</v>
      </c>
      <c r="G113" s="2660" t="s">
        <v>942</v>
      </c>
      <c r="H113" s="2656">
        <v>71</v>
      </c>
      <c r="I113" s="2661">
        <v>71</v>
      </c>
      <c r="J113" s="2654"/>
      <c r="K113" s="2654" t="s">
        <v>941</v>
      </c>
      <c r="L113" s="2657">
        <v>2</v>
      </c>
      <c r="M113" s="2657">
        <v>8</v>
      </c>
      <c r="N113" s="2655">
        <v>43343</v>
      </c>
      <c r="Q113" s="632"/>
      <c r="R113" s="2681"/>
      <c r="S113" s="633"/>
    </row>
    <row r="114" spans="1:19">
      <c r="A114" s="2662" t="s">
        <v>1674</v>
      </c>
      <c r="B114" s="2659">
        <v>5</v>
      </c>
      <c r="C114" s="2658">
        <v>43326</v>
      </c>
      <c r="D114" s="2658">
        <v>43326</v>
      </c>
      <c r="E114" s="2663" t="s">
        <v>181</v>
      </c>
      <c r="F114" s="2654" t="s">
        <v>723</v>
      </c>
      <c r="G114" s="2660" t="s">
        <v>940</v>
      </c>
      <c r="H114" s="2656">
        <v>329</v>
      </c>
      <c r="I114" s="2661">
        <v>329</v>
      </c>
      <c r="J114" s="2654"/>
      <c r="K114" s="2664" t="s">
        <v>941</v>
      </c>
      <c r="L114" s="2657">
        <v>6</v>
      </c>
      <c r="M114" s="2657">
        <v>42</v>
      </c>
      <c r="N114" s="2655">
        <v>43343</v>
      </c>
      <c r="Q114" s="632"/>
      <c r="R114" s="2681"/>
      <c r="S114" s="633"/>
    </row>
    <row r="115" spans="1:19">
      <c r="A115" s="2662" t="s">
        <v>1674</v>
      </c>
      <c r="B115" s="2659">
        <v>5</v>
      </c>
      <c r="C115" s="2658">
        <v>43326</v>
      </c>
      <c r="D115" s="2658">
        <v>43326</v>
      </c>
      <c r="E115" s="2654" t="s">
        <v>160</v>
      </c>
      <c r="F115" s="2654" t="s">
        <v>723</v>
      </c>
      <c r="G115" s="2660" t="s">
        <v>942</v>
      </c>
      <c r="H115" s="2656">
        <v>46</v>
      </c>
      <c r="I115" s="2661">
        <v>46</v>
      </c>
      <c r="J115" s="2656"/>
      <c r="K115" s="2654" t="s">
        <v>941</v>
      </c>
      <c r="L115" s="2657">
        <v>2</v>
      </c>
      <c r="M115" s="2657">
        <v>8</v>
      </c>
      <c r="N115" s="2655">
        <v>43343</v>
      </c>
      <c r="Q115" s="632"/>
      <c r="R115" s="2681"/>
      <c r="S115" s="633"/>
    </row>
    <row r="116" spans="1:19">
      <c r="A116" s="2662" t="s">
        <v>1675</v>
      </c>
      <c r="B116" s="2659" t="s">
        <v>1369</v>
      </c>
      <c r="C116" s="2658">
        <v>43326</v>
      </c>
      <c r="D116" s="2658">
        <v>43326</v>
      </c>
      <c r="E116" s="2663" t="s">
        <v>181</v>
      </c>
      <c r="F116" s="2654" t="s">
        <v>723</v>
      </c>
      <c r="G116" s="2660" t="s">
        <v>940</v>
      </c>
      <c r="H116" s="2656">
        <v>912</v>
      </c>
      <c r="I116" s="2661">
        <v>912</v>
      </c>
      <c r="J116" s="2654"/>
      <c r="K116" s="2664" t="s">
        <v>941</v>
      </c>
      <c r="L116" s="2657">
        <v>6</v>
      </c>
      <c r="M116" s="2657">
        <v>42</v>
      </c>
      <c r="N116" s="2655">
        <v>43343</v>
      </c>
      <c r="Q116" s="632"/>
      <c r="R116" s="2681"/>
      <c r="S116" s="633"/>
    </row>
    <row r="117" spans="1:19">
      <c r="A117" s="2662" t="s">
        <v>1675</v>
      </c>
      <c r="B117" s="2659" t="s">
        <v>1369</v>
      </c>
      <c r="C117" s="2658">
        <v>43326</v>
      </c>
      <c r="D117" s="2658">
        <v>43326</v>
      </c>
      <c r="E117" s="2654" t="s">
        <v>160</v>
      </c>
      <c r="F117" s="2654" t="s">
        <v>723</v>
      </c>
      <c r="G117" s="2660" t="s">
        <v>942</v>
      </c>
      <c r="H117" s="2656">
        <v>62</v>
      </c>
      <c r="I117" s="2661">
        <v>62</v>
      </c>
      <c r="J117" s="2654"/>
      <c r="K117" s="2654" t="s">
        <v>941</v>
      </c>
      <c r="L117" s="2657">
        <v>2</v>
      </c>
      <c r="M117" s="2657">
        <v>8</v>
      </c>
      <c r="N117" s="2655">
        <v>43343</v>
      </c>
      <c r="Q117" s="632"/>
      <c r="R117" s="2681"/>
      <c r="S117" s="633"/>
    </row>
    <row r="118" spans="1:19">
      <c r="A118" s="2662" t="s">
        <v>1676</v>
      </c>
      <c r="B118" s="2659" t="s">
        <v>1370</v>
      </c>
      <c r="C118" s="2658">
        <v>43326</v>
      </c>
      <c r="D118" s="2658">
        <v>43326</v>
      </c>
      <c r="E118" s="2663" t="s">
        <v>181</v>
      </c>
      <c r="F118" s="2654" t="s">
        <v>723</v>
      </c>
      <c r="G118" s="2660" t="s">
        <v>940</v>
      </c>
      <c r="H118" s="2656">
        <v>731</v>
      </c>
      <c r="I118" s="2661">
        <v>731</v>
      </c>
      <c r="J118" s="2654"/>
      <c r="K118" s="2664" t="s">
        <v>941</v>
      </c>
      <c r="L118" s="2657">
        <v>6</v>
      </c>
      <c r="M118" s="2657">
        <v>42</v>
      </c>
      <c r="N118" s="2655">
        <v>43343</v>
      </c>
      <c r="Q118" s="632"/>
      <c r="R118" s="2681"/>
      <c r="S118" s="633"/>
    </row>
    <row r="119" spans="1:19">
      <c r="A119" s="2662" t="s">
        <v>1676</v>
      </c>
      <c r="B119" s="2659" t="s">
        <v>1370</v>
      </c>
      <c r="C119" s="2658">
        <v>43326</v>
      </c>
      <c r="D119" s="2658">
        <v>43326</v>
      </c>
      <c r="E119" s="2654" t="s">
        <v>160</v>
      </c>
      <c r="F119" s="2654" t="s">
        <v>723</v>
      </c>
      <c r="G119" s="2660" t="s">
        <v>942</v>
      </c>
      <c r="H119" s="2656">
        <v>97</v>
      </c>
      <c r="I119" s="2661">
        <v>97</v>
      </c>
      <c r="J119" s="2656"/>
      <c r="K119" s="2654" t="s">
        <v>941</v>
      </c>
      <c r="L119" s="2657">
        <v>2</v>
      </c>
      <c r="M119" s="2657">
        <v>8</v>
      </c>
      <c r="N119" s="2655">
        <v>43343</v>
      </c>
      <c r="Q119" s="632"/>
      <c r="R119" s="2681"/>
      <c r="S119" s="633"/>
    </row>
    <row r="120" spans="1:19">
      <c r="A120" s="2662" t="s">
        <v>1677</v>
      </c>
      <c r="B120" s="2659">
        <v>9</v>
      </c>
      <c r="C120" s="2658">
        <v>43326</v>
      </c>
      <c r="D120" s="2658">
        <v>43326</v>
      </c>
      <c r="E120" s="2663" t="s">
        <v>181</v>
      </c>
      <c r="F120" s="2654" t="s">
        <v>723</v>
      </c>
      <c r="G120" s="2660" t="s">
        <v>940</v>
      </c>
      <c r="H120" s="2656">
        <v>667</v>
      </c>
      <c r="I120" s="2661">
        <v>667</v>
      </c>
      <c r="J120" s="2654"/>
      <c r="K120" s="2664" t="s">
        <v>941</v>
      </c>
      <c r="L120" s="2657">
        <v>6</v>
      </c>
      <c r="M120" s="2657">
        <v>42</v>
      </c>
      <c r="N120" s="2655">
        <v>43343</v>
      </c>
      <c r="Q120" s="632"/>
      <c r="R120" s="2681"/>
      <c r="S120" s="633"/>
    </row>
    <row r="121" spans="1:19">
      <c r="A121" s="2662" t="s">
        <v>1677</v>
      </c>
      <c r="B121" s="2659">
        <v>9</v>
      </c>
      <c r="C121" s="2658">
        <v>43326</v>
      </c>
      <c r="D121" s="2658">
        <v>43326</v>
      </c>
      <c r="E121" s="2654" t="s">
        <v>160</v>
      </c>
      <c r="F121" s="2654" t="s">
        <v>723</v>
      </c>
      <c r="G121" s="2660" t="s">
        <v>942</v>
      </c>
      <c r="H121" s="2656">
        <v>31</v>
      </c>
      <c r="I121" s="2661">
        <v>31</v>
      </c>
      <c r="J121" s="2656"/>
      <c r="K121" s="2654" t="s">
        <v>941</v>
      </c>
      <c r="L121" s="2657">
        <v>2</v>
      </c>
      <c r="M121" s="2657">
        <v>8</v>
      </c>
      <c r="N121" s="2655">
        <v>43343</v>
      </c>
      <c r="Q121" s="632"/>
      <c r="R121" s="2681"/>
      <c r="S121" s="633"/>
    </row>
    <row r="122" spans="1:19">
      <c r="A122" s="2662" t="s">
        <v>1678</v>
      </c>
      <c r="B122" s="2659">
        <v>12</v>
      </c>
      <c r="C122" s="2658">
        <v>43326</v>
      </c>
      <c r="D122" s="2658">
        <v>43326</v>
      </c>
      <c r="E122" s="2663" t="s">
        <v>181</v>
      </c>
      <c r="F122" s="2654" t="s">
        <v>723</v>
      </c>
      <c r="G122" s="2660" t="s">
        <v>940</v>
      </c>
      <c r="H122" s="2656">
        <v>1182</v>
      </c>
      <c r="I122" s="2661">
        <v>1182</v>
      </c>
      <c r="J122" s="2654"/>
      <c r="K122" s="2664" t="s">
        <v>941</v>
      </c>
      <c r="L122" s="2657">
        <v>6</v>
      </c>
      <c r="M122" s="2657">
        <v>42</v>
      </c>
      <c r="N122" s="2655">
        <v>43343</v>
      </c>
      <c r="Q122" s="632"/>
      <c r="R122" s="2681"/>
      <c r="S122" s="633"/>
    </row>
    <row r="123" spans="1:19">
      <c r="A123" s="2662" t="s">
        <v>1678</v>
      </c>
      <c r="B123" s="2659">
        <v>12</v>
      </c>
      <c r="C123" s="2658">
        <v>43326</v>
      </c>
      <c r="D123" s="2658">
        <v>43326</v>
      </c>
      <c r="E123" s="2654" t="s">
        <v>160</v>
      </c>
      <c r="F123" s="2654" t="s">
        <v>723</v>
      </c>
      <c r="G123" s="2660" t="s">
        <v>942</v>
      </c>
      <c r="H123" s="2656">
        <v>43</v>
      </c>
      <c r="I123" s="2661">
        <v>43</v>
      </c>
      <c r="J123" s="2656"/>
      <c r="K123" s="2654" t="s">
        <v>941</v>
      </c>
      <c r="L123" s="2657">
        <v>2</v>
      </c>
      <c r="M123" s="2657">
        <v>8</v>
      </c>
      <c r="N123" s="2655">
        <v>43343</v>
      </c>
      <c r="Q123" s="632"/>
      <c r="R123" s="2681"/>
      <c r="S123" s="633"/>
    </row>
    <row r="124" spans="1:19">
      <c r="A124" s="2662" t="s">
        <v>1679</v>
      </c>
      <c r="B124" s="2659" t="s">
        <v>1371</v>
      </c>
      <c r="C124" s="2658">
        <v>43326</v>
      </c>
      <c r="D124" s="2658">
        <v>43326</v>
      </c>
      <c r="E124" s="2663" t="s">
        <v>181</v>
      </c>
      <c r="F124" s="2654" t="s">
        <v>723</v>
      </c>
      <c r="G124" s="2660" t="s">
        <v>940</v>
      </c>
      <c r="H124" s="2656">
        <v>559</v>
      </c>
      <c r="I124" s="2661">
        <v>559</v>
      </c>
      <c r="J124" s="2654"/>
      <c r="K124" s="2664" t="s">
        <v>941</v>
      </c>
      <c r="L124" s="2657">
        <v>6</v>
      </c>
      <c r="M124" s="2657">
        <v>42</v>
      </c>
      <c r="N124" s="2655">
        <v>43343</v>
      </c>
      <c r="Q124" s="632"/>
      <c r="R124" s="2681"/>
      <c r="S124" s="633"/>
    </row>
    <row r="125" spans="1:19">
      <c r="A125" s="2662" t="s">
        <v>1679</v>
      </c>
      <c r="B125" s="2659" t="s">
        <v>1371</v>
      </c>
      <c r="C125" s="2658">
        <v>43326</v>
      </c>
      <c r="D125" s="2658">
        <v>43326</v>
      </c>
      <c r="E125" s="2654" t="s">
        <v>160</v>
      </c>
      <c r="F125" s="2654" t="s">
        <v>723</v>
      </c>
      <c r="G125" s="2660" t="s">
        <v>942</v>
      </c>
      <c r="H125" s="2656">
        <v>26</v>
      </c>
      <c r="I125" s="2661">
        <v>26</v>
      </c>
      <c r="J125" s="2656"/>
      <c r="K125" s="2654" t="s">
        <v>941</v>
      </c>
      <c r="L125" s="2657">
        <v>2</v>
      </c>
      <c r="M125" s="2657">
        <v>8</v>
      </c>
      <c r="N125" s="2655">
        <v>43343</v>
      </c>
      <c r="Q125" s="632"/>
      <c r="R125" s="2681"/>
      <c r="S125" s="633"/>
    </row>
    <row r="126" spans="1:19">
      <c r="A126" s="2662" t="s">
        <v>1680</v>
      </c>
      <c r="B126" s="2659">
        <v>18</v>
      </c>
      <c r="C126" s="2658">
        <v>43326</v>
      </c>
      <c r="D126" s="2658">
        <v>43326</v>
      </c>
      <c r="E126" s="2663" t="s">
        <v>181</v>
      </c>
      <c r="F126" s="2654" t="s">
        <v>723</v>
      </c>
      <c r="G126" s="2660" t="s">
        <v>940</v>
      </c>
      <c r="H126" s="2656">
        <v>477</v>
      </c>
      <c r="I126" s="2661">
        <v>477</v>
      </c>
      <c r="J126" s="2654"/>
      <c r="K126" s="2664" t="s">
        <v>941</v>
      </c>
      <c r="L126" s="2657">
        <v>6</v>
      </c>
      <c r="M126" s="2657">
        <v>42</v>
      </c>
      <c r="N126" s="2655">
        <v>43343</v>
      </c>
      <c r="Q126" s="632"/>
      <c r="R126" s="2681"/>
      <c r="S126" s="633"/>
    </row>
    <row r="127" spans="1:19">
      <c r="A127" s="2662" t="s">
        <v>1680</v>
      </c>
      <c r="B127" s="2659">
        <v>18</v>
      </c>
      <c r="C127" s="2658">
        <v>43326</v>
      </c>
      <c r="D127" s="2658">
        <v>43326</v>
      </c>
      <c r="E127" s="2654" t="s">
        <v>160</v>
      </c>
      <c r="F127" s="2654" t="s">
        <v>723</v>
      </c>
      <c r="G127" s="2660" t="s">
        <v>942</v>
      </c>
      <c r="H127" s="2656">
        <v>57</v>
      </c>
      <c r="I127" s="2661">
        <v>57</v>
      </c>
      <c r="J127" s="2656"/>
      <c r="K127" s="2654" t="s">
        <v>941</v>
      </c>
      <c r="L127" s="2657">
        <v>2</v>
      </c>
      <c r="M127" s="2657">
        <v>8</v>
      </c>
      <c r="N127" s="2655">
        <v>43343</v>
      </c>
      <c r="Q127" s="632"/>
      <c r="R127" s="2681"/>
      <c r="S127" s="633"/>
    </row>
    <row r="128" spans="1:19">
      <c r="A128" s="2662" t="s">
        <v>1681</v>
      </c>
      <c r="B128" s="2659">
        <v>19</v>
      </c>
      <c r="C128" s="2658">
        <v>43326</v>
      </c>
      <c r="D128" s="2658">
        <v>43326</v>
      </c>
      <c r="E128" s="2663" t="s">
        <v>181</v>
      </c>
      <c r="F128" s="2654" t="s">
        <v>723</v>
      </c>
      <c r="G128" s="2660" t="s">
        <v>940</v>
      </c>
      <c r="H128" s="2656">
        <v>558</v>
      </c>
      <c r="I128" s="2661">
        <v>558</v>
      </c>
      <c r="J128" s="2654"/>
      <c r="K128" s="2664" t="s">
        <v>941</v>
      </c>
      <c r="L128" s="2657">
        <v>6</v>
      </c>
      <c r="M128" s="2657">
        <v>42</v>
      </c>
      <c r="N128" s="2655">
        <v>43343</v>
      </c>
      <c r="Q128" s="632"/>
      <c r="R128" s="2681"/>
      <c r="S128" s="633"/>
    </row>
    <row r="129" spans="1:19">
      <c r="A129" s="2662" t="s">
        <v>1681</v>
      </c>
      <c r="B129" s="2659">
        <v>19</v>
      </c>
      <c r="C129" s="2658">
        <v>43326</v>
      </c>
      <c r="D129" s="2658">
        <v>43326</v>
      </c>
      <c r="E129" s="2654" t="s">
        <v>160</v>
      </c>
      <c r="F129" s="2654" t="s">
        <v>723</v>
      </c>
      <c r="G129" s="2660" t="s">
        <v>942</v>
      </c>
      <c r="H129" s="2656">
        <v>262</v>
      </c>
      <c r="I129" s="2661">
        <v>262</v>
      </c>
      <c r="J129" s="2656"/>
      <c r="K129" s="2654" t="s">
        <v>941</v>
      </c>
      <c r="L129" s="2657">
        <v>2</v>
      </c>
      <c r="M129" s="2657">
        <v>8</v>
      </c>
      <c r="N129" s="2655">
        <v>43343</v>
      </c>
      <c r="Q129" s="632"/>
      <c r="R129" s="2681"/>
      <c r="S129" s="633"/>
    </row>
    <row r="130" spans="1:19">
      <c r="A130" s="2191" t="s">
        <v>1554</v>
      </c>
      <c r="B130" s="2196" t="s">
        <v>1279</v>
      </c>
      <c r="C130" s="2195">
        <v>43319</v>
      </c>
      <c r="D130" s="2195">
        <v>43319</v>
      </c>
      <c r="E130" s="2199" t="s">
        <v>181</v>
      </c>
      <c r="F130" s="2191" t="s">
        <v>723</v>
      </c>
      <c r="G130" s="2197" t="s">
        <v>940</v>
      </c>
      <c r="H130" s="2193">
        <v>542</v>
      </c>
      <c r="I130" s="2198">
        <v>542</v>
      </c>
      <c r="J130" s="2191"/>
      <c r="K130" s="2200" t="s">
        <v>941</v>
      </c>
      <c r="L130" s="2194">
        <v>6</v>
      </c>
      <c r="M130" s="2657">
        <v>42</v>
      </c>
      <c r="N130" s="2655">
        <v>43343</v>
      </c>
      <c r="Q130" s="632"/>
      <c r="R130" s="2681"/>
      <c r="S130" s="633"/>
    </row>
    <row r="131" spans="1:19">
      <c r="A131" s="2191" t="s">
        <v>1554</v>
      </c>
      <c r="B131" s="2196" t="s">
        <v>1279</v>
      </c>
      <c r="C131" s="2195">
        <v>43319</v>
      </c>
      <c r="D131" s="2195">
        <v>43319</v>
      </c>
      <c r="E131" s="2191" t="s">
        <v>160</v>
      </c>
      <c r="F131" s="2191" t="s">
        <v>723</v>
      </c>
      <c r="G131" s="2197" t="s">
        <v>942</v>
      </c>
      <c r="H131" s="2193">
        <v>6</v>
      </c>
      <c r="I131" s="2198">
        <v>6</v>
      </c>
      <c r="J131" s="2193" t="s">
        <v>953</v>
      </c>
      <c r="K131" s="2191" t="s">
        <v>941</v>
      </c>
      <c r="L131" s="2194">
        <v>2</v>
      </c>
      <c r="M131" s="2657">
        <v>8</v>
      </c>
      <c r="N131" s="2655">
        <v>43343</v>
      </c>
      <c r="Q131" s="632"/>
      <c r="R131" s="2681"/>
      <c r="S131" s="633"/>
    </row>
    <row r="132" spans="1:19">
      <c r="A132" s="1705"/>
      <c r="B132" s="1702"/>
      <c r="C132" s="1701"/>
      <c r="D132" s="1701"/>
      <c r="E132" s="1706"/>
      <c r="F132" s="1697"/>
      <c r="G132" s="1703"/>
      <c r="H132" s="1699"/>
      <c r="I132" s="1704"/>
      <c r="J132" s="1697"/>
      <c r="K132" s="1707"/>
      <c r="L132" s="1700"/>
      <c r="M132" s="2657">
        <v>42</v>
      </c>
      <c r="N132" s="2655">
        <v>43343</v>
      </c>
      <c r="Q132" s="632"/>
      <c r="R132" s="2681"/>
      <c r="S132" s="633"/>
    </row>
    <row r="133" spans="1:19">
      <c r="A133" s="2673" t="s">
        <v>1682</v>
      </c>
      <c r="B133" s="2670">
        <v>64</v>
      </c>
      <c r="C133" s="2669">
        <v>43371</v>
      </c>
      <c r="D133" s="2669">
        <v>43371</v>
      </c>
      <c r="E133" s="2674" t="s">
        <v>181</v>
      </c>
      <c r="F133" s="2665" t="s">
        <v>723</v>
      </c>
      <c r="G133" s="2671" t="s">
        <v>940</v>
      </c>
      <c r="H133" s="2667">
        <v>335</v>
      </c>
      <c r="I133" s="2672">
        <v>335</v>
      </c>
      <c r="J133" s="2665"/>
      <c r="K133" s="2675" t="s">
        <v>941</v>
      </c>
      <c r="L133" s="2668">
        <v>6</v>
      </c>
      <c r="M133" s="2657">
        <v>8</v>
      </c>
      <c r="N133" s="2655">
        <v>43343</v>
      </c>
      <c r="Q133" s="632"/>
      <c r="R133" s="2681"/>
      <c r="S133" s="633"/>
    </row>
    <row r="134" spans="1:19">
      <c r="A134" s="2673" t="s">
        <v>1682</v>
      </c>
      <c r="B134" s="2670">
        <v>64</v>
      </c>
      <c r="C134" s="2669">
        <v>43371</v>
      </c>
      <c r="D134" s="2669">
        <v>43371</v>
      </c>
      <c r="E134" s="2665" t="s">
        <v>160</v>
      </c>
      <c r="F134" s="2665" t="s">
        <v>723</v>
      </c>
      <c r="G134" s="2671" t="s">
        <v>942</v>
      </c>
      <c r="H134" s="2667">
        <v>25</v>
      </c>
      <c r="I134" s="2672">
        <v>25</v>
      </c>
      <c r="J134" s="2667"/>
      <c r="K134" s="2665" t="s">
        <v>941</v>
      </c>
      <c r="L134" s="2668">
        <v>2</v>
      </c>
      <c r="M134" s="2194">
        <v>42</v>
      </c>
      <c r="N134" s="2192">
        <v>43328</v>
      </c>
      <c r="Q134" s="632"/>
      <c r="R134" s="2681"/>
      <c r="S134" s="633"/>
    </row>
    <row r="135" spans="1:19">
      <c r="A135" s="2673" t="s">
        <v>1683</v>
      </c>
      <c r="B135" s="2670">
        <v>25</v>
      </c>
      <c r="C135" s="2669">
        <v>43371</v>
      </c>
      <c r="D135" s="2669">
        <v>43371</v>
      </c>
      <c r="E135" s="2674" t="s">
        <v>181</v>
      </c>
      <c r="F135" s="2665" t="s">
        <v>723</v>
      </c>
      <c r="G135" s="2671" t="s">
        <v>940</v>
      </c>
      <c r="H135" s="2667">
        <v>51</v>
      </c>
      <c r="I135" s="2672">
        <v>51</v>
      </c>
      <c r="J135" s="2665"/>
      <c r="K135" s="2675" t="s">
        <v>941</v>
      </c>
      <c r="L135" s="2668">
        <v>6</v>
      </c>
      <c r="M135" s="2194">
        <v>8</v>
      </c>
      <c r="N135" s="2192">
        <v>43328</v>
      </c>
      <c r="Q135" s="632"/>
      <c r="R135" s="2681"/>
      <c r="S135" s="633"/>
    </row>
    <row r="136" spans="1:19">
      <c r="A136" s="2673" t="s">
        <v>1683</v>
      </c>
      <c r="B136" s="2670">
        <v>25</v>
      </c>
      <c r="C136" s="2669">
        <v>43371</v>
      </c>
      <c r="D136" s="2669">
        <v>43371</v>
      </c>
      <c r="E136" s="2665" t="s">
        <v>160</v>
      </c>
      <c r="F136" s="2665" t="s">
        <v>723</v>
      </c>
      <c r="G136" s="2671" t="s">
        <v>942</v>
      </c>
      <c r="H136" s="2667">
        <v>8</v>
      </c>
      <c r="I136" s="2672">
        <v>8</v>
      </c>
      <c r="J136" s="2667" t="s">
        <v>953</v>
      </c>
      <c r="K136" s="2665" t="s">
        <v>941</v>
      </c>
      <c r="L136" s="2668">
        <v>2</v>
      </c>
      <c r="M136" s="1700"/>
      <c r="N136" s="1698"/>
      <c r="Q136" s="632"/>
      <c r="R136" s="2681"/>
      <c r="S136" s="633"/>
    </row>
    <row r="137" spans="1:19">
      <c r="A137" s="2673" t="s">
        <v>1684</v>
      </c>
      <c r="B137" s="2670">
        <v>58</v>
      </c>
      <c r="C137" s="2669">
        <v>43371</v>
      </c>
      <c r="D137" s="2669">
        <v>43371</v>
      </c>
      <c r="E137" s="2674" t="s">
        <v>181</v>
      </c>
      <c r="F137" s="2665" t="s">
        <v>723</v>
      </c>
      <c r="G137" s="2671" t="s">
        <v>940</v>
      </c>
      <c r="H137" s="2667">
        <v>150</v>
      </c>
      <c r="I137" s="2672">
        <v>150</v>
      </c>
      <c r="J137" s="2665"/>
      <c r="K137" s="2675" t="s">
        <v>941</v>
      </c>
      <c r="L137" s="2668">
        <v>6</v>
      </c>
      <c r="M137" s="2668">
        <v>42</v>
      </c>
      <c r="N137" s="2666">
        <v>43392</v>
      </c>
      <c r="Q137" s="632"/>
      <c r="R137" s="2681"/>
      <c r="S137" s="633"/>
    </row>
    <row r="138" spans="1:19">
      <c r="A138" s="2673" t="s">
        <v>1684</v>
      </c>
      <c r="B138" s="2670">
        <v>58</v>
      </c>
      <c r="C138" s="2669">
        <v>43371</v>
      </c>
      <c r="D138" s="2669">
        <v>43371</v>
      </c>
      <c r="E138" s="2665" t="s">
        <v>160</v>
      </c>
      <c r="F138" s="2665" t="s">
        <v>723</v>
      </c>
      <c r="G138" s="2671" t="s">
        <v>942</v>
      </c>
      <c r="H138" s="2667"/>
      <c r="I138" s="2672"/>
      <c r="J138" s="2667" t="s">
        <v>943</v>
      </c>
      <c r="K138" s="2665" t="s">
        <v>941</v>
      </c>
      <c r="L138" s="2668">
        <v>2</v>
      </c>
      <c r="M138" s="2668">
        <v>8</v>
      </c>
      <c r="N138" s="2666">
        <v>43392</v>
      </c>
      <c r="Q138" s="632"/>
      <c r="R138" s="2681"/>
      <c r="S138" s="633"/>
    </row>
    <row r="139" spans="1:19">
      <c r="A139" s="2673" t="s">
        <v>1685</v>
      </c>
      <c r="B139" s="2670" t="s">
        <v>1367</v>
      </c>
      <c r="C139" s="2669">
        <v>43371</v>
      </c>
      <c r="D139" s="2669">
        <v>43371</v>
      </c>
      <c r="E139" s="2674" t="s">
        <v>181</v>
      </c>
      <c r="F139" s="2665" t="s">
        <v>723</v>
      </c>
      <c r="G139" s="2671" t="s">
        <v>940</v>
      </c>
      <c r="H139" s="2667">
        <v>148</v>
      </c>
      <c r="I139" s="2672">
        <v>148</v>
      </c>
      <c r="J139" s="2665"/>
      <c r="K139" s="2675" t="s">
        <v>941</v>
      </c>
      <c r="L139" s="2668">
        <v>6</v>
      </c>
      <c r="M139" s="2668">
        <v>42</v>
      </c>
      <c r="N139" s="2666">
        <v>43392</v>
      </c>
      <c r="Q139" s="632"/>
      <c r="R139" s="2681"/>
      <c r="S139" s="633"/>
    </row>
    <row r="140" spans="1:19">
      <c r="A140" s="2673" t="s">
        <v>1685</v>
      </c>
      <c r="B140" s="2670" t="s">
        <v>1367</v>
      </c>
      <c r="C140" s="2669">
        <v>43371</v>
      </c>
      <c r="D140" s="2669">
        <v>43371</v>
      </c>
      <c r="E140" s="2665" t="s">
        <v>160</v>
      </c>
      <c r="F140" s="2665" t="s">
        <v>723</v>
      </c>
      <c r="G140" s="2671" t="s">
        <v>942</v>
      </c>
      <c r="H140" s="2667">
        <v>6</v>
      </c>
      <c r="I140" s="2672">
        <v>6</v>
      </c>
      <c r="J140" s="2667" t="s">
        <v>953</v>
      </c>
      <c r="K140" s="2665" t="s">
        <v>941</v>
      </c>
      <c r="L140" s="2668">
        <v>2</v>
      </c>
      <c r="M140" s="2668">
        <v>8</v>
      </c>
      <c r="N140" s="2666">
        <v>43392</v>
      </c>
      <c r="Q140" s="632"/>
      <c r="R140" s="2681"/>
      <c r="S140" s="633"/>
    </row>
    <row r="141" spans="1:19">
      <c r="A141" s="2665" t="s">
        <v>1686</v>
      </c>
      <c r="B141" s="2670" t="s">
        <v>1368</v>
      </c>
      <c r="C141" s="2669">
        <v>43371</v>
      </c>
      <c r="D141" s="2669">
        <v>43371</v>
      </c>
      <c r="E141" s="2674" t="s">
        <v>181</v>
      </c>
      <c r="F141" s="2665" t="s">
        <v>723</v>
      </c>
      <c r="G141" s="2671" t="s">
        <v>940</v>
      </c>
      <c r="H141" s="2667">
        <v>121</v>
      </c>
      <c r="I141" s="2672">
        <v>121</v>
      </c>
      <c r="J141" s="2665"/>
      <c r="K141" s="2675" t="s">
        <v>941</v>
      </c>
      <c r="L141" s="2668">
        <v>6</v>
      </c>
      <c r="M141" s="2668">
        <v>42</v>
      </c>
      <c r="N141" s="2666">
        <v>43392</v>
      </c>
      <c r="Q141" s="632"/>
      <c r="R141" s="2681"/>
      <c r="S141" s="633"/>
    </row>
    <row r="142" spans="1:19">
      <c r="A142" s="2665" t="s">
        <v>1686</v>
      </c>
      <c r="B142" s="2670" t="s">
        <v>1368</v>
      </c>
      <c r="C142" s="2669">
        <v>43371</v>
      </c>
      <c r="D142" s="2669">
        <v>43371</v>
      </c>
      <c r="E142" s="2665" t="s">
        <v>160</v>
      </c>
      <c r="F142" s="2665" t="s">
        <v>723</v>
      </c>
      <c r="G142" s="2671" t="s">
        <v>942</v>
      </c>
      <c r="H142" s="2667">
        <v>12</v>
      </c>
      <c r="I142" s="2672">
        <v>12</v>
      </c>
      <c r="J142" s="2667"/>
      <c r="K142" s="2665" t="s">
        <v>941</v>
      </c>
      <c r="L142" s="2668">
        <v>2</v>
      </c>
      <c r="M142" s="2668">
        <v>8</v>
      </c>
      <c r="N142" s="2666">
        <v>43392</v>
      </c>
      <c r="Q142" s="632"/>
      <c r="R142" s="2681"/>
      <c r="S142" s="633"/>
    </row>
    <row r="143" spans="1:19">
      <c r="A143" s="2673" t="s">
        <v>1687</v>
      </c>
      <c r="B143" s="2670">
        <v>26</v>
      </c>
      <c r="C143" s="2669">
        <v>43371</v>
      </c>
      <c r="D143" s="2669">
        <v>43371</v>
      </c>
      <c r="E143" s="2674" t="s">
        <v>181</v>
      </c>
      <c r="F143" s="2665" t="s">
        <v>723</v>
      </c>
      <c r="G143" s="2671" t="s">
        <v>940</v>
      </c>
      <c r="H143" s="2667">
        <v>235</v>
      </c>
      <c r="I143" s="2672">
        <v>235</v>
      </c>
      <c r="J143" s="2665"/>
      <c r="K143" s="2675" t="s">
        <v>941</v>
      </c>
      <c r="L143" s="2668">
        <v>6</v>
      </c>
      <c r="M143" s="2668">
        <v>42</v>
      </c>
      <c r="N143" s="2666">
        <v>43392</v>
      </c>
      <c r="Q143" s="632"/>
      <c r="R143" s="2681"/>
      <c r="S143" s="633"/>
    </row>
    <row r="144" spans="1:19">
      <c r="A144" s="2673" t="s">
        <v>1687</v>
      </c>
      <c r="B144" s="2670">
        <v>26</v>
      </c>
      <c r="C144" s="2669">
        <v>43371</v>
      </c>
      <c r="D144" s="2669">
        <v>43371</v>
      </c>
      <c r="E144" s="2665" t="s">
        <v>160</v>
      </c>
      <c r="F144" s="2665" t="s">
        <v>723</v>
      </c>
      <c r="G144" s="2671" t="s">
        <v>942</v>
      </c>
      <c r="H144" s="2667">
        <v>17</v>
      </c>
      <c r="I144" s="2672">
        <v>17</v>
      </c>
      <c r="J144" s="2665"/>
      <c r="K144" s="2665" t="s">
        <v>941</v>
      </c>
      <c r="L144" s="2668">
        <v>2</v>
      </c>
      <c r="M144" s="2668">
        <v>8</v>
      </c>
      <c r="N144" s="2666">
        <v>43392</v>
      </c>
      <c r="Q144" s="632"/>
      <c r="R144" s="2681"/>
      <c r="S144" s="633"/>
    </row>
    <row r="145" spans="1:19">
      <c r="A145" s="2673" t="s">
        <v>1688</v>
      </c>
      <c r="B145" s="2670">
        <v>5</v>
      </c>
      <c r="C145" s="2669">
        <v>43371</v>
      </c>
      <c r="D145" s="2669">
        <v>43371</v>
      </c>
      <c r="E145" s="2674" t="s">
        <v>181</v>
      </c>
      <c r="F145" s="2665" t="s">
        <v>723</v>
      </c>
      <c r="G145" s="2671" t="s">
        <v>940</v>
      </c>
      <c r="H145" s="2667">
        <v>274</v>
      </c>
      <c r="I145" s="2672">
        <v>274</v>
      </c>
      <c r="J145" s="2665"/>
      <c r="K145" s="2675" t="s">
        <v>941</v>
      </c>
      <c r="L145" s="2668">
        <v>6</v>
      </c>
      <c r="M145" s="2668">
        <v>42</v>
      </c>
      <c r="N145" s="2666">
        <v>43392</v>
      </c>
      <c r="Q145" s="632"/>
      <c r="R145" s="2681"/>
      <c r="S145" s="633"/>
    </row>
    <row r="146" spans="1:19">
      <c r="A146" s="2673" t="s">
        <v>1688</v>
      </c>
      <c r="B146" s="2670">
        <v>5</v>
      </c>
      <c r="C146" s="2669">
        <v>43371</v>
      </c>
      <c r="D146" s="2669">
        <v>43371</v>
      </c>
      <c r="E146" s="2665" t="s">
        <v>160</v>
      </c>
      <c r="F146" s="2665" t="s">
        <v>723</v>
      </c>
      <c r="G146" s="2671" t="s">
        <v>942</v>
      </c>
      <c r="H146" s="2667">
        <v>33</v>
      </c>
      <c r="I146" s="2672">
        <v>33</v>
      </c>
      <c r="J146" s="2667"/>
      <c r="K146" s="2665" t="s">
        <v>941</v>
      </c>
      <c r="L146" s="2668">
        <v>2</v>
      </c>
      <c r="M146" s="2668">
        <v>8</v>
      </c>
      <c r="N146" s="2666">
        <v>43392</v>
      </c>
      <c r="Q146" s="632"/>
      <c r="R146" s="2681"/>
      <c r="S146" s="633"/>
    </row>
    <row r="147" spans="1:19">
      <c r="A147" s="2673" t="s">
        <v>1689</v>
      </c>
      <c r="B147" s="2670" t="s">
        <v>1369</v>
      </c>
      <c r="C147" s="2669">
        <v>43371</v>
      </c>
      <c r="D147" s="2669">
        <v>43371</v>
      </c>
      <c r="E147" s="2674" t="s">
        <v>181</v>
      </c>
      <c r="F147" s="2665" t="s">
        <v>723</v>
      </c>
      <c r="G147" s="2671" t="s">
        <v>940</v>
      </c>
      <c r="H147" s="2667">
        <v>851</v>
      </c>
      <c r="I147" s="2672">
        <v>851</v>
      </c>
      <c r="J147" s="2665"/>
      <c r="K147" s="2675" t="s">
        <v>941</v>
      </c>
      <c r="L147" s="2668">
        <v>6</v>
      </c>
      <c r="M147" s="2668">
        <v>42</v>
      </c>
      <c r="N147" s="2666">
        <v>43392</v>
      </c>
      <c r="Q147" s="632"/>
      <c r="R147" s="2681"/>
      <c r="S147" s="633"/>
    </row>
    <row r="148" spans="1:19">
      <c r="A148" s="2673" t="s">
        <v>1689</v>
      </c>
      <c r="B148" s="2670" t="s">
        <v>1369</v>
      </c>
      <c r="C148" s="2669">
        <v>43371</v>
      </c>
      <c r="D148" s="2669">
        <v>43371</v>
      </c>
      <c r="E148" s="2665" t="s">
        <v>160</v>
      </c>
      <c r="F148" s="2665" t="s">
        <v>723</v>
      </c>
      <c r="G148" s="2671" t="s">
        <v>942</v>
      </c>
      <c r="H148" s="2667">
        <v>151</v>
      </c>
      <c r="I148" s="2672">
        <v>151</v>
      </c>
      <c r="J148" s="2665"/>
      <c r="K148" s="2665" t="s">
        <v>941</v>
      </c>
      <c r="L148" s="2668">
        <v>2</v>
      </c>
      <c r="M148" s="2668">
        <v>8</v>
      </c>
      <c r="N148" s="2666">
        <v>43392</v>
      </c>
      <c r="Q148" s="632"/>
      <c r="R148" s="2681"/>
      <c r="S148" s="633"/>
    </row>
    <row r="149" spans="1:19">
      <c r="A149" s="2673" t="s">
        <v>1690</v>
      </c>
      <c r="B149" s="2670" t="s">
        <v>1370</v>
      </c>
      <c r="C149" s="2669">
        <v>43371</v>
      </c>
      <c r="D149" s="2669">
        <v>43371</v>
      </c>
      <c r="E149" s="2674" t="s">
        <v>181</v>
      </c>
      <c r="F149" s="2665" t="s">
        <v>723</v>
      </c>
      <c r="G149" s="2671" t="s">
        <v>940</v>
      </c>
      <c r="H149" s="2667">
        <v>849</v>
      </c>
      <c r="I149" s="2672">
        <v>849</v>
      </c>
      <c r="J149" s="2665"/>
      <c r="K149" s="2675" t="s">
        <v>941</v>
      </c>
      <c r="L149" s="2668">
        <v>6</v>
      </c>
      <c r="M149" s="2668">
        <v>42</v>
      </c>
      <c r="N149" s="2666">
        <v>43392</v>
      </c>
      <c r="Q149" s="632"/>
      <c r="R149" s="2681"/>
      <c r="S149" s="633"/>
    </row>
    <row r="150" spans="1:19">
      <c r="A150" s="2673" t="s">
        <v>1690</v>
      </c>
      <c r="B150" s="2670" t="s">
        <v>1370</v>
      </c>
      <c r="C150" s="2669">
        <v>43371</v>
      </c>
      <c r="D150" s="2669">
        <v>43371</v>
      </c>
      <c r="E150" s="2665" t="s">
        <v>160</v>
      </c>
      <c r="F150" s="2665" t="s">
        <v>723</v>
      </c>
      <c r="G150" s="2671" t="s">
        <v>942</v>
      </c>
      <c r="H150" s="2667">
        <v>136</v>
      </c>
      <c r="I150" s="2672">
        <v>136</v>
      </c>
      <c r="J150" s="2667"/>
      <c r="K150" s="2665" t="s">
        <v>941</v>
      </c>
      <c r="L150" s="2668">
        <v>2</v>
      </c>
      <c r="M150" s="2668">
        <v>8</v>
      </c>
      <c r="N150" s="2666">
        <v>43392</v>
      </c>
      <c r="Q150" s="632"/>
      <c r="R150" s="2681"/>
      <c r="S150" s="633"/>
    </row>
    <row r="151" spans="1:19">
      <c r="A151" s="2673" t="s">
        <v>1691</v>
      </c>
      <c r="B151" s="2670">
        <v>9</v>
      </c>
      <c r="C151" s="2669">
        <v>43371</v>
      </c>
      <c r="D151" s="2669">
        <v>43371</v>
      </c>
      <c r="E151" s="2674" t="s">
        <v>181</v>
      </c>
      <c r="F151" s="2665" t="s">
        <v>723</v>
      </c>
      <c r="G151" s="2671" t="s">
        <v>940</v>
      </c>
      <c r="H151" s="2667">
        <v>382</v>
      </c>
      <c r="I151" s="2672">
        <v>382</v>
      </c>
      <c r="J151" s="2665"/>
      <c r="K151" s="2675" t="s">
        <v>941</v>
      </c>
      <c r="L151" s="2668">
        <v>6</v>
      </c>
      <c r="M151" s="2668">
        <v>42</v>
      </c>
      <c r="N151" s="2666">
        <v>43392</v>
      </c>
      <c r="Q151" s="632"/>
      <c r="R151" s="2681"/>
      <c r="S151" s="633"/>
    </row>
    <row r="152" spans="1:19">
      <c r="A152" s="2673" t="s">
        <v>1691</v>
      </c>
      <c r="B152" s="2670">
        <v>9</v>
      </c>
      <c r="C152" s="2669">
        <v>43371</v>
      </c>
      <c r="D152" s="2669">
        <v>43371</v>
      </c>
      <c r="E152" s="2665" t="s">
        <v>160</v>
      </c>
      <c r="F152" s="2665" t="s">
        <v>723</v>
      </c>
      <c r="G152" s="2671" t="s">
        <v>942</v>
      </c>
      <c r="H152" s="2667">
        <v>39</v>
      </c>
      <c r="I152" s="2672">
        <v>39</v>
      </c>
      <c r="J152" s="2667"/>
      <c r="K152" s="2665" t="s">
        <v>941</v>
      </c>
      <c r="L152" s="2668">
        <v>2</v>
      </c>
      <c r="M152" s="2668">
        <v>8</v>
      </c>
      <c r="N152" s="2666">
        <v>43392</v>
      </c>
      <c r="Q152" s="632"/>
      <c r="R152" s="2681"/>
      <c r="S152" s="633"/>
    </row>
    <row r="153" spans="1:19">
      <c r="A153" s="2673" t="s">
        <v>1692</v>
      </c>
      <c r="B153" s="2670">
        <v>12</v>
      </c>
      <c r="C153" s="2669">
        <v>43371</v>
      </c>
      <c r="D153" s="2669">
        <v>43371</v>
      </c>
      <c r="E153" s="2674" t="s">
        <v>181</v>
      </c>
      <c r="F153" s="2665" t="s">
        <v>723</v>
      </c>
      <c r="G153" s="2671" t="s">
        <v>940</v>
      </c>
      <c r="H153" s="2667">
        <v>1272</v>
      </c>
      <c r="I153" s="2672">
        <v>1272</v>
      </c>
      <c r="J153" s="2665"/>
      <c r="K153" s="2675" t="s">
        <v>941</v>
      </c>
      <c r="L153" s="2668">
        <v>6</v>
      </c>
      <c r="M153" s="2668">
        <v>42</v>
      </c>
      <c r="N153" s="2666">
        <v>43392</v>
      </c>
      <c r="Q153" s="632"/>
      <c r="R153" s="2681"/>
      <c r="S153" s="633"/>
    </row>
    <row r="154" spans="1:19">
      <c r="A154" s="2673" t="s">
        <v>1692</v>
      </c>
      <c r="B154" s="2670">
        <v>12</v>
      </c>
      <c r="C154" s="2669">
        <v>43371</v>
      </c>
      <c r="D154" s="2669">
        <v>43371</v>
      </c>
      <c r="E154" s="2665" t="s">
        <v>160</v>
      </c>
      <c r="F154" s="2665" t="s">
        <v>723</v>
      </c>
      <c r="G154" s="2671" t="s">
        <v>942</v>
      </c>
      <c r="H154" s="2667">
        <v>40</v>
      </c>
      <c r="I154" s="2672">
        <v>40</v>
      </c>
      <c r="J154" s="2667"/>
      <c r="K154" s="2665" t="s">
        <v>941</v>
      </c>
      <c r="L154" s="2668">
        <v>2</v>
      </c>
      <c r="M154" s="2668">
        <v>8</v>
      </c>
      <c r="N154" s="2666">
        <v>43392</v>
      </c>
      <c r="Q154" s="632"/>
      <c r="R154" s="2681"/>
      <c r="S154" s="633"/>
    </row>
    <row r="155" spans="1:19">
      <c r="A155" s="2673" t="s">
        <v>1693</v>
      </c>
      <c r="B155" s="2670" t="s">
        <v>1371</v>
      </c>
      <c r="C155" s="2669">
        <v>43371</v>
      </c>
      <c r="D155" s="2669">
        <v>43371</v>
      </c>
      <c r="E155" s="2674" t="s">
        <v>181</v>
      </c>
      <c r="F155" s="2665" t="s">
        <v>723</v>
      </c>
      <c r="G155" s="2671" t="s">
        <v>940</v>
      </c>
      <c r="H155" s="2667">
        <v>725</v>
      </c>
      <c r="I155" s="2672">
        <v>725</v>
      </c>
      <c r="J155" s="2665"/>
      <c r="K155" s="2675" t="s">
        <v>941</v>
      </c>
      <c r="L155" s="2668">
        <v>6</v>
      </c>
      <c r="M155" s="2668">
        <v>42</v>
      </c>
      <c r="N155" s="2666">
        <v>43392</v>
      </c>
      <c r="Q155" s="632"/>
      <c r="R155" s="2681"/>
      <c r="S155" s="633"/>
    </row>
    <row r="156" spans="1:19">
      <c r="A156" s="2673" t="s">
        <v>1693</v>
      </c>
      <c r="B156" s="2670" t="s">
        <v>1371</v>
      </c>
      <c r="C156" s="2669">
        <v>43371</v>
      </c>
      <c r="D156" s="2669">
        <v>43371</v>
      </c>
      <c r="E156" s="2665" t="s">
        <v>160</v>
      </c>
      <c r="F156" s="2665" t="s">
        <v>723</v>
      </c>
      <c r="G156" s="2671" t="s">
        <v>942</v>
      </c>
      <c r="H156" s="2667">
        <v>56</v>
      </c>
      <c r="I156" s="2672">
        <v>56</v>
      </c>
      <c r="J156" s="2667"/>
      <c r="K156" s="2665" t="s">
        <v>941</v>
      </c>
      <c r="L156" s="2668">
        <v>2</v>
      </c>
      <c r="M156" s="2668">
        <v>8</v>
      </c>
      <c r="N156" s="2666">
        <v>43392</v>
      </c>
      <c r="Q156" s="632"/>
      <c r="R156" s="2681"/>
      <c r="S156" s="633"/>
    </row>
    <row r="157" spans="1:19" s="358" customFormat="1">
      <c r="A157" s="2673" t="s">
        <v>1694</v>
      </c>
      <c r="B157" s="2670">
        <v>18</v>
      </c>
      <c r="C157" s="2669">
        <v>43371</v>
      </c>
      <c r="D157" s="2669">
        <v>43371</v>
      </c>
      <c r="E157" s="2674" t="s">
        <v>181</v>
      </c>
      <c r="F157" s="2665" t="s">
        <v>723</v>
      </c>
      <c r="G157" s="2671" t="s">
        <v>940</v>
      </c>
      <c r="H157" s="2667">
        <v>388</v>
      </c>
      <c r="I157" s="2672">
        <v>388</v>
      </c>
      <c r="J157" s="2665"/>
      <c r="K157" s="2675" t="s">
        <v>941</v>
      </c>
      <c r="L157" s="2668">
        <v>6</v>
      </c>
      <c r="M157" s="2668">
        <v>42</v>
      </c>
      <c r="N157" s="2666">
        <v>43392</v>
      </c>
      <c r="Q157" s="632"/>
      <c r="R157" s="2681"/>
      <c r="S157" s="633"/>
    </row>
    <row r="158" spans="1:19" s="358" customFormat="1">
      <c r="A158" s="2673" t="s">
        <v>1694</v>
      </c>
      <c r="B158" s="2670">
        <v>18</v>
      </c>
      <c r="C158" s="2669">
        <v>43371</v>
      </c>
      <c r="D158" s="2669">
        <v>43371</v>
      </c>
      <c r="E158" s="2665" t="s">
        <v>160</v>
      </c>
      <c r="F158" s="2665" t="s">
        <v>723</v>
      </c>
      <c r="G158" s="2671" t="s">
        <v>942</v>
      </c>
      <c r="H158" s="2667">
        <v>53</v>
      </c>
      <c r="I158" s="2672">
        <v>53</v>
      </c>
      <c r="J158" s="2667"/>
      <c r="K158" s="2665" t="s">
        <v>941</v>
      </c>
      <c r="L158" s="2668">
        <v>2</v>
      </c>
      <c r="M158" s="2668">
        <v>8</v>
      </c>
      <c r="N158" s="2666">
        <v>43392</v>
      </c>
      <c r="Q158" s="632"/>
      <c r="R158" s="2681"/>
      <c r="S158" s="633"/>
    </row>
    <row r="159" spans="1:19" s="358" customFormat="1">
      <c r="A159" s="2673" t="s">
        <v>1695</v>
      </c>
      <c r="B159" s="2670">
        <v>19</v>
      </c>
      <c r="C159" s="2669">
        <v>43371</v>
      </c>
      <c r="D159" s="2669">
        <v>43371</v>
      </c>
      <c r="E159" s="2674" t="s">
        <v>181</v>
      </c>
      <c r="F159" s="2665" t="s">
        <v>723</v>
      </c>
      <c r="G159" s="2671" t="s">
        <v>940</v>
      </c>
      <c r="H159" s="2667">
        <v>139</v>
      </c>
      <c r="I159" s="2672">
        <v>139</v>
      </c>
      <c r="J159" s="2665"/>
      <c r="K159" s="2675" t="s">
        <v>941</v>
      </c>
      <c r="L159" s="2668">
        <v>6</v>
      </c>
      <c r="M159" s="2668">
        <v>42</v>
      </c>
      <c r="N159" s="2666">
        <v>43392</v>
      </c>
      <c r="Q159" s="632"/>
      <c r="R159" s="2681"/>
      <c r="S159" s="633"/>
    </row>
    <row r="160" spans="1:19" s="358" customFormat="1">
      <c r="A160" s="2673" t="s">
        <v>1695</v>
      </c>
      <c r="B160" s="2670">
        <v>19</v>
      </c>
      <c r="C160" s="2669">
        <v>43371</v>
      </c>
      <c r="D160" s="2669">
        <v>43371</v>
      </c>
      <c r="E160" s="2665" t="s">
        <v>160</v>
      </c>
      <c r="F160" s="2665" t="s">
        <v>723</v>
      </c>
      <c r="G160" s="2671" t="s">
        <v>942</v>
      </c>
      <c r="H160" s="2667">
        <v>25</v>
      </c>
      <c r="I160" s="2672">
        <v>25</v>
      </c>
      <c r="J160" s="2667"/>
      <c r="K160" s="2665" t="s">
        <v>941</v>
      </c>
      <c r="L160" s="2668">
        <v>2</v>
      </c>
      <c r="M160" s="2668">
        <v>8</v>
      </c>
      <c r="N160" s="2666">
        <v>43392</v>
      </c>
      <c r="Q160" s="632"/>
      <c r="R160" s="2681"/>
      <c r="S160" s="633"/>
    </row>
    <row r="161" spans="1:19">
      <c r="A161" s="2273" t="s">
        <v>1563</v>
      </c>
      <c r="B161" s="2277" t="s">
        <v>1279</v>
      </c>
      <c r="C161" s="2276">
        <v>43353</v>
      </c>
      <c r="D161" s="2276">
        <v>43353</v>
      </c>
      <c r="E161" s="2280" t="s">
        <v>181</v>
      </c>
      <c r="F161" s="2273" t="s">
        <v>723</v>
      </c>
      <c r="G161" s="2278" t="s">
        <v>940</v>
      </c>
      <c r="H161" s="2274">
        <v>528</v>
      </c>
      <c r="I161" s="2279">
        <v>528</v>
      </c>
      <c r="J161" s="2273"/>
      <c r="K161" s="2281" t="s">
        <v>941</v>
      </c>
      <c r="L161" s="2275">
        <v>6</v>
      </c>
      <c r="M161" s="2668">
        <v>42</v>
      </c>
      <c r="N161" s="2666">
        <v>43392</v>
      </c>
      <c r="Q161" s="632"/>
      <c r="R161" s="2681"/>
      <c r="S161" s="633"/>
    </row>
    <row r="162" spans="1:19">
      <c r="A162" s="2273" t="s">
        <v>1563</v>
      </c>
      <c r="B162" s="2277" t="s">
        <v>1279</v>
      </c>
      <c r="C162" s="2276">
        <v>43353</v>
      </c>
      <c r="D162" s="2276">
        <v>43353</v>
      </c>
      <c r="E162" s="2273" t="s">
        <v>160</v>
      </c>
      <c r="F162" s="2273" t="s">
        <v>723</v>
      </c>
      <c r="G162" s="2278" t="s">
        <v>942</v>
      </c>
      <c r="H162" s="2274">
        <v>5</v>
      </c>
      <c r="I162" s="2279">
        <v>5</v>
      </c>
      <c r="J162" s="2274" t="s">
        <v>953</v>
      </c>
      <c r="K162" s="2273" t="s">
        <v>941</v>
      </c>
      <c r="L162" s="2275">
        <v>2</v>
      </c>
      <c r="M162" s="2668">
        <v>8</v>
      </c>
      <c r="N162" s="2666">
        <v>43392</v>
      </c>
      <c r="Q162" s="632"/>
      <c r="R162" s="2681"/>
      <c r="S162" s="633"/>
    </row>
    <row r="163" spans="1:19" s="358" customFormat="1">
      <c r="A163" s="2282" t="s">
        <v>1564</v>
      </c>
      <c r="B163" s="2286" t="s">
        <v>950</v>
      </c>
      <c r="C163" s="2285">
        <v>43353</v>
      </c>
      <c r="D163" s="2285">
        <v>43353</v>
      </c>
      <c r="E163" s="2289" t="s">
        <v>181</v>
      </c>
      <c r="F163" s="2282" t="s">
        <v>723</v>
      </c>
      <c r="G163" s="2287" t="s">
        <v>940</v>
      </c>
      <c r="H163" s="2283">
        <v>728</v>
      </c>
      <c r="I163" s="2288">
        <v>728</v>
      </c>
      <c r="J163" s="2282"/>
      <c r="K163" s="2290" t="s">
        <v>941</v>
      </c>
      <c r="L163" s="2284">
        <v>6</v>
      </c>
      <c r="M163" s="2668">
        <v>42</v>
      </c>
      <c r="N163" s="2666">
        <v>43392</v>
      </c>
      <c r="Q163" s="632"/>
      <c r="R163" s="2681"/>
      <c r="S163" s="633"/>
    </row>
    <row r="164" spans="1:19">
      <c r="A164" s="2282" t="s">
        <v>1564</v>
      </c>
      <c r="B164" s="2286" t="s">
        <v>950</v>
      </c>
      <c r="C164" s="2285">
        <v>43353</v>
      </c>
      <c r="D164" s="2285">
        <v>43353</v>
      </c>
      <c r="E164" s="2282" t="s">
        <v>160</v>
      </c>
      <c r="F164" s="2282" t="s">
        <v>723</v>
      </c>
      <c r="G164" s="2287" t="s">
        <v>942</v>
      </c>
      <c r="H164" s="2283">
        <v>84</v>
      </c>
      <c r="I164" s="2288">
        <v>84</v>
      </c>
      <c r="J164" s="2283"/>
      <c r="K164" s="2282" t="s">
        <v>941</v>
      </c>
      <c r="L164" s="2284">
        <v>2</v>
      </c>
      <c r="M164" s="2668">
        <v>8</v>
      </c>
      <c r="N164" s="2666">
        <v>43392</v>
      </c>
      <c r="Q164" s="632"/>
      <c r="R164" s="2681"/>
      <c r="S164" s="633"/>
    </row>
    <row r="165" spans="1:19">
      <c r="A165" s="1716"/>
      <c r="B165" s="1713"/>
      <c r="C165" s="1712"/>
      <c r="D165" s="1712"/>
      <c r="E165" s="1708"/>
      <c r="F165" s="1708"/>
      <c r="G165" s="1714"/>
      <c r="H165" s="1710"/>
      <c r="I165" s="1715"/>
      <c r="J165" s="1710"/>
      <c r="K165" s="1708"/>
      <c r="L165" s="1711"/>
      <c r="M165" s="1711"/>
      <c r="N165" s="1709"/>
      <c r="Q165" s="632"/>
      <c r="R165" s="2681"/>
      <c r="S165" s="633"/>
    </row>
    <row r="166" spans="1:19" s="358" customFormat="1">
      <c r="A166" s="2684" t="s">
        <v>1696</v>
      </c>
      <c r="B166" s="2681">
        <v>64</v>
      </c>
      <c r="C166" s="2680">
        <v>43396</v>
      </c>
      <c r="D166" s="2680">
        <v>43396</v>
      </c>
      <c r="E166" s="2685" t="s">
        <v>181</v>
      </c>
      <c r="F166" s="2676" t="s">
        <v>723</v>
      </c>
      <c r="G166" s="2682" t="s">
        <v>940</v>
      </c>
      <c r="H166" s="2678">
        <v>675</v>
      </c>
      <c r="I166" s="2683">
        <v>675</v>
      </c>
      <c r="J166" s="2676"/>
      <c r="K166" s="2686" t="s">
        <v>941</v>
      </c>
      <c r="L166" s="2679">
        <v>6</v>
      </c>
      <c r="M166" s="2679">
        <v>42</v>
      </c>
      <c r="N166" s="2677">
        <v>43411</v>
      </c>
      <c r="Q166" s="2681"/>
      <c r="R166" s="2681"/>
      <c r="S166" s="2683"/>
    </row>
    <row r="167" spans="1:19" s="358" customFormat="1">
      <c r="A167" s="2684" t="s">
        <v>1696</v>
      </c>
      <c r="B167" s="2681">
        <v>64</v>
      </c>
      <c r="C167" s="2680">
        <v>43396</v>
      </c>
      <c r="D167" s="2680">
        <v>43396</v>
      </c>
      <c r="E167" s="2676" t="s">
        <v>160</v>
      </c>
      <c r="F167" s="2676" t="s">
        <v>723</v>
      </c>
      <c r="G167" s="2682" t="s">
        <v>942</v>
      </c>
      <c r="H167" s="2678">
        <v>30</v>
      </c>
      <c r="I167" s="2683">
        <v>30</v>
      </c>
      <c r="J167" s="2678"/>
      <c r="K167" s="2676" t="s">
        <v>941</v>
      </c>
      <c r="L167" s="2679">
        <v>2</v>
      </c>
      <c r="M167" s="2679">
        <v>8</v>
      </c>
      <c r="N167" s="2677">
        <v>43411</v>
      </c>
      <c r="Q167" s="2681"/>
      <c r="R167" s="2681"/>
      <c r="S167" s="2683"/>
    </row>
    <row r="168" spans="1:19" s="358" customFormat="1">
      <c r="A168" s="2684" t="s">
        <v>1697</v>
      </c>
      <c r="B168" s="2681">
        <v>25</v>
      </c>
      <c r="C168" s="2680">
        <v>43396</v>
      </c>
      <c r="D168" s="2680">
        <v>43396</v>
      </c>
      <c r="E168" s="2685" t="s">
        <v>181</v>
      </c>
      <c r="F168" s="2676" t="s">
        <v>723</v>
      </c>
      <c r="G168" s="2682" t="s">
        <v>940</v>
      </c>
      <c r="H168" s="2678">
        <v>41</v>
      </c>
      <c r="I168" s="2683">
        <v>41</v>
      </c>
      <c r="J168" s="2678" t="s">
        <v>953</v>
      </c>
      <c r="K168" s="2686" t="s">
        <v>941</v>
      </c>
      <c r="L168" s="2679">
        <v>6</v>
      </c>
      <c r="M168" s="2679">
        <v>42</v>
      </c>
      <c r="N168" s="2677">
        <v>43411</v>
      </c>
      <c r="Q168" s="2681"/>
      <c r="R168" s="2681"/>
      <c r="S168" s="2683"/>
    </row>
    <row r="169" spans="1:19" s="358" customFormat="1">
      <c r="A169" s="2684" t="s">
        <v>1697</v>
      </c>
      <c r="B169" s="2681">
        <v>25</v>
      </c>
      <c r="C169" s="2680">
        <v>43396</v>
      </c>
      <c r="D169" s="2680">
        <v>43396</v>
      </c>
      <c r="E169" s="2676" t="s">
        <v>160</v>
      </c>
      <c r="F169" s="2676" t="s">
        <v>723</v>
      </c>
      <c r="G169" s="2682" t="s">
        <v>942</v>
      </c>
      <c r="H169" s="2678">
        <v>11</v>
      </c>
      <c r="I169" s="2683">
        <v>11</v>
      </c>
      <c r="J169" s="2678"/>
      <c r="K169" s="2676" t="s">
        <v>941</v>
      </c>
      <c r="L169" s="2679">
        <v>2</v>
      </c>
      <c r="M169" s="2679">
        <v>8</v>
      </c>
      <c r="N169" s="2677">
        <v>43411</v>
      </c>
      <c r="Q169" s="2681"/>
      <c r="R169" s="2681"/>
      <c r="S169" s="2683"/>
    </row>
    <row r="170" spans="1:19" s="358" customFormat="1">
      <c r="A170" s="2684" t="s">
        <v>1698</v>
      </c>
      <c r="B170" s="2681">
        <v>58</v>
      </c>
      <c r="C170" s="2680">
        <v>43396</v>
      </c>
      <c r="D170" s="2680">
        <v>43396</v>
      </c>
      <c r="E170" s="2685" t="s">
        <v>181</v>
      </c>
      <c r="F170" s="2676" t="s">
        <v>723</v>
      </c>
      <c r="G170" s="2682" t="s">
        <v>940</v>
      </c>
      <c r="H170" s="2678">
        <v>190</v>
      </c>
      <c r="I170" s="2683">
        <v>190</v>
      </c>
      <c r="J170" s="2676"/>
      <c r="K170" s="2686" t="s">
        <v>941</v>
      </c>
      <c r="L170" s="2679">
        <v>6</v>
      </c>
      <c r="M170" s="2679">
        <v>42</v>
      </c>
      <c r="N170" s="2677">
        <v>43411</v>
      </c>
      <c r="Q170" s="2681"/>
      <c r="R170" s="2681"/>
      <c r="S170" s="2683"/>
    </row>
    <row r="171" spans="1:19">
      <c r="A171" s="2684" t="s">
        <v>1698</v>
      </c>
      <c r="B171" s="2681">
        <v>58</v>
      </c>
      <c r="C171" s="2680">
        <v>43396</v>
      </c>
      <c r="D171" s="2680">
        <v>43396</v>
      </c>
      <c r="E171" s="2676" t="s">
        <v>160</v>
      </c>
      <c r="F171" s="2676" t="s">
        <v>723</v>
      </c>
      <c r="G171" s="2682" t="s">
        <v>942</v>
      </c>
      <c r="H171" s="2678">
        <v>3</v>
      </c>
      <c r="I171" s="2683">
        <v>3</v>
      </c>
      <c r="J171" s="2678" t="s">
        <v>953</v>
      </c>
      <c r="K171" s="2676" t="s">
        <v>941</v>
      </c>
      <c r="L171" s="2679">
        <v>2</v>
      </c>
      <c r="M171" s="2679">
        <v>8</v>
      </c>
      <c r="N171" s="2677">
        <v>43411</v>
      </c>
      <c r="Q171" s="632"/>
      <c r="R171" s="2681"/>
      <c r="S171" s="633"/>
    </row>
    <row r="172" spans="1:19">
      <c r="A172" s="2684" t="s">
        <v>1699</v>
      </c>
      <c r="B172" s="2681" t="s">
        <v>1367</v>
      </c>
      <c r="C172" s="2680">
        <v>43396</v>
      </c>
      <c r="D172" s="2680">
        <v>43396</v>
      </c>
      <c r="E172" s="2685" t="s">
        <v>181</v>
      </c>
      <c r="F172" s="2676" t="s">
        <v>723</v>
      </c>
      <c r="G172" s="2682" t="s">
        <v>940</v>
      </c>
      <c r="H172" s="2678">
        <v>106</v>
      </c>
      <c r="I172" s="2683">
        <v>106</v>
      </c>
      <c r="J172" s="2676"/>
      <c r="K172" s="2686" t="s">
        <v>941</v>
      </c>
      <c r="L172" s="2679">
        <v>6</v>
      </c>
      <c r="M172" s="2679">
        <v>42</v>
      </c>
      <c r="N172" s="2677">
        <v>43411</v>
      </c>
      <c r="Q172" s="632"/>
      <c r="R172" s="2681"/>
      <c r="S172" s="633"/>
    </row>
    <row r="173" spans="1:19">
      <c r="A173" s="2684" t="s">
        <v>1699</v>
      </c>
      <c r="B173" s="2681" t="s">
        <v>1367</v>
      </c>
      <c r="C173" s="2680">
        <v>43396</v>
      </c>
      <c r="D173" s="2680">
        <v>43396</v>
      </c>
      <c r="E173" s="2676" t="s">
        <v>160</v>
      </c>
      <c r="F173" s="2676" t="s">
        <v>723</v>
      </c>
      <c r="G173" s="2682" t="s">
        <v>942</v>
      </c>
      <c r="H173" s="2678">
        <v>6</v>
      </c>
      <c r="I173" s="2683">
        <v>6</v>
      </c>
      <c r="J173" s="2678" t="s">
        <v>953</v>
      </c>
      <c r="K173" s="2676" t="s">
        <v>941</v>
      </c>
      <c r="L173" s="2679">
        <v>2</v>
      </c>
      <c r="M173" s="2679">
        <v>8</v>
      </c>
      <c r="N173" s="2677">
        <v>43411</v>
      </c>
      <c r="Q173" s="632"/>
      <c r="R173" s="2681"/>
      <c r="S173" s="633"/>
    </row>
    <row r="174" spans="1:19">
      <c r="A174" s="2676" t="s">
        <v>1700</v>
      </c>
      <c r="B174" s="2681" t="s">
        <v>1368</v>
      </c>
      <c r="C174" s="2680">
        <v>43396</v>
      </c>
      <c r="D174" s="2680">
        <v>43396</v>
      </c>
      <c r="E174" s="2685" t="s">
        <v>181</v>
      </c>
      <c r="F174" s="2676" t="s">
        <v>723</v>
      </c>
      <c r="G174" s="2682" t="s">
        <v>940</v>
      </c>
      <c r="H174" s="2678">
        <v>105</v>
      </c>
      <c r="I174" s="2683">
        <v>105</v>
      </c>
      <c r="J174" s="2676"/>
      <c r="K174" s="2686" t="s">
        <v>941</v>
      </c>
      <c r="L174" s="2679">
        <v>6</v>
      </c>
      <c r="M174" s="2679">
        <v>42</v>
      </c>
      <c r="N174" s="2677">
        <v>43411</v>
      </c>
      <c r="Q174" s="632"/>
      <c r="R174" s="2681"/>
      <c r="S174" s="633"/>
    </row>
    <row r="175" spans="1:19">
      <c r="A175" s="2676" t="s">
        <v>1700</v>
      </c>
      <c r="B175" s="2681" t="s">
        <v>1368</v>
      </c>
      <c r="C175" s="2680">
        <v>43396</v>
      </c>
      <c r="D175" s="2680">
        <v>43396</v>
      </c>
      <c r="E175" s="2676" t="s">
        <v>160</v>
      </c>
      <c r="F175" s="2676" t="s">
        <v>723</v>
      </c>
      <c r="G175" s="2682" t="s">
        <v>942</v>
      </c>
      <c r="H175" s="2678">
        <v>13</v>
      </c>
      <c r="I175" s="2683">
        <v>13</v>
      </c>
      <c r="J175" s="2678"/>
      <c r="K175" s="2676" t="s">
        <v>941</v>
      </c>
      <c r="L175" s="2679">
        <v>2</v>
      </c>
      <c r="M175" s="2679">
        <v>8</v>
      </c>
      <c r="N175" s="2677">
        <v>43411</v>
      </c>
      <c r="Q175" s="632"/>
      <c r="R175" s="2681"/>
      <c r="S175" s="633"/>
    </row>
    <row r="176" spans="1:19">
      <c r="A176" s="2684" t="s">
        <v>1701</v>
      </c>
      <c r="B176" s="2681">
        <v>26</v>
      </c>
      <c r="C176" s="2680">
        <v>43396</v>
      </c>
      <c r="D176" s="2680">
        <v>43396</v>
      </c>
      <c r="E176" s="2685" t="s">
        <v>181</v>
      </c>
      <c r="F176" s="2676" t="s">
        <v>723</v>
      </c>
      <c r="G176" s="2682" t="s">
        <v>940</v>
      </c>
      <c r="H176" s="2678">
        <v>109</v>
      </c>
      <c r="I176" s="2683">
        <v>109</v>
      </c>
      <c r="J176" s="2676"/>
      <c r="K176" s="2686" t="s">
        <v>941</v>
      </c>
      <c r="L176" s="2679">
        <v>6</v>
      </c>
      <c r="M176" s="2679">
        <v>42</v>
      </c>
      <c r="N176" s="2677">
        <v>43411</v>
      </c>
      <c r="Q176" s="632"/>
      <c r="R176" s="2681"/>
      <c r="S176" s="633"/>
    </row>
    <row r="177" spans="1:19">
      <c r="A177" s="2684" t="s">
        <v>1701</v>
      </c>
      <c r="B177" s="2681">
        <v>26</v>
      </c>
      <c r="C177" s="2680">
        <v>43396</v>
      </c>
      <c r="D177" s="2680">
        <v>43396</v>
      </c>
      <c r="E177" s="2676" t="s">
        <v>160</v>
      </c>
      <c r="F177" s="2676" t="s">
        <v>723</v>
      </c>
      <c r="G177" s="2682" t="s">
        <v>942</v>
      </c>
      <c r="H177" s="2678">
        <v>12</v>
      </c>
      <c r="I177" s="2683">
        <v>12</v>
      </c>
      <c r="J177" s="2676"/>
      <c r="K177" s="2676" t="s">
        <v>941</v>
      </c>
      <c r="L177" s="2679">
        <v>2</v>
      </c>
      <c r="M177" s="2679">
        <v>8</v>
      </c>
      <c r="N177" s="2677">
        <v>43411</v>
      </c>
      <c r="Q177" s="632"/>
      <c r="R177" s="2681"/>
      <c r="S177" s="633"/>
    </row>
    <row r="178" spans="1:19">
      <c r="A178" s="2684" t="s">
        <v>1702</v>
      </c>
      <c r="B178" s="2681">
        <v>5</v>
      </c>
      <c r="C178" s="2680">
        <v>43396</v>
      </c>
      <c r="D178" s="2680">
        <v>43396</v>
      </c>
      <c r="E178" s="2685" t="s">
        <v>181</v>
      </c>
      <c r="F178" s="2676" t="s">
        <v>723</v>
      </c>
      <c r="G178" s="2682" t="s">
        <v>940</v>
      </c>
      <c r="H178" s="2678">
        <v>172</v>
      </c>
      <c r="I178" s="2683">
        <v>172</v>
      </c>
      <c r="J178" s="2676"/>
      <c r="K178" s="2686" t="s">
        <v>941</v>
      </c>
      <c r="L178" s="2679">
        <v>6</v>
      </c>
      <c r="M178" s="2679">
        <v>42</v>
      </c>
      <c r="N178" s="2677">
        <v>43411</v>
      </c>
      <c r="Q178" s="632"/>
      <c r="R178" s="2681"/>
      <c r="S178" s="633"/>
    </row>
    <row r="179" spans="1:19">
      <c r="A179" s="2684" t="s">
        <v>1702</v>
      </c>
      <c r="B179" s="2681">
        <v>5</v>
      </c>
      <c r="C179" s="2680">
        <v>43396</v>
      </c>
      <c r="D179" s="2680">
        <v>43396</v>
      </c>
      <c r="E179" s="2676" t="s">
        <v>160</v>
      </c>
      <c r="F179" s="2676" t="s">
        <v>723</v>
      </c>
      <c r="G179" s="2682" t="s">
        <v>942</v>
      </c>
      <c r="H179" s="2678">
        <v>34</v>
      </c>
      <c r="I179" s="2683">
        <v>34</v>
      </c>
      <c r="J179" s="2678"/>
      <c r="K179" s="2676" t="s">
        <v>941</v>
      </c>
      <c r="L179" s="2679">
        <v>2</v>
      </c>
      <c r="M179" s="2679">
        <v>8</v>
      </c>
      <c r="N179" s="2677">
        <v>43411</v>
      </c>
      <c r="Q179" s="632"/>
      <c r="R179" s="2681"/>
      <c r="S179" s="633"/>
    </row>
    <row r="180" spans="1:19">
      <c r="A180" s="2684" t="s">
        <v>1703</v>
      </c>
      <c r="B180" s="2681" t="s">
        <v>1369</v>
      </c>
      <c r="C180" s="2680">
        <v>43396</v>
      </c>
      <c r="D180" s="2680">
        <v>43396</v>
      </c>
      <c r="E180" s="2685" t="s">
        <v>181</v>
      </c>
      <c r="F180" s="2676" t="s">
        <v>723</v>
      </c>
      <c r="G180" s="2682" t="s">
        <v>940</v>
      </c>
      <c r="H180" s="2678">
        <v>520</v>
      </c>
      <c r="I180" s="2683">
        <v>520</v>
      </c>
      <c r="J180" s="2676"/>
      <c r="K180" s="2686" t="s">
        <v>941</v>
      </c>
      <c r="L180" s="2679">
        <v>6</v>
      </c>
      <c r="M180" s="2679">
        <v>42</v>
      </c>
      <c r="N180" s="2677">
        <v>43411</v>
      </c>
      <c r="Q180" s="632"/>
      <c r="R180" s="2681"/>
      <c r="S180" s="633"/>
    </row>
    <row r="181" spans="1:19">
      <c r="A181" s="2684" t="s">
        <v>1703</v>
      </c>
      <c r="B181" s="2681" t="s">
        <v>1369</v>
      </c>
      <c r="C181" s="2680">
        <v>43396</v>
      </c>
      <c r="D181" s="2680">
        <v>43396</v>
      </c>
      <c r="E181" s="2676" t="s">
        <v>160</v>
      </c>
      <c r="F181" s="2676" t="s">
        <v>723</v>
      </c>
      <c r="G181" s="2682" t="s">
        <v>942</v>
      </c>
      <c r="H181" s="2678">
        <v>27</v>
      </c>
      <c r="I181" s="2683">
        <v>27</v>
      </c>
      <c r="J181" s="2676"/>
      <c r="K181" s="2676" t="s">
        <v>941</v>
      </c>
      <c r="L181" s="2679">
        <v>2</v>
      </c>
      <c r="M181" s="2679">
        <v>8</v>
      </c>
      <c r="N181" s="2677">
        <v>43411</v>
      </c>
      <c r="Q181" s="632"/>
      <c r="R181" s="2681"/>
      <c r="S181" s="633"/>
    </row>
    <row r="182" spans="1:19">
      <c r="A182" s="2684" t="s">
        <v>1704</v>
      </c>
      <c r="B182" s="2681" t="s">
        <v>1370</v>
      </c>
      <c r="C182" s="2680">
        <v>43396</v>
      </c>
      <c r="D182" s="2680">
        <v>43396</v>
      </c>
      <c r="E182" s="2685" t="s">
        <v>181</v>
      </c>
      <c r="F182" s="2676" t="s">
        <v>723</v>
      </c>
      <c r="G182" s="2682" t="s">
        <v>940</v>
      </c>
      <c r="H182" s="2678">
        <v>1400</v>
      </c>
      <c r="I182" s="2683">
        <v>1400</v>
      </c>
      <c r="J182" s="2676"/>
      <c r="K182" s="2686" t="s">
        <v>941</v>
      </c>
      <c r="L182" s="2679">
        <v>6</v>
      </c>
      <c r="M182" s="2679">
        <v>42</v>
      </c>
      <c r="N182" s="2677">
        <v>43411</v>
      </c>
      <c r="Q182" s="632"/>
      <c r="R182" s="2681"/>
      <c r="S182" s="633"/>
    </row>
    <row r="183" spans="1:19">
      <c r="A183" s="2684" t="s">
        <v>1704</v>
      </c>
      <c r="B183" s="2681" t="s">
        <v>1370</v>
      </c>
      <c r="C183" s="2680">
        <v>43396</v>
      </c>
      <c r="D183" s="2680">
        <v>43396</v>
      </c>
      <c r="E183" s="2676" t="s">
        <v>160</v>
      </c>
      <c r="F183" s="2676" t="s">
        <v>723</v>
      </c>
      <c r="G183" s="2682" t="s">
        <v>942</v>
      </c>
      <c r="H183" s="2678">
        <v>113</v>
      </c>
      <c r="I183" s="2683">
        <v>113</v>
      </c>
      <c r="J183" s="2678"/>
      <c r="K183" s="2676" t="s">
        <v>941</v>
      </c>
      <c r="L183" s="2679">
        <v>2</v>
      </c>
      <c r="M183" s="2679">
        <v>8</v>
      </c>
      <c r="N183" s="2677">
        <v>43411</v>
      </c>
      <c r="Q183" s="632"/>
      <c r="R183" s="2681"/>
      <c r="S183" s="633"/>
    </row>
    <row r="184" spans="1:19">
      <c r="A184" s="2684" t="s">
        <v>1705</v>
      </c>
      <c r="B184" s="2681">
        <v>9</v>
      </c>
      <c r="C184" s="2680">
        <v>43396</v>
      </c>
      <c r="D184" s="2680">
        <v>43396</v>
      </c>
      <c r="E184" s="2685" t="s">
        <v>181</v>
      </c>
      <c r="F184" s="2676" t="s">
        <v>723</v>
      </c>
      <c r="G184" s="2682" t="s">
        <v>940</v>
      </c>
      <c r="H184" s="2678">
        <v>370</v>
      </c>
      <c r="I184" s="2683">
        <v>370</v>
      </c>
      <c r="J184" s="2676"/>
      <c r="K184" s="2686" t="s">
        <v>941</v>
      </c>
      <c r="L184" s="2679">
        <v>6</v>
      </c>
      <c r="M184" s="2679">
        <v>42</v>
      </c>
      <c r="N184" s="2677">
        <v>43411</v>
      </c>
      <c r="Q184" s="632"/>
      <c r="R184" s="2681"/>
      <c r="S184" s="633"/>
    </row>
    <row r="185" spans="1:19">
      <c r="A185" s="2684" t="s">
        <v>1705</v>
      </c>
      <c r="B185" s="2681">
        <v>9</v>
      </c>
      <c r="C185" s="2680">
        <v>43396</v>
      </c>
      <c r="D185" s="2680">
        <v>43396</v>
      </c>
      <c r="E185" s="2676" t="s">
        <v>160</v>
      </c>
      <c r="F185" s="2676" t="s">
        <v>723</v>
      </c>
      <c r="G185" s="2682" t="s">
        <v>942</v>
      </c>
      <c r="H185" s="2678">
        <v>23</v>
      </c>
      <c r="I185" s="2683">
        <v>23</v>
      </c>
      <c r="J185" s="2678"/>
      <c r="K185" s="2676" t="s">
        <v>941</v>
      </c>
      <c r="L185" s="2679">
        <v>2</v>
      </c>
      <c r="M185" s="2679">
        <v>8</v>
      </c>
      <c r="N185" s="2677">
        <v>43411</v>
      </c>
      <c r="Q185" s="632"/>
      <c r="R185" s="2681"/>
      <c r="S185" s="633"/>
    </row>
    <row r="186" spans="1:19">
      <c r="A186" s="2684" t="s">
        <v>1706</v>
      </c>
      <c r="B186" s="2681">
        <v>12</v>
      </c>
      <c r="C186" s="2680">
        <v>43396</v>
      </c>
      <c r="D186" s="2680">
        <v>43396</v>
      </c>
      <c r="E186" s="2685" t="s">
        <v>181</v>
      </c>
      <c r="F186" s="2676" t="s">
        <v>723</v>
      </c>
      <c r="G186" s="2682" t="s">
        <v>940</v>
      </c>
      <c r="H186" s="2678">
        <v>580</v>
      </c>
      <c r="I186" s="2683">
        <v>580</v>
      </c>
      <c r="J186" s="2676"/>
      <c r="K186" s="2686" t="s">
        <v>941</v>
      </c>
      <c r="L186" s="2679">
        <v>6</v>
      </c>
      <c r="M186" s="2679">
        <v>42</v>
      </c>
      <c r="N186" s="2677">
        <v>43411</v>
      </c>
      <c r="Q186" s="632"/>
      <c r="R186" s="2681"/>
      <c r="S186" s="633"/>
    </row>
    <row r="187" spans="1:19">
      <c r="A187" s="2684" t="s">
        <v>1706</v>
      </c>
      <c r="B187" s="2681">
        <v>12</v>
      </c>
      <c r="C187" s="2680">
        <v>43396</v>
      </c>
      <c r="D187" s="2680">
        <v>43396</v>
      </c>
      <c r="E187" s="2676" t="s">
        <v>160</v>
      </c>
      <c r="F187" s="2676" t="s">
        <v>723</v>
      </c>
      <c r="G187" s="2682" t="s">
        <v>942</v>
      </c>
      <c r="H187" s="2678">
        <v>24</v>
      </c>
      <c r="I187" s="2683">
        <v>24</v>
      </c>
      <c r="J187" s="2678"/>
      <c r="K187" s="2676" t="s">
        <v>941</v>
      </c>
      <c r="L187" s="2679">
        <v>2</v>
      </c>
      <c r="M187" s="2679">
        <v>8</v>
      </c>
      <c r="N187" s="2677">
        <v>43411</v>
      </c>
      <c r="Q187" s="632"/>
      <c r="R187" s="2681"/>
      <c r="S187" s="633"/>
    </row>
    <row r="188" spans="1:19">
      <c r="A188" s="2684" t="s">
        <v>1707</v>
      </c>
      <c r="B188" s="2681" t="s">
        <v>1371</v>
      </c>
      <c r="C188" s="2680">
        <v>43396</v>
      </c>
      <c r="D188" s="2680">
        <v>43396</v>
      </c>
      <c r="E188" s="2685" t="s">
        <v>181</v>
      </c>
      <c r="F188" s="2676" t="s">
        <v>723</v>
      </c>
      <c r="G188" s="2682" t="s">
        <v>940</v>
      </c>
      <c r="H188" s="2678">
        <v>491</v>
      </c>
      <c r="I188" s="2683">
        <v>491</v>
      </c>
      <c r="J188" s="2676"/>
      <c r="K188" s="2686" t="s">
        <v>941</v>
      </c>
      <c r="L188" s="2679">
        <v>6</v>
      </c>
      <c r="M188" s="2679">
        <v>42</v>
      </c>
      <c r="N188" s="2677">
        <v>43411</v>
      </c>
      <c r="Q188" s="632"/>
      <c r="R188" s="2681"/>
      <c r="S188" s="633"/>
    </row>
    <row r="189" spans="1:19">
      <c r="A189" s="2684" t="s">
        <v>1707</v>
      </c>
      <c r="B189" s="2681" t="s">
        <v>1371</v>
      </c>
      <c r="C189" s="2680">
        <v>43396</v>
      </c>
      <c r="D189" s="2680">
        <v>43396</v>
      </c>
      <c r="E189" s="2676" t="s">
        <v>160</v>
      </c>
      <c r="F189" s="2676" t="s">
        <v>723</v>
      </c>
      <c r="G189" s="2682" t="s">
        <v>942</v>
      </c>
      <c r="H189" s="2678">
        <v>72</v>
      </c>
      <c r="I189" s="2683">
        <v>72</v>
      </c>
      <c r="J189" s="2678"/>
      <c r="K189" s="2676" t="s">
        <v>941</v>
      </c>
      <c r="L189" s="2679">
        <v>2</v>
      </c>
      <c r="M189" s="2679">
        <v>8</v>
      </c>
      <c r="N189" s="2677">
        <v>43411</v>
      </c>
      <c r="Q189" s="632"/>
      <c r="R189" s="2681"/>
      <c r="S189" s="633"/>
    </row>
    <row r="190" spans="1:19">
      <c r="A190" s="2684" t="s">
        <v>1708</v>
      </c>
      <c r="B190" s="2681">
        <v>18</v>
      </c>
      <c r="C190" s="2680">
        <v>43396</v>
      </c>
      <c r="D190" s="2680">
        <v>43396</v>
      </c>
      <c r="E190" s="2685" t="s">
        <v>181</v>
      </c>
      <c r="F190" s="2676" t="s">
        <v>723</v>
      </c>
      <c r="G190" s="2682" t="s">
        <v>940</v>
      </c>
      <c r="H190" s="2678">
        <v>275</v>
      </c>
      <c r="I190" s="2683">
        <v>275</v>
      </c>
      <c r="J190" s="2676"/>
      <c r="K190" s="2686" t="s">
        <v>941</v>
      </c>
      <c r="L190" s="2679">
        <v>6</v>
      </c>
      <c r="M190" s="2679">
        <v>42</v>
      </c>
      <c r="N190" s="2677">
        <v>43411</v>
      </c>
      <c r="Q190" s="632"/>
      <c r="R190" s="2681"/>
      <c r="S190" s="633"/>
    </row>
    <row r="191" spans="1:19">
      <c r="A191" s="2684" t="s">
        <v>1708</v>
      </c>
      <c r="B191" s="2681">
        <v>18</v>
      </c>
      <c r="C191" s="2680">
        <v>43396</v>
      </c>
      <c r="D191" s="2680">
        <v>43396</v>
      </c>
      <c r="E191" s="2676" t="s">
        <v>160</v>
      </c>
      <c r="F191" s="2676" t="s">
        <v>723</v>
      </c>
      <c r="G191" s="2682" t="s">
        <v>942</v>
      </c>
      <c r="H191" s="2678">
        <v>44</v>
      </c>
      <c r="I191" s="2683">
        <v>44</v>
      </c>
      <c r="J191" s="2678"/>
      <c r="K191" s="2676" t="s">
        <v>941</v>
      </c>
      <c r="L191" s="2679">
        <v>2</v>
      </c>
      <c r="M191" s="2679">
        <v>8</v>
      </c>
      <c r="N191" s="2677">
        <v>43411</v>
      </c>
      <c r="Q191" s="632"/>
      <c r="R191" s="2681"/>
      <c r="S191" s="633"/>
    </row>
    <row r="192" spans="1:19">
      <c r="A192" s="2684" t="s">
        <v>1709</v>
      </c>
      <c r="B192" s="2681">
        <v>19</v>
      </c>
      <c r="C192" s="2680">
        <v>43396</v>
      </c>
      <c r="D192" s="2680">
        <v>43396</v>
      </c>
      <c r="E192" s="2685" t="s">
        <v>181</v>
      </c>
      <c r="F192" s="2676" t="s">
        <v>723</v>
      </c>
      <c r="G192" s="2682" t="s">
        <v>940</v>
      </c>
      <c r="H192" s="2678">
        <v>151</v>
      </c>
      <c r="I192" s="2683">
        <v>151</v>
      </c>
      <c r="J192" s="2676"/>
      <c r="K192" s="2686" t="s">
        <v>941</v>
      </c>
      <c r="L192" s="2679">
        <v>6</v>
      </c>
      <c r="M192" s="2679">
        <v>42</v>
      </c>
      <c r="N192" s="2677">
        <v>43411</v>
      </c>
      <c r="Q192" s="632"/>
      <c r="R192" s="2681"/>
      <c r="S192" s="633"/>
    </row>
    <row r="193" spans="1:20">
      <c r="A193" s="2684" t="s">
        <v>1709</v>
      </c>
      <c r="B193" s="2681">
        <v>19</v>
      </c>
      <c r="C193" s="2680">
        <v>43396</v>
      </c>
      <c r="D193" s="2680">
        <v>43396</v>
      </c>
      <c r="E193" s="2676" t="s">
        <v>160</v>
      </c>
      <c r="F193" s="2676" t="s">
        <v>723</v>
      </c>
      <c r="G193" s="2682" t="s">
        <v>942</v>
      </c>
      <c r="H193" s="2678">
        <v>11</v>
      </c>
      <c r="I193" s="2683">
        <v>11</v>
      </c>
      <c r="J193" s="2678"/>
      <c r="K193" s="2676" t="s">
        <v>941</v>
      </c>
      <c r="L193" s="2679">
        <v>2</v>
      </c>
      <c r="M193" s="2679">
        <v>8</v>
      </c>
      <c r="N193" s="2677">
        <v>43411</v>
      </c>
      <c r="Q193" s="632"/>
      <c r="R193" s="2681"/>
      <c r="S193" s="633"/>
    </row>
    <row r="194" spans="1:20">
      <c r="A194" s="2357" t="s">
        <v>1580</v>
      </c>
      <c r="B194" s="2362" t="s">
        <v>1279</v>
      </c>
      <c r="C194" s="2361">
        <v>43388</v>
      </c>
      <c r="D194" s="2361">
        <v>43388</v>
      </c>
      <c r="E194" s="2365" t="s">
        <v>181</v>
      </c>
      <c r="F194" s="2357" t="s">
        <v>723</v>
      </c>
      <c r="G194" s="2363" t="s">
        <v>940</v>
      </c>
      <c r="H194" s="2359">
        <v>469</v>
      </c>
      <c r="I194" s="2364">
        <v>469</v>
      </c>
      <c r="J194" s="2357"/>
      <c r="K194" s="2366" t="s">
        <v>941</v>
      </c>
      <c r="L194" s="2360">
        <v>6</v>
      </c>
      <c r="M194" s="2360">
        <v>42</v>
      </c>
      <c r="N194" s="2358">
        <v>43392</v>
      </c>
      <c r="Q194" s="632"/>
      <c r="R194" s="2681"/>
      <c r="S194" s="633"/>
    </row>
    <row r="195" spans="1:20">
      <c r="A195" s="2357" t="s">
        <v>1580</v>
      </c>
      <c r="B195" s="2362" t="s">
        <v>1279</v>
      </c>
      <c r="C195" s="2361">
        <v>43388</v>
      </c>
      <c r="D195" s="2361">
        <v>43388</v>
      </c>
      <c r="E195" s="2357" t="s">
        <v>160</v>
      </c>
      <c r="F195" s="2357" t="s">
        <v>723</v>
      </c>
      <c r="G195" s="2363" t="s">
        <v>942</v>
      </c>
      <c r="H195" s="2359">
        <v>2</v>
      </c>
      <c r="I195" s="2364">
        <v>2</v>
      </c>
      <c r="J195" s="2359" t="s">
        <v>953</v>
      </c>
      <c r="K195" s="2357" t="s">
        <v>941</v>
      </c>
      <c r="L195" s="2360">
        <v>2</v>
      </c>
      <c r="M195" s="2360">
        <v>8</v>
      </c>
      <c r="N195" s="2358">
        <v>43392</v>
      </c>
      <c r="Q195" s="632"/>
      <c r="R195" s="2681"/>
      <c r="S195" s="633"/>
    </row>
    <row r="196" spans="1:20">
      <c r="A196" s="2367" t="s">
        <v>1581</v>
      </c>
      <c r="B196" s="2372" t="s">
        <v>950</v>
      </c>
      <c r="C196" s="2371">
        <v>43388</v>
      </c>
      <c r="D196" s="2371">
        <v>43388</v>
      </c>
      <c r="E196" s="2375" t="s">
        <v>181</v>
      </c>
      <c r="F196" s="2367" t="s">
        <v>723</v>
      </c>
      <c r="G196" s="2373" t="s">
        <v>940</v>
      </c>
      <c r="H196" s="2369">
        <v>617</v>
      </c>
      <c r="I196" s="2374">
        <v>617</v>
      </c>
      <c r="J196" s="2367"/>
      <c r="K196" s="2376" t="s">
        <v>941</v>
      </c>
      <c r="L196" s="2370">
        <v>6</v>
      </c>
      <c r="M196" s="2370">
        <v>42</v>
      </c>
      <c r="N196" s="2368">
        <v>43392</v>
      </c>
      <c r="Q196" s="632"/>
      <c r="R196" s="2681"/>
      <c r="S196" s="633"/>
    </row>
    <row r="197" spans="1:20">
      <c r="A197" s="2367" t="s">
        <v>1581</v>
      </c>
      <c r="B197" s="2372" t="s">
        <v>950</v>
      </c>
      <c r="C197" s="2371">
        <v>43388</v>
      </c>
      <c r="D197" s="2371">
        <v>43388</v>
      </c>
      <c r="E197" s="2367" t="s">
        <v>160</v>
      </c>
      <c r="F197" s="2367" t="s">
        <v>723</v>
      </c>
      <c r="G197" s="2373" t="s">
        <v>942</v>
      </c>
      <c r="H197" s="2369">
        <v>18</v>
      </c>
      <c r="I197" s="2374">
        <v>18</v>
      </c>
      <c r="J197" s="2369"/>
      <c r="K197" s="2367" t="s">
        <v>941</v>
      </c>
      <c r="L197" s="2370">
        <v>2</v>
      </c>
      <c r="M197" s="2370">
        <v>8</v>
      </c>
      <c r="N197" s="2368">
        <v>43392</v>
      </c>
      <c r="Q197" s="632"/>
      <c r="R197" s="2681"/>
      <c r="S197" s="633"/>
    </row>
    <row r="198" spans="1:20">
      <c r="A198" s="2676"/>
      <c r="B198" s="2681"/>
      <c r="C198" s="2680"/>
      <c r="D198" s="2680"/>
      <c r="E198" s="2676"/>
      <c r="F198" s="2676"/>
      <c r="G198" s="2682"/>
      <c r="H198" s="2678"/>
      <c r="I198" s="2683"/>
      <c r="J198" s="2678"/>
      <c r="K198" s="2676"/>
      <c r="L198" s="2679"/>
      <c r="M198" s="2679"/>
      <c r="N198" s="2677"/>
      <c r="Q198" s="632"/>
      <c r="R198" s="2681"/>
      <c r="S198" s="633"/>
    </row>
    <row r="199" spans="1:20">
      <c r="A199" s="1725"/>
      <c r="B199" s="1722"/>
      <c r="C199" s="1721"/>
      <c r="D199" s="1721"/>
      <c r="E199" s="1717"/>
      <c r="F199" s="1717"/>
      <c r="G199" s="1723"/>
      <c r="H199" s="1719"/>
      <c r="I199" s="1724"/>
      <c r="J199" s="1719"/>
      <c r="K199" s="1717"/>
      <c r="L199" s="1720"/>
      <c r="M199" s="1720"/>
      <c r="N199" s="1718"/>
      <c r="Q199" s="632"/>
      <c r="R199" s="2681"/>
      <c r="S199" s="633"/>
    </row>
    <row r="200" spans="1:20">
      <c r="A200" s="1725"/>
      <c r="B200" s="1722"/>
      <c r="C200" s="1721"/>
      <c r="D200" s="1721"/>
      <c r="E200" s="1726"/>
      <c r="F200" s="1717"/>
      <c r="G200" s="1723"/>
      <c r="H200" s="1719"/>
      <c r="I200" s="1724"/>
      <c r="J200" s="1717"/>
      <c r="K200" s="1727"/>
      <c r="L200" s="1720"/>
      <c r="M200" s="1720"/>
      <c r="N200" s="1718"/>
      <c r="Q200" s="632"/>
      <c r="R200" s="2681"/>
      <c r="S200" s="633"/>
    </row>
    <row r="201" spans="1:20">
      <c r="A201" s="2714">
        <v>43235</v>
      </c>
      <c r="B201" s="1722"/>
      <c r="C201" s="1721"/>
      <c r="D201" s="1721"/>
      <c r="E201" s="1717"/>
      <c r="F201" s="1717"/>
      <c r="G201" s="1723"/>
      <c r="H201" s="1719"/>
      <c r="I201" s="1724"/>
      <c r="J201" s="1719"/>
      <c r="K201" s="1717"/>
      <c r="L201" s="1720"/>
      <c r="M201" s="1720"/>
      <c r="N201" s="1718"/>
      <c r="Q201" s="632"/>
      <c r="R201" s="2681"/>
      <c r="S201" s="633"/>
    </row>
    <row r="202" spans="1:20">
      <c r="A202" s="2707" t="s">
        <v>950</v>
      </c>
      <c r="B202" s="2715" t="s">
        <v>181</v>
      </c>
      <c r="C202" s="2704">
        <v>727</v>
      </c>
      <c r="D202" s="621"/>
      <c r="E202" s="622"/>
      <c r="F202" s="620"/>
      <c r="G202" s="3089">
        <v>43235</v>
      </c>
      <c r="H202" s="3089"/>
      <c r="I202" s="3090">
        <v>42908</v>
      </c>
      <c r="J202" s="3090"/>
      <c r="K202" s="3091">
        <v>42929</v>
      </c>
      <c r="L202" s="3091"/>
      <c r="M202" s="3090">
        <v>42957</v>
      </c>
      <c r="N202" s="3090"/>
      <c r="O202" s="3092">
        <v>42997</v>
      </c>
      <c r="P202" s="3092"/>
      <c r="Q202" s="3092"/>
      <c r="R202" s="2835"/>
      <c r="S202" s="3090">
        <v>43025</v>
      </c>
      <c r="T202" s="3090"/>
    </row>
    <row r="203" spans="1:20">
      <c r="A203" s="2707" t="s">
        <v>950</v>
      </c>
      <c r="B203" s="2716" t="s">
        <v>160</v>
      </c>
      <c r="C203" s="2704">
        <v>33</v>
      </c>
      <c r="D203" s="621"/>
      <c r="E203" s="620"/>
      <c r="F203" s="1718"/>
      <c r="G203" s="1735" t="s">
        <v>28</v>
      </c>
      <c r="H203" s="1738" t="s">
        <v>27</v>
      </c>
      <c r="I203" s="1738" t="s">
        <v>28</v>
      </c>
      <c r="J203" s="1738" t="s">
        <v>27</v>
      </c>
      <c r="K203" s="1738" t="s">
        <v>28</v>
      </c>
      <c r="L203" s="1738" t="s">
        <v>27</v>
      </c>
      <c r="M203" s="1738" t="s">
        <v>28</v>
      </c>
      <c r="N203" s="1738" t="s">
        <v>27</v>
      </c>
      <c r="O203" s="1738" t="s">
        <v>28</v>
      </c>
      <c r="P203" s="1738"/>
      <c r="Q203" s="1738" t="s">
        <v>27</v>
      </c>
      <c r="R203" s="1738"/>
      <c r="S203" s="1738" t="s">
        <v>28</v>
      </c>
      <c r="T203" s="1738" t="s">
        <v>27</v>
      </c>
    </row>
    <row r="204" spans="1:20">
      <c r="A204" s="2707" t="s">
        <v>1279</v>
      </c>
      <c r="B204" s="2715" t="s">
        <v>181</v>
      </c>
      <c r="C204" s="2704">
        <v>1212</v>
      </c>
      <c r="D204" s="1719"/>
      <c r="E204" s="624"/>
      <c r="F204" s="623" t="s">
        <v>292</v>
      </c>
      <c r="G204" s="1737">
        <v>330</v>
      </c>
      <c r="H204" s="1736">
        <v>165</v>
      </c>
      <c r="I204" s="1737">
        <v>269</v>
      </c>
      <c r="J204" s="1736">
        <v>9</v>
      </c>
      <c r="K204" s="1736">
        <v>236</v>
      </c>
      <c r="L204" s="1736">
        <v>6</v>
      </c>
      <c r="M204" s="1737">
        <v>310</v>
      </c>
      <c r="N204" s="1736">
        <v>24</v>
      </c>
      <c r="O204" s="1736">
        <v>205</v>
      </c>
      <c r="P204" s="1736"/>
      <c r="Q204" s="1736">
        <v>2</v>
      </c>
      <c r="R204" s="1736"/>
      <c r="S204" s="1737">
        <v>270</v>
      </c>
      <c r="T204" s="1736">
        <v>9</v>
      </c>
    </row>
    <row r="205" spans="1:20">
      <c r="A205" s="2707" t="s">
        <v>1279</v>
      </c>
      <c r="B205" s="2716" t="s">
        <v>160</v>
      </c>
      <c r="C205" s="2704">
        <v>6</v>
      </c>
      <c r="D205" s="1719"/>
      <c r="E205" s="623"/>
      <c r="F205" s="623" t="s">
        <v>291</v>
      </c>
      <c r="G205" s="1735">
        <v>166</v>
      </c>
      <c r="H205" s="1738">
        <v>2</v>
      </c>
      <c r="I205" s="1736">
        <v>249</v>
      </c>
      <c r="J205" s="1736">
        <v>14</v>
      </c>
      <c r="K205" s="1737">
        <v>228</v>
      </c>
      <c r="L205" s="1736">
        <v>12</v>
      </c>
      <c r="M205" s="1737">
        <v>239</v>
      </c>
      <c r="N205" s="1736">
        <v>20</v>
      </c>
      <c r="O205" s="1736">
        <v>176</v>
      </c>
      <c r="P205" s="1736"/>
      <c r="Q205" s="1736">
        <v>6</v>
      </c>
      <c r="R205" s="1736"/>
      <c r="S205" s="1737">
        <v>180</v>
      </c>
      <c r="T205" s="1736">
        <v>10</v>
      </c>
    </row>
    <row r="206" spans="1:20">
      <c r="A206" s="2707">
        <v>64</v>
      </c>
      <c r="B206" s="2715" t="s">
        <v>181</v>
      </c>
      <c r="C206" s="2704">
        <v>763</v>
      </c>
      <c r="D206" s="1719"/>
      <c r="E206" s="287"/>
      <c r="F206" s="287" t="s">
        <v>217</v>
      </c>
      <c r="G206" s="1736">
        <v>272</v>
      </c>
      <c r="H206" s="1736">
        <v>16</v>
      </c>
      <c r="I206" s="1736">
        <v>248</v>
      </c>
      <c r="J206" s="1736">
        <v>17</v>
      </c>
      <c r="K206" s="1737">
        <v>236</v>
      </c>
      <c r="L206" s="1736">
        <v>18</v>
      </c>
      <c r="M206" s="1736">
        <v>287</v>
      </c>
      <c r="N206" s="1736">
        <v>17</v>
      </c>
      <c r="O206" s="1737">
        <v>177</v>
      </c>
      <c r="P206" s="1737"/>
      <c r="Q206" s="1736">
        <v>22</v>
      </c>
      <c r="R206" s="1736"/>
      <c r="S206" s="1737">
        <v>332</v>
      </c>
      <c r="T206" s="1736">
        <v>24</v>
      </c>
    </row>
    <row r="207" spans="1:20">
      <c r="A207" s="2707">
        <v>64</v>
      </c>
      <c r="B207" s="2716" t="s">
        <v>160</v>
      </c>
      <c r="C207" s="2704">
        <v>170</v>
      </c>
      <c r="D207" s="1719"/>
      <c r="E207" s="287"/>
      <c r="F207" s="287" t="s">
        <v>211</v>
      </c>
      <c r="G207" s="1736">
        <v>153</v>
      </c>
      <c r="H207" s="1736">
        <v>8</v>
      </c>
      <c r="I207" s="1737">
        <v>161</v>
      </c>
      <c r="J207" s="1736">
        <v>17</v>
      </c>
      <c r="K207" s="1736">
        <v>129</v>
      </c>
      <c r="L207" s="1736">
        <v>10</v>
      </c>
      <c r="M207" s="1736">
        <v>114</v>
      </c>
      <c r="N207" s="1736">
        <v>10</v>
      </c>
      <c r="O207" s="1737">
        <v>71</v>
      </c>
      <c r="P207" s="1737"/>
      <c r="Q207" s="1736">
        <v>2</v>
      </c>
      <c r="R207" s="1736"/>
      <c r="S207" s="1736">
        <v>107</v>
      </c>
      <c r="T207" s="1736">
        <v>20</v>
      </c>
    </row>
    <row r="208" spans="1:20">
      <c r="A208" s="2707">
        <v>25</v>
      </c>
      <c r="B208" s="2715" t="s">
        <v>181</v>
      </c>
      <c r="C208" s="2704">
        <v>181</v>
      </c>
      <c r="D208" s="1719"/>
      <c r="E208" s="287"/>
      <c r="F208" s="287" t="s">
        <v>957</v>
      </c>
      <c r="G208" s="1736">
        <v>517</v>
      </c>
      <c r="H208" s="1736">
        <v>373</v>
      </c>
      <c r="I208" s="1737">
        <v>173</v>
      </c>
      <c r="J208" s="1736">
        <v>30</v>
      </c>
      <c r="K208" s="1736">
        <v>150</v>
      </c>
      <c r="L208" s="1736">
        <v>26</v>
      </c>
      <c r="M208" s="1737">
        <v>206</v>
      </c>
      <c r="N208" s="1736">
        <v>45</v>
      </c>
      <c r="O208" s="1736">
        <v>106</v>
      </c>
      <c r="P208" s="1736"/>
      <c r="Q208" s="1736">
        <v>38</v>
      </c>
      <c r="R208" s="1736"/>
      <c r="S208" s="1736">
        <v>131</v>
      </c>
      <c r="T208" s="1736">
        <v>25</v>
      </c>
    </row>
    <row r="209" spans="1:20">
      <c r="A209" s="2707">
        <v>25</v>
      </c>
      <c r="B209" s="2716" t="s">
        <v>160</v>
      </c>
      <c r="C209" s="2704">
        <v>37</v>
      </c>
      <c r="D209" s="1719"/>
      <c r="E209" s="286"/>
      <c r="F209" s="287" t="s">
        <v>166</v>
      </c>
      <c r="G209" s="1737">
        <v>529</v>
      </c>
      <c r="H209" s="1736">
        <v>31</v>
      </c>
      <c r="I209" s="1736">
        <v>241</v>
      </c>
      <c r="J209" s="1736">
        <v>15</v>
      </c>
      <c r="K209" s="1737">
        <v>215</v>
      </c>
      <c r="L209" s="1736">
        <v>13</v>
      </c>
      <c r="M209" s="1737">
        <v>261</v>
      </c>
      <c r="N209" s="1736">
        <v>21</v>
      </c>
      <c r="O209" s="1736">
        <v>152</v>
      </c>
      <c r="P209" s="1736"/>
      <c r="Q209" s="1736">
        <v>13</v>
      </c>
      <c r="R209" s="1736"/>
      <c r="S209" s="1737">
        <v>225</v>
      </c>
      <c r="T209" s="1736">
        <v>15</v>
      </c>
    </row>
    <row r="210" spans="1:20">
      <c r="A210" s="2707">
        <v>58</v>
      </c>
      <c r="B210" s="2715" t="s">
        <v>181</v>
      </c>
      <c r="C210" s="2704">
        <v>341</v>
      </c>
      <c r="D210" s="1719"/>
      <c r="E210" s="287"/>
      <c r="F210" s="287" t="s">
        <v>204</v>
      </c>
      <c r="G210" s="1736">
        <v>680</v>
      </c>
      <c r="H210" s="1736">
        <v>35</v>
      </c>
      <c r="I210" s="1736">
        <v>404</v>
      </c>
      <c r="J210" s="1736">
        <v>16</v>
      </c>
      <c r="K210" s="1737">
        <v>295</v>
      </c>
      <c r="L210" s="1736">
        <v>14</v>
      </c>
      <c r="M210" s="1736">
        <v>317</v>
      </c>
      <c r="N210" s="1736">
        <v>26</v>
      </c>
      <c r="O210" s="1737">
        <v>309</v>
      </c>
      <c r="P210" s="1737"/>
      <c r="Q210" s="1736">
        <v>22</v>
      </c>
      <c r="R210" s="1736"/>
      <c r="S210" s="1737">
        <v>355</v>
      </c>
      <c r="T210" s="1736">
        <v>18</v>
      </c>
    </row>
    <row r="211" spans="1:20">
      <c r="A211" s="2707">
        <v>58</v>
      </c>
      <c r="B211" s="2716" t="s">
        <v>160</v>
      </c>
      <c r="C211" s="2704">
        <v>19</v>
      </c>
      <c r="D211" s="1719"/>
      <c r="E211" s="287"/>
      <c r="F211" s="287" t="s">
        <v>205</v>
      </c>
      <c r="G211" s="1736">
        <v>774</v>
      </c>
      <c r="H211" s="1736">
        <v>63</v>
      </c>
      <c r="I211" s="1737">
        <v>441</v>
      </c>
      <c r="J211" s="1736">
        <v>20</v>
      </c>
      <c r="K211" s="1736">
        <v>295</v>
      </c>
      <c r="L211" s="1736">
        <v>19</v>
      </c>
      <c r="M211" s="1736">
        <v>300</v>
      </c>
      <c r="N211" s="1736">
        <v>26</v>
      </c>
      <c r="O211" s="1737">
        <v>422</v>
      </c>
      <c r="P211" s="1737"/>
      <c r="Q211" s="1736">
        <v>24</v>
      </c>
      <c r="R211" s="1736"/>
      <c r="S211" s="1736">
        <v>489</v>
      </c>
      <c r="T211" s="1736">
        <v>20</v>
      </c>
    </row>
    <row r="212" spans="1:20">
      <c r="A212" s="2707" t="s">
        <v>1367</v>
      </c>
      <c r="B212" s="2715" t="s">
        <v>181</v>
      </c>
      <c r="C212" s="2704">
        <v>209</v>
      </c>
      <c r="D212" s="1719"/>
      <c r="E212" s="287"/>
      <c r="F212" s="287" t="s">
        <v>206</v>
      </c>
      <c r="G212" s="1737">
        <v>751</v>
      </c>
      <c r="H212" s="1736">
        <v>57</v>
      </c>
      <c r="I212" s="1737">
        <v>408</v>
      </c>
      <c r="J212" s="1736">
        <v>25</v>
      </c>
      <c r="K212" s="1736">
        <v>396</v>
      </c>
      <c r="L212" s="1736">
        <v>25</v>
      </c>
      <c r="M212" s="1737">
        <v>358</v>
      </c>
      <c r="N212" s="1736">
        <v>37</v>
      </c>
      <c r="O212" s="1736">
        <v>567</v>
      </c>
      <c r="P212" s="1736"/>
      <c r="Q212" s="1736">
        <v>41</v>
      </c>
      <c r="R212" s="1736"/>
      <c r="S212" s="1736">
        <v>485</v>
      </c>
      <c r="T212" s="1736">
        <v>20</v>
      </c>
    </row>
    <row r="213" spans="1:20">
      <c r="A213" s="2707" t="s">
        <v>1367</v>
      </c>
      <c r="B213" s="2716" t="s">
        <v>160</v>
      </c>
      <c r="C213" s="2704">
        <v>19</v>
      </c>
      <c r="D213" s="1719"/>
      <c r="E213" s="286"/>
      <c r="F213" s="287" t="s">
        <v>207</v>
      </c>
      <c r="G213" s="1737">
        <v>724</v>
      </c>
      <c r="H213" s="1736">
        <v>53</v>
      </c>
      <c r="I213" s="1736">
        <v>391</v>
      </c>
      <c r="J213" s="1736">
        <v>27</v>
      </c>
      <c r="K213" s="1737">
        <v>265</v>
      </c>
      <c r="L213" s="1736">
        <v>30</v>
      </c>
      <c r="M213" s="1737">
        <v>410</v>
      </c>
      <c r="N213" s="1736">
        <v>36</v>
      </c>
      <c r="O213" s="1736">
        <v>531</v>
      </c>
      <c r="P213" s="1736"/>
      <c r="Q213" s="1736">
        <v>36</v>
      </c>
      <c r="R213" s="1736"/>
      <c r="S213" s="1737">
        <v>538</v>
      </c>
      <c r="T213" s="1736">
        <v>21</v>
      </c>
    </row>
    <row r="214" spans="1:20">
      <c r="A214" s="2707" t="s">
        <v>1368</v>
      </c>
      <c r="B214" s="2715" t="s">
        <v>181</v>
      </c>
      <c r="C214" s="2704">
        <v>258</v>
      </c>
      <c r="D214" s="1719"/>
      <c r="E214" s="287"/>
      <c r="F214" s="287" t="s">
        <v>208</v>
      </c>
      <c r="G214" s="1736">
        <v>696</v>
      </c>
      <c r="H214" s="1736">
        <v>31</v>
      </c>
      <c r="I214" s="1736">
        <v>442</v>
      </c>
      <c r="J214" s="1736">
        <v>33</v>
      </c>
      <c r="K214" s="1737">
        <v>418</v>
      </c>
      <c r="L214" s="1736">
        <v>24</v>
      </c>
      <c r="M214" s="1736">
        <v>517</v>
      </c>
      <c r="N214" s="1736">
        <v>126</v>
      </c>
      <c r="O214" s="1737">
        <v>454</v>
      </c>
      <c r="P214" s="1737"/>
      <c r="Q214" s="1736">
        <v>24</v>
      </c>
      <c r="R214" s="1736"/>
      <c r="S214" s="1737">
        <v>521</v>
      </c>
      <c r="T214" s="1736">
        <v>17</v>
      </c>
    </row>
    <row r="215" spans="1:20">
      <c r="A215" s="2707" t="s">
        <v>1368</v>
      </c>
      <c r="B215" s="2716" t="s">
        <v>160</v>
      </c>
      <c r="C215" s="2704">
        <v>28</v>
      </c>
      <c r="D215" s="1719"/>
      <c r="E215" s="287"/>
      <c r="F215" s="287" t="s">
        <v>1374</v>
      </c>
      <c r="G215" s="1736">
        <v>1831</v>
      </c>
      <c r="H215" s="1736">
        <v>16</v>
      </c>
      <c r="I215" s="1737">
        <v>2275</v>
      </c>
      <c r="J215" s="1736">
        <v>82</v>
      </c>
      <c r="K215" s="1736">
        <v>2053</v>
      </c>
      <c r="L215" s="1736">
        <v>34</v>
      </c>
      <c r="M215" s="1736">
        <v>1822</v>
      </c>
      <c r="N215" s="1736">
        <v>28</v>
      </c>
      <c r="O215" s="1737">
        <v>1816</v>
      </c>
      <c r="P215" s="1737"/>
      <c r="Q215" s="1736">
        <v>10</v>
      </c>
      <c r="R215" s="1736"/>
      <c r="S215" s="1736">
        <v>2217</v>
      </c>
      <c r="T215" s="1736">
        <v>11</v>
      </c>
    </row>
    <row r="216" spans="1:20">
      <c r="A216" s="2707">
        <v>26</v>
      </c>
      <c r="B216" s="2715" t="s">
        <v>181</v>
      </c>
      <c r="C216" s="2704">
        <v>751</v>
      </c>
      <c r="D216" s="1719"/>
      <c r="E216" s="287"/>
      <c r="F216" s="287" t="s">
        <v>1372</v>
      </c>
      <c r="G216" s="1737">
        <v>1117</v>
      </c>
      <c r="H216" s="1736">
        <v>94</v>
      </c>
      <c r="I216" s="1737">
        <v>276</v>
      </c>
      <c r="J216" s="1736">
        <v>15</v>
      </c>
      <c r="K216" s="1736">
        <v>208</v>
      </c>
      <c r="L216" s="1736">
        <v>11</v>
      </c>
      <c r="M216" s="1737">
        <v>501</v>
      </c>
      <c r="N216" s="1736">
        <v>35</v>
      </c>
      <c r="O216" s="1736">
        <v>199</v>
      </c>
      <c r="P216" s="1736"/>
      <c r="Q216" s="1736">
        <v>26</v>
      </c>
      <c r="R216" s="1736"/>
      <c r="S216" s="1736">
        <v>510</v>
      </c>
      <c r="T216" s="1736">
        <v>20</v>
      </c>
    </row>
    <row r="217" spans="1:20">
      <c r="A217" s="2707">
        <v>26</v>
      </c>
      <c r="B217" s="2716" t="s">
        <v>160</v>
      </c>
      <c r="C217" s="2704">
        <v>59</v>
      </c>
      <c r="D217" s="1719"/>
      <c r="F217" t="s">
        <v>361</v>
      </c>
      <c r="G217" s="1531">
        <v>574</v>
      </c>
      <c r="H217" s="1531">
        <v>72</v>
      </c>
      <c r="I217" s="1736">
        <v>745</v>
      </c>
      <c r="J217" s="1736">
        <v>52</v>
      </c>
      <c r="K217" s="1737">
        <v>469</v>
      </c>
      <c r="L217" s="1736">
        <v>42</v>
      </c>
      <c r="M217" s="1737">
        <v>677</v>
      </c>
      <c r="N217" s="1736">
        <v>66</v>
      </c>
      <c r="O217" s="1736">
        <v>213</v>
      </c>
      <c r="P217" s="1736"/>
      <c r="Q217" s="1736">
        <v>18</v>
      </c>
      <c r="R217" s="1736"/>
      <c r="S217" s="1737">
        <v>715</v>
      </c>
      <c r="T217" s="1736">
        <v>62</v>
      </c>
    </row>
    <row r="218" spans="1:20">
      <c r="A218" s="2707">
        <v>5</v>
      </c>
      <c r="B218" s="2715" t="s">
        <v>181</v>
      </c>
      <c r="C218" s="2704">
        <v>358</v>
      </c>
      <c r="D218" s="1719"/>
      <c r="E218" s="286"/>
      <c r="F218" s="287" t="s">
        <v>502</v>
      </c>
      <c r="G218" s="1737">
        <v>1188</v>
      </c>
      <c r="H218" s="1736">
        <v>89</v>
      </c>
      <c r="I218" s="1736">
        <v>1387</v>
      </c>
      <c r="J218" s="1736">
        <v>200</v>
      </c>
      <c r="K218" s="1531">
        <v>897</v>
      </c>
      <c r="L218" s="1531">
        <v>139</v>
      </c>
      <c r="M218" s="1736">
        <v>758</v>
      </c>
      <c r="N218" s="1736">
        <v>108</v>
      </c>
      <c r="O218" s="1737">
        <v>2012</v>
      </c>
      <c r="P218" s="1737"/>
      <c r="Q218" s="1736">
        <v>101</v>
      </c>
      <c r="R218" s="1736"/>
      <c r="S218" s="1737">
        <v>3621</v>
      </c>
      <c r="T218" s="1736">
        <v>73</v>
      </c>
    </row>
    <row r="219" spans="1:20">
      <c r="A219" s="2707">
        <v>5</v>
      </c>
      <c r="B219" s="2716" t="s">
        <v>160</v>
      </c>
      <c r="C219" s="2704">
        <v>36</v>
      </c>
      <c r="D219" s="1719"/>
      <c r="E219" s="287"/>
      <c r="F219" s="287" t="s">
        <v>210</v>
      </c>
      <c r="G219" s="1736">
        <v>640</v>
      </c>
      <c r="H219" s="1736">
        <v>32</v>
      </c>
      <c r="I219" s="1737">
        <v>432</v>
      </c>
      <c r="J219" s="1736">
        <v>11</v>
      </c>
      <c r="K219" s="1737">
        <v>369</v>
      </c>
      <c r="L219" s="1736">
        <v>19</v>
      </c>
      <c r="M219" s="1736">
        <v>451</v>
      </c>
      <c r="N219" s="1736">
        <v>31</v>
      </c>
      <c r="O219" s="1531">
        <v>194</v>
      </c>
      <c r="P219" s="1531"/>
      <c r="Q219" s="1531">
        <v>8</v>
      </c>
      <c r="R219" s="1531"/>
      <c r="S219" s="1736">
        <v>329</v>
      </c>
      <c r="T219" s="1736">
        <v>12</v>
      </c>
    </row>
    <row r="220" spans="1:20">
      <c r="A220" s="2707" t="s">
        <v>1369</v>
      </c>
      <c r="B220" s="2715" t="s">
        <v>181</v>
      </c>
      <c r="C220" s="2704">
        <v>600</v>
      </c>
      <c r="D220" s="1719"/>
      <c r="E220" s="287"/>
      <c r="F220" s="287" t="s">
        <v>209</v>
      </c>
      <c r="G220" s="1736">
        <v>448</v>
      </c>
      <c r="H220" s="1736">
        <v>14</v>
      </c>
      <c r="I220" s="1737">
        <v>1133</v>
      </c>
      <c r="J220" s="1736">
        <v>49</v>
      </c>
      <c r="K220" s="1736">
        <v>632</v>
      </c>
      <c r="L220" s="1736">
        <v>27</v>
      </c>
      <c r="M220" s="1737">
        <v>474</v>
      </c>
      <c r="N220" s="1736">
        <v>29</v>
      </c>
      <c r="O220" s="1737">
        <v>397</v>
      </c>
      <c r="P220" s="1737"/>
      <c r="Q220" s="1736">
        <v>30</v>
      </c>
      <c r="R220" s="1736"/>
      <c r="S220" s="1736">
        <v>655</v>
      </c>
      <c r="T220" s="1736">
        <v>22</v>
      </c>
    </row>
    <row r="221" spans="1:20">
      <c r="A221" s="2707" t="s">
        <v>1369</v>
      </c>
      <c r="B221" s="2716" t="s">
        <v>160</v>
      </c>
      <c r="C221" s="2704">
        <v>42</v>
      </c>
      <c r="D221" s="1719"/>
      <c r="E221" s="287"/>
      <c r="F221" s="287"/>
      <c r="G221" s="288"/>
      <c r="H221" s="287"/>
      <c r="I221" s="285"/>
      <c r="J221" s="287"/>
      <c r="K221" s="287"/>
      <c r="L221" s="218"/>
      <c r="M221" s="218"/>
      <c r="N221" s="219"/>
    </row>
    <row r="222" spans="1:20">
      <c r="A222" s="2707" t="s">
        <v>1370</v>
      </c>
      <c r="B222" s="2715" t="s">
        <v>181</v>
      </c>
      <c r="C222" s="2704">
        <v>1465</v>
      </c>
      <c r="D222" s="1719"/>
      <c r="E222" s="286"/>
      <c r="F222" s="287"/>
      <c r="G222" s="288"/>
      <c r="H222" s="287"/>
      <c r="I222" s="285"/>
      <c r="J222" s="287"/>
      <c r="K222" s="205"/>
      <c r="L222" s="218"/>
      <c r="M222" s="218"/>
      <c r="N222" s="219"/>
    </row>
    <row r="223" spans="1:20">
      <c r="A223" s="2707" t="s">
        <v>1370</v>
      </c>
      <c r="B223" s="2716" t="s">
        <v>160</v>
      </c>
      <c r="C223" s="2704">
        <v>147</v>
      </c>
      <c r="D223" s="1719"/>
      <c r="E223" s="287"/>
      <c r="F223" s="287"/>
      <c r="G223" s="287"/>
      <c r="H223" s="287"/>
      <c r="I223" s="285"/>
      <c r="J223" s="287"/>
      <c r="K223" s="287"/>
      <c r="L223" s="218"/>
      <c r="M223" s="218"/>
      <c r="N223" s="219"/>
    </row>
    <row r="224" spans="1:20">
      <c r="A224" s="2707">
        <v>9</v>
      </c>
      <c r="B224" s="2715" t="s">
        <v>181</v>
      </c>
      <c r="C224" s="2704">
        <v>603</v>
      </c>
      <c r="D224" s="1719"/>
      <c r="E224" s="287"/>
      <c r="F224" s="287"/>
      <c r="G224" s="287"/>
      <c r="H224" s="287"/>
      <c r="I224" s="285"/>
      <c r="J224" s="287"/>
      <c r="K224" s="205"/>
      <c r="L224" s="220"/>
      <c r="M224" s="220"/>
      <c r="N224" s="219"/>
    </row>
    <row r="225" spans="1:14">
      <c r="A225" s="2707">
        <v>9</v>
      </c>
      <c r="B225" s="2716" t="s">
        <v>160</v>
      </c>
      <c r="C225" s="2704">
        <v>52</v>
      </c>
      <c r="D225" s="1719"/>
      <c r="E225" s="287"/>
      <c r="F225" s="287"/>
      <c r="G225" s="288"/>
      <c r="H225" s="287"/>
      <c r="I225" s="285"/>
      <c r="J225" s="287"/>
      <c r="K225" s="287"/>
      <c r="L225" s="218"/>
      <c r="M225" s="218"/>
      <c r="N225" s="219"/>
    </row>
    <row r="226" spans="1:14">
      <c r="A226" s="2707">
        <v>12</v>
      </c>
      <c r="B226" s="2715" t="s">
        <v>181</v>
      </c>
      <c r="C226" s="2704">
        <v>582</v>
      </c>
      <c r="D226" s="1719"/>
      <c r="E226" s="286"/>
      <c r="F226" s="287"/>
      <c r="G226" s="288"/>
      <c r="H226" s="287"/>
      <c r="I226" s="285"/>
      <c r="J226" s="287"/>
      <c r="K226" s="205"/>
      <c r="L226" s="218"/>
      <c r="M226" s="218"/>
      <c r="N226" s="219"/>
    </row>
    <row r="227" spans="1:14">
      <c r="A227" s="2707">
        <v>12</v>
      </c>
      <c r="B227" s="2716" t="s">
        <v>160</v>
      </c>
      <c r="C227" s="2704">
        <v>44</v>
      </c>
      <c r="D227" s="1719"/>
      <c r="E227" s="287"/>
      <c r="F227" s="287"/>
      <c r="G227" s="287"/>
      <c r="H227" s="287"/>
      <c r="I227" s="285"/>
      <c r="J227" s="287"/>
      <c r="K227" s="287"/>
      <c r="L227" s="218"/>
      <c r="M227" s="218"/>
      <c r="N227" s="219"/>
    </row>
    <row r="228" spans="1:14">
      <c r="A228" s="2707" t="s">
        <v>1371</v>
      </c>
      <c r="B228" s="2715" t="s">
        <v>181</v>
      </c>
      <c r="C228" s="2704">
        <v>647</v>
      </c>
      <c r="D228" s="1719"/>
      <c r="E228" s="287"/>
      <c r="F228" s="287"/>
      <c r="G228" s="287"/>
      <c r="H228" s="287"/>
      <c r="I228" s="285"/>
      <c r="J228" s="287"/>
      <c r="K228" s="205"/>
      <c r="L228" s="220"/>
      <c r="M228" s="220"/>
      <c r="N228" s="219"/>
    </row>
    <row r="229" spans="1:14">
      <c r="A229" s="2707" t="s">
        <v>1371</v>
      </c>
      <c r="B229" s="2716" t="s">
        <v>160</v>
      </c>
      <c r="C229" s="2704">
        <v>47</v>
      </c>
      <c r="D229" s="1719"/>
      <c r="E229" s="287"/>
      <c r="F229" s="287"/>
      <c r="G229" s="288"/>
      <c r="H229" s="287"/>
      <c r="I229" s="285"/>
      <c r="J229" s="287"/>
      <c r="K229" s="287"/>
      <c r="L229" s="218"/>
      <c r="M229" s="218"/>
      <c r="N229" s="219"/>
    </row>
    <row r="230" spans="1:14">
      <c r="A230" s="2707">
        <v>18</v>
      </c>
      <c r="B230" s="2715" t="s">
        <v>181</v>
      </c>
      <c r="C230" s="2704">
        <v>537</v>
      </c>
      <c r="D230" s="1719"/>
      <c r="E230" s="286"/>
      <c r="F230" s="287"/>
      <c r="G230" s="288"/>
      <c r="H230" s="287"/>
      <c r="I230" s="285"/>
      <c r="J230" s="287"/>
      <c r="K230" s="205"/>
      <c r="L230" s="218"/>
      <c r="M230" s="218"/>
      <c r="N230" s="219"/>
    </row>
    <row r="231" spans="1:14">
      <c r="A231" s="2707">
        <v>18</v>
      </c>
      <c r="B231" s="2716" t="s">
        <v>160</v>
      </c>
      <c r="C231" s="2704">
        <v>38</v>
      </c>
      <c r="D231" s="1719"/>
      <c r="E231" s="287"/>
      <c r="F231" s="287"/>
      <c r="G231" s="287"/>
      <c r="H231" s="287"/>
      <c r="I231" s="285"/>
      <c r="J231" s="287"/>
      <c r="K231" s="287"/>
      <c r="L231" s="218"/>
      <c r="M231" s="218"/>
      <c r="N231" s="219"/>
    </row>
    <row r="232" spans="1:14">
      <c r="A232" s="2707">
        <v>19</v>
      </c>
      <c r="B232" s="2715" t="s">
        <v>181</v>
      </c>
      <c r="C232" s="2704">
        <v>564</v>
      </c>
      <c r="D232" s="1719"/>
      <c r="E232" s="287"/>
      <c r="F232" s="287"/>
      <c r="G232" s="287"/>
      <c r="H232" s="287"/>
      <c r="I232" s="285"/>
      <c r="J232" s="287"/>
      <c r="K232" s="205"/>
      <c r="L232" s="220"/>
      <c r="M232" s="220"/>
      <c r="N232" s="219"/>
    </row>
    <row r="233" spans="1:14">
      <c r="A233" s="2707">
        <v>19</v>
      </c>
      <c r="B233" s="2716" t="s">
        <v>160</v>
      </c>
      <c r="C233" s="2704">
        <v>30</v>
      </c>
      <c r="D233" s="1719"/>
      <c r="E233" s="287"/>
      <c r="F233" s="287"/>
      <c r="G233" s="288"/>
      <c r="H233" s="287"/>
      <c r="I233" s="285"/>
      <c r="J233" s="287"/>
      <c r="K233" s="287"/>
      <c r="L233" s="218"/>
      <c r="M233" s="218"/>
      <c r="N233" s="219"/>
    </row>
    <row r="234" spans="1:14">
      <c r="A234" s="1722"/>
      <c r="B234" s="1721"/>
      <c r="C234" s="1726"/>
      <c r="D234" s="1719"/>
      <c r="E234" s="286"/>
      <c r="F234" s="287"/>
      <c r="G234" s="288"/>
      <c r="H234" s="287"/>
      <c r="I234" s="285"/>
      <c r="J234" s="287"/>
      <c r="K234" s="205"/>
      <c r="L234" s="218"/>
      <c r="M234" s="218"/>
      <c r="N234" s="219"/>
    </row>
    <row r="235" spans="1:14">
      <c r="A235" s="1722"/>
      <c r="B235" s="1721"/>
      <c r="C235" s="1717"/>
      <c r="D235" s="1719"/>
      <c r="E235" s="287"/>
      <c r="F235" s="287"/>
      <c r="G235" s="287"/>
      <c r="H235" s="287"/>
      <c r="I235" s="285"/>
      <c r="J235" s="287"/>
      <c r="K235" s="287"/>
      <c r="L235" s="218"/>
      <c r="M235" s="218"/>
      <c r="N235" s="219"/>
    </row>
    <row r="236" spans="1:14" s="358" customFormat="1">
      <c r="A236" s="1722"/>
      <c r="B236" s="1721"/>
      <c r="C236" s="1726"/>
      <c r="D236" s="1719"/>
      <c r="E236" s="287"/>
      <c r="F236" s="287"/>
      <c r="G236" s="287"/>
      <c r="H236" s="287"/>
      <c r="I236" s="285"/>
      <c r="J236" s="287"/>
      <c r="K236" s="205"/>
      <c r="L236" s="220"/>
      <c r="M236" s="220"/>
      <c r="N236" s="219"/>
    </row>
    <row r="237" spans="1:14">
      <c r="A237" s="1722"/>
      <c r="B237" s="1721"/>
      <c r="C237" s="1717"/>
      <c r="D237" s="1719"/>
      <c r="E237" s="287"/>
      <c r="F237" s="2713">
        <v>42908</v>
      </c>
      <c r="G237" s="288" t="s">
        <v>28</v>
      </c>
      <c r="H237" s="287" t="s">
        <v>27</v>
      </c>
      <c r="I237" s="285"/>
      <c r="J237" s="287"/>
      <c r="K237" s="287"/>
      <c r="L237" s="218"/>
      <c r="M237" s="218"/>
      <c r="N237" s="219"/>
    </row>
    <row r="238" spans="1:14">
      <c r="A238" s="1722"/>
      <c r="B238" s="1721"/>
      <c r="C238" s="1726"/>
      <c r="D238" s="1719"/>
      <c r="E238" s="286"/>
      <c r="F238" s="1717" t="s">
        <v>292</v>
      </c>
      <c r="G238" s="1737">
        <v>269</v>
      </c>
      <c r="H238" s="1736">
        <v>9</v>
      </c>
      <c r="I238" s="285"/>
      <c r="J238" s="287"/>
      <c r="K238" s="205"/>
      <c r="L238" s="218"/>
      <c r="M238" s="218"/>
      <c r="N238" s="219"/>
    </row>
    <row r="239" spans="1:14">
      <c r="A239" s="1722"/>
      <c r="B239" s="1721"/>
      <c r="C239" s="1717"/>
      <c r="D239" s="1719"/>
      <c r="E239" s="287"/>
      <c r="F239" s="1717" t="s">
        <v>291</v>
      </c>
      <c r="G239" s="1736">
        <v>249</v>
      </c>
      <c r="H239" s="1736">
        <v>14</v>
      </c>
      <c r="I239" s="285"/>
      <c r="J239" s="287"/>
      <c r="K239" s="205"/>
      <c r="L239" s="218"/>
      <c r="M239" s="218"/>
      <c r="N239" s="219"/>
    </row>
    <row r="240" spans="1:14">
      <c r="A240" s="1722"/>
      <c r="B240" s="1721"/>
      <c r="C240" s="1726"/>
      <c r="D240" s="1719"/>
      <c r="E240" s="287"/>
      <c r="F240" s="287" t="s">
        <v>217</v>
      </c>
      <c r="G240" s="1736">
        <v>248</v>
      </c>
      <c r="H240" s="1736">
        <v>17</v>
      </c>
      <c r="I240" s="285"/>
      <c r="J240" s="287"/>
      <c r="K240" s="287"/>
      <c r="L240" s="220"/>
      <c r="M240" s="220"/>
      <c r="N240" s="219"/>
    </row>
    <row r="241" spans="1:14">
      <c r="A241" s="1722"/>
      <c r="B241" s="1721"/>
      <c r="C241" s="1717"/>
      <c r="D241" s="1719"/>
      <c r="E241" s="287"/>
      <c r="F241" s="287" t="s">
        <v>211</v>
      </c>
      <c r="G241" s="1737">
        <v>161</v>
      </c>
      <c r="H241" s="1736">
        <v>17</v>
      </c>
      <c r="I241" s="285"/>
      <c r="J241" s="287"/>
      <c r="K241" s="287"/>
      <c r="L241" s="218"/>
      <c r="M241" s="218"/>
      <c r="N241" s="219"/>
    </row>
    <row r="242" spans="1:14">
      <c r="A242" s="1722"/>
      <c r="B242" s="1721"/>
      <c r="C242" s="1726"/>
      <c r="D242" s="1719"/>
      <c r="E242" s="286"/>
      <c r="F242" s="287" t="s">
        <v>957</v>
      </c>
      <c r="G242" s="1737">
        <v>173</v>
      </c>
      <c r="H242" s="1736">
        <v>30</v>
      </c>
      <c r="I242" s="285"/>
      <c r="J242" s="287"/>
      <c r="K242" s="205"/>
      <c r="L242" s="218"/>
      <c r="M242" s="218"/>
      <c r="N242" s="219"/>
    </row>
    <row r="243" spans="1:14">
      <c r="A243" s="1722"/>
      <c r="B243" s="1721"/>
      <c r="C243" s="1717"/>
      <c r="D243" s="1719"/>
      <c r="E243" s="287"/>
      <c r="F243" s="287" t="s">
        <v>166</v>
      </c>
      <c r="G243" s="1736">
        <v>241</v>
      </c>
      <c r="H243" s="1736">
        <v>15</v>
      </c>
      <c r="I243" s="285"/>
      <c r="J243" s="287"/>
      <c r="K243" s="287"/>
      <c r="L243" s="218"/>
      <c r="M243" s="218"/>
      <c r="N243" s="219"/>
    </row>
    <row r="244" spans="1:14">
      <c r="A244" s="1722"/>
      <c r="B244" s="1721"/>
      <c r="C244" s="1726"/>
      <c r="D244" s="1719"/>
      <c r="E244" s="287"/>
      <c r="F244" s="287" t="s">
        <v>204</v>
      </c>
      <c r="G244" s="1736">
        <v>404</v>
      </c>
      <c r="H244" s="1736">
        <v>16</v>
      </c>
      <c r="I244" s="285"/>
      <c r="J244" s="287"/>
      <c r="K244" s="205"/>
      <c r="L244" s="220"/>
      <c r="M244" s="220"/>
      <c r="N244" s="219"/>
    </row>
    <row r="245" spans="1:14">
      <c r="A245" s="1722"/>
      <c r="B245" s="1721"/>
      <c r="C245" s="1717"/>
      <c r="D245" s="1719"/>
      <c r="E245" s="287"/>
      <c r="F245" s="287" t="s">
        <v>205</v>
      </c>
      <c r="G245" s="1737">
        <v>441</v>
      </c>
      <c r="H245" s="1736">
        <v>20</v>
      </c>
      <c r="I245" s="285"/>
      <c r="J245" s="287"/>
      <c r="K245" s="287"/>
      <c r="L245" s="218"/>
      <c r="M245" s="218"/>
      <c r="N245" s="219"/>
    </row>
    <row r="246" spans="1:14">
      <c r="A246" s="1722"/>
      <c r="B246" s="1721"/>
      <c r="C246" s="1726"/>
      <c r="D246" s="1719"/>
      <c r="E246" s="286"/>
      <c r="F246" s="287" t="s">
        <v>206</v>
      </c>
      <c r="G246" s="1737">
        <v>408</v>
      </c>
      <c r="H246" s="1736">
        <v>25</v>
      </c>
      <c r="I246" s="285"/>
      <c r="J246" s="287"/>
      <c r="K246" s="205"/>
      <c r="L246" s="218"/>
      <c r="M246" s="218"/>
      <c r="N246" s="219"/>
    </row>
    <row r="247" spans="1:14">
      <c r="A247" s="1722"/>
      <c r="B247" s="1721"/>
      <c r="C247" s="1717"/>
      <c r="D247" s="1719"/>
      <c r="E247" s="287"/>
      <c r="F247" s="287" t="s">
        <v>207</v>
      </c>
      <c r="G247" s="1736">
        <v>391</v>
      </c>
      <c r="H247" s="1736">
        <v>27</v>
      </c>
      <c r="I247" s="285"/>
      <c r="J247" s="287"/>
      <c r="K247" s="287"/>
      <c r="L247" s="218"/>
      <c r="M247" s="218"/>
      <c r="N247" s="219"/>
    </row>
    <row r="248" spans="1:14">
      <c r="A248" s="1722"/>
      <c r="B248" s="1721"/>
      <c r="C248" s="1726"/>
      <c r="D248" s="1719"/>
      <c r="E248" s="287"/>
      <c r="F248" s="287" t="s">
        <v>208</v>
      </c>
      <c r="G248" s="1736">
        <v>442</v>
      </c>
      <c r="H248" s="1736">
        <v>33</v>
      </c>
      <c r="I248" s="285"/>
      <c r="J248" s="287"/>
      <c r="K248" s="205"/>
      <c r="L248" s="220"/>
      <c r="M248" s="220"/>
      <c r="N248" s="219"/>
    </row>
    <row r="249" spans="1:14">
      <c r="A249" s="1722"/>
      <c r="B249" s="1721"/>
      <c r="C249" s="1717"/>
      <c r="D249" s="1719"/>
      <c r="E249" s="287"/>
      <c r="F249" s="287" t="s">
        <v>1374</v>
      </c>
      <c r="G249" s="1737">
        <v>2275</v>
      </c>
      <c r="H249" s="1736">
        <v>82</v>
      </c>
      <c r="I249" s="285"/>
      <c r="J249" s="287"/>
      <c r="K249" s="287"/>
      <c r="L249" s="218"/>
      <c r="M249" s="218"/>
      <c r="N249" s="219"/>
    </row>
    <row r="250" spans="1:14">
      <c r="A250" s="1722"/>
      <c r="B250" s="1721"/>
      <c r="C250" s="1726"/>
      <c r="D250" s="1719"/>
      <c r="E250" s="286"/>
      <c r="F250" s="287" t="s">
        <v>1372</v>
      </c>
      <c r="G250" s="1737">
        <v>276</v>
      </c>
      <c r="H250" s="1736">
        <v>15</v>
      </c>
      <c r="I250" s="285"/>
      <c r="J250" s="287"/>
      <c r="K250" s="205"/>
      <c r="L250" s="218"/>
      <c r="M250" s="218"/>
      <c r="N250" s="219"/>
    </row>
    <row r="251" spans="1:14">
      <c r="A251" s="1722"/>
      <c r="B251" s="1721"/>
      <c r="C251" s="1717"/>
      <c r="D251" s="1719"/>
      <c r="E251" s="287"/>
      <c r="F251" s="358" t="s">
        <v>361</v>
      </c>
      <c r="G251" s="1736">
        <v>745</v>
      </c>
      <c r="H251" s="1736">
        <v>52</v>
      </c>
      <c r="I251" s="285"/>
      <c r="J251" s="287"/>
      <c r="K251" s="287"/>
      <c r="L251" s="218"/>
      <c r="M251" s="218"/>
      <c r="N251" s="219"/>
    </row>
    <row r="252" spans="1:14">
      <c r="A252" s="1722"/>
      <c r="B252" s="1721"/>
      <c r="C252" s="1726"/>
      <c r="D252" s="1719"/>
      <c r="E252" s="287"/>
      <c r="F252" s="287" t="s">
        <v>502</v>
      </c>
      <c r="G252" s="1736">
        <v>1387</v>
      </c>
      <c r="H252" s="1736">
        <v>200</v>
      </c>
      <c r="I252" s="285"/>
      <c r="J252" s="287"/>
      <c r="K252" s="205"/>
      <c r="L252" s="220"/>
      <c r="M252" s="220"/>
      <c r="N252" s="219"/>
    </row>
    <row r="253" spans="1:14">
      <c r="A253" s="1722"/>
      <c r="B253" s="1721"/>
      <c r="C253" s="1717"/>
      <c r="D253" s="1719"/>
      <c r="E253" s="287"/>
      <c r="F253" s="287" t="s">
        <v>210</v>
      </c>
      <c r="G253" s="1737">
        <v>432</v>
      </c>
      <c r="H253" s="1736">
        <v>11</v>
      </c>
      <c r="I253" s="285"/>
      <c r="J253" s="287"/>
      <c r="K253" s="287"/>
      <c r="L253" s="218"/>
      <c r="M253" s="218"/>
      <c r="N253" s="219"/>
    </row>
    <row r="254" spans="1:14">
      <c r="A254" s="1722"/>
      <c r="B254" s="1721"/>
      <c r="C254" s="1726"/>
      <c r="D254" s="1719"/>
      <c r="E254" s="286"/>
      <c r="F254" s="287" t="s">
        <v>209</v>
      </c>
      <c r="G254" s="1737">
        <v>1133</v>
      </c>
      <c r="H254" s="1736">
        <v>49</v>
      </c>
      <c r="I254" s="285"/>
      <c r="J254" s="287"/>
      <c r="K254" s="205"/>
      <c r="L254" s="218"/>
      <c r="M254" s="218"/>
      <c r="N254" s="219"/>
    </row>
    <row r="255" spans="1:14">
      <c r="A255" s="1722"/>
      <c r="B255" s="1721"/>
      <c r="C255" s="1717"/>
      <c r="D255" s="1719"/>
      <c r="E255" s="287"/>
      <c r="F255" s="287"/>
      <c r="G255" s="287"/>
      <c r="H255" s="287"/>
      <c r="I255" s="285"/>
      <c r="J255" s="287"/>
      <c r="K255" s="287"/>
      <c r="L255" s="218"/>
      <c r="M255" s="218"/>
      <c r="N255" s="219"/>
    </row>
    <row r="256" spans="1:14">
      <c r="A256" s="1722"/>
      <c r="B256" s="1721"/>
      <c r="C256" s="1726"/>
      <c r="D256" s="1719"/>
      <c r="E256" s="287"/>
      <c r="F256" s="287"/>
      <c r="G256" s="287"/>
      <c r="H256" s="287"/>
      <c r="I256" s="285"/>
      <c r="J256" s="287"/>
      <c r="K256" s="205"/>
      <c r="L256" s="220"/>
      <c r="M256" s="220"/>
      <c r="N256" s="219"/>
    </row>
    <row r="257" spans="1:14">
      <c r="A257" s="1722"/>
      <c r="B257" s="1721"/>
      <c r="C257" s="1717"/>
      <c r="D257" s="1719"/>
      <c r="E257" s="287"/>
      <c r="F257" s="287"/>
      <c r="G257" s="288"/>
      <c r="H257" s="287"/>
      <c r="I257" s="285"/>
      <c r="J257" s="287"/>
      <c r="K257" s="287"/>
      <c r="L257" s="218"/>
      <c r="M257" s="218"/>
      <c r="N257" s="219"/>
    </row>
    <row r="258" spans="1:14">
      <c r="A258" s="1722"/>
      <c r="B258" s="1721"/>
      <c r="C258" s="1726"/>
      <c r="D258" s="1719"/>
      <c r="E258" s="286"/>
      <c r="F258" s="287"/>
      <c r="G258" s="288"/>
      <c r="H258" s="287"/>
      <c r="I258" s="285"/>
      <c r="J258" s="287"/>
      <c r="K258" s="205"/>
      <c r="L258" s="218"/>
      <c r="M258" s="218"/>
      <c r="N258" s="219"/>
    </row>
    <row r="259" spans="1:14">
      <c r="A259" s="1722"/>
      <c r="B259" s="1721"/>
      <c r="C259" s="1717"/>
      <c r="D259" s="1719"/>
      <c r="E259" s="287"/>
      <c r="F259" s="287"/>
      <c r="G259" s="287"/>
      <c r="H259" s="287"/>
      <c r="I259" s="285"/>
      <c r="J259" s="287"/>
      <c r="K259" s="287"/>
      <c r="L259" s="218"/>
      <c r="M259" s="218"/>
      <c r="N259" s="219"/>
    </row>
    <row r="260" spans="1:14">
      <c r="A260" s="1722"/>
      <c r="B260" s="1721"/>
      <c r="C260" s="1726"/>
      <c r="D260" s="1719"/>
      <c r="E260" s="287"/>
      <c r="F260" s="287"/>
      <c r="G260" s="287"/>
      <c r="H260" s="287"/>
      <c r="I260" s="285"/>
      <c r="J260" s="287"/>
      <c r="K260" s="205"/>
      <c r="L260" s="220"/>
      <c r="M260" s="220"/>
      <c r="N260" s="219"/>
    </row>
    <row r="261" spans="1:14">
      <c r="A261" s="1722"/>
      <c r="B261" s="1721"/>
      <c r="C261" s="1717"/>
      <c r="D261" s="1719"/>
      <c r="E261" s="287"/>
      <c r="F261" s="287"/>
      <c r="G261" s="288"/>
      <c r="H261" s="287"/>
      <c r="I261" s="285"/>
      <c r="J261" s="287"/>
      <c r="K261" s="287"/>
      <c r="L261" s="218"/>
      <c r="M261" s="218"/>
      <c r="N261" s="219"/>
    </row>
    <row r="262" spans="1:14">
      <c r="A262" s="1722"/>
      <c r="B262" s="1721"/>
      <c r="C262" s="1726"/>
      <c r="D262" s="1719"/>
      <c r="E262" s="286"/>
      <c r="F262" s="287"/>
      <c r="G262" s="288"/>
      <c r="H262" s="287"/>
      <c r="I262" s="285"/>
      <c r="J262" s="287"/>
      <c r="K262" s="205"/>
      <c r="L262" s="218"/>
      <c r="M262" s="218"/>
      <c r="N262" s="219"/>
    </row>
    <row r="263" spans="1:14">
      <c r="A263" s="1722"/>
      <c r="B263" s="1721"/>
      <c r="C263" s="1717"/>
      <c r="D263" s="1719"/>
      <c r="E263" s="287"/>
      <c r="F263" s="287"/>
      <c r="G263" s="287"/>
      <c r="H263" s="287"/>
      <c r="I263" s="285"/>
      <c r="J263" s="287"/>
      <c r="K263" s="287"/>
      <c r="L263" s="218"/>
      <c r="M263" s="218"/>
      <c r="N263" s="219"/>
    </row>
    <row r="264" spans="1:14">
      <c r="A264" s="1722"/>
      <c r="B264" s="1721"/>
      <c r="C264" s="1726"/>
      <c r="D264" s="1719"/>
      <c r="E264" s="287"/>
      <c r="F264" s="287"/>
      <c r="G264" s="287"/>
      <c r="H264" s="287"/>
      <c r="I264" s="285"/>
      <c r="J264" s="287"/>
      <c r="K264" s="205"/>
      <c r="L264" s="220"/>
      <c r="M264" s="220"/>
      <c r="N264" s="219"/>
    </row>
    <row r="265" spans="1:14">
      <c r="A265" s="1722"/>
      <c r="B265" s="1721"/>
      <c r="C265" s="1717"/>
      <c r="D265" s="1719"/>
      <c r="E265" s="287"/>
      <c r="F265" s="287"/>
      <c r="G265" s="288"/>
      <c r="H265" s="287"/>
      <c r="I265" s="285"/>
      <c r="J265" s="287"/>
      <c r="K265" s="287"/>
      <c r="L265" s="218"/>
      <c r="M265" s="218"/>
      <c r="N265" s="219"/>
    </row>
    <row r="266" spans="1:14">
      <c r="A266" s="1722"/>
      <c r="B266" s="1721"/>
      <c r="C266" s="1726"/>
      <c r="D266" s="1719"/>
      <c r="E266" s="286"/>
      <c r="F266" s="287"/>
      <c r="G266" s="288"/>
      <c r="H266" s="287"/>
      <c r="I266" s="285"/>
      <c r="J266" s="287"/>
      <c r="K266" s="205"/>
      <c r="L266" s="218"/>
      <c r="M266" s="218"/>
      <c r="N266" s="219"/>
    </row>
    <row r="267" spans="1:14">
      <c r="A267" s="1722"/>
      <c r="B267" s="1721"/>
      <c r="C267" s="1717"/>
      <c r="D267" s="1719"/>
      <c r="E267" s="287"/>
      <c r="F267" s="287"/>
      <c r="G267" s="287"/>
      <c r="H267" s="287"/>
      <c r="I267" s="285"/>
      <c r="J267" s="287"/>
      <c r="K267" s="287"/>
      <c r="L267" s="218"/>
      <c r="M267" s="218"/>
      <c r="N267" s="219"/>
    </row>
    <row r="268" spans="1:14">
      <c r="A268" s="1722"/>
      <c r="B268" s="1721"/>
      <c r="C268" s="1726"/>
      <c r="D268" s="1719"/>
      <c r="E268" s="287"/>
      <c r="F268" s="287"/>
      <c r="G268" s="287"/>
      <c r="H268" s="287"/>
      <c r="I268" s="285"/>
      <c r="J268" s="287"/>
      <c r="K268" s="205"/>
      <c r="L268" s="220"/>
      <c r="M268" s="220"/>
      <c r="N268" s="219"/>
    </row>
    <row r="269" spans="1:14">
      <c r="A269" s="1722"/>
      <c r="B269" s="1721"/>
      <c r="C269" s="1717"/>
      <c r="D269" s="1719"/>
      <c r="E269" s="287"/>
      <c r="F269" s="287"/>
      <c r="G269" s="288"/>
      <c r="H269" s="287"/>
      <c r="I269" s="285"/>
      <c r="J269" s="287"/>
      <c r="K269" s="287"/>
      <c r="L269" s="218"/>
      <c r="M269" s="218"/>
      <c r="N269" s="219"/>
    </row>
    <row r="270" spans="1:14">
      <c r="A270" s="1722"/>
      <c r="B270" s="1721"/>
      <c r="C270" s="1726"/>
      <c r="D270" s="1719"/>
      <c r="E270" s="286"/>
      <c r="F270" s="287"/>
      <c r="G270" s="288"/>
      <c r="H270" s="287"/>
      <c r="I270" s="285"/>
      <c r="J270" s="287"/>
      <c r="K270" s="205"/>
      <c r="L270" s="218"/>
      <c r="M270" s="218"/>
      <c r="N270" s="219"/>
    </row>
    <row r="271" spans="1:14">
      <c r="A271" s="1722"/>
      <c r="B271" s="1721"/>
      <c r="C271" s="1717"/>
      <c r="D271" s="1719"/>
      <c r="E271" s="287"/>
      <c r="F271" s="287"/>
      <c r="G271" s="287"/>
      <c r="H271" s="287"/>
      <c r="I271" s="285"/>
      <c r="J271" s="287"/>
      <c r="K271" s="287"/>
      <c r="L271" s="218"/>
      <c r="M271" s="218"/>
      <c r="N271" s="219"/>
    </row>
    <row r="272" spans="1:14">
      <c r="A272" s="1722"/>
      <c r="B272" s="1721"/>
      <c r="C272" s="1726"/>
      <c r="D272" s="1719"/>
      <c r="E272" s="287"/>
      <c r="F272" s="1717" t="s">
        <v>292</v>
      </c>
      <c r="G272" s="1736">
        <v>236</v>
      </c>
      <c r="H272" s="1736">
        <v>6</v>
      </c>
      <c r="I272" s="285"/>
      <c r="J272" s="287"/>
      <c r="K272" s="205"/>
      <c r="L272" s="220"/>
      <c r="M272" s="220"/>
      <c r="N272" s="219"/>
    </row>
    <row r="273" spans="1:14">
      <c r="A273" s="1722"/>
      <c r="B273" s="1721"/>
      <c r="C273" s="1717"/>
      <c r="D273" s="1719"/>
      <c r="E273" s="287"/>
      <c r="F273" s="1717" t="s">
        <v>291</v>
      </c>
      <c r="G273" s="1737">
        <v>228</v>
      </c>
      <c r="H273" s="1736">
        <v>12</v>
      </c>
      <c r="I273" s="285"/>
      <c r="J273" s="287"/>
      <c r="K273" s="287"/>
      <c r="L273" s="218"/>
      <c r="M273" s="218"/>
      <c r="N273" s="219"/>
    </row>
    <row r="274" spans="1:14">
      <c r="A274" s="1722"/>
      <c r="B274" s="1721"/>
      <c r="C274" s="1726"/>
      <c r="D274" s="1719"/>
      <c r="E274" s="286"/>
      <c r="F274" s="287" t="s">
        <v>217</v>
      </c>
      <c r="G274" s="1737">
        <v>236</v>
      </c>
      <c r="H274" s="1736">
        <v>18</v>
      </c>
      <c r="I274" s="285"/>
      <c r="J274" s="287"/>
      <c r="K274" s="205"/>
      <c r="L274" s="218"/>
      <c r="M274" s="218"/>
      <c r="N274" s="219"/>
    </row>
    <row r="275" spans="1:14">
      <c r="A275" s="1722"/>
      <c r="B275" s="1721"/>
      <c r="C275" s="1717"/>
      <c r="D275" s="1719"/>
      <c r="E275" s="287"/>
      <c r="F275" s="287" t="s">
        <v>211</v>
      </c>
      <c r="G275" s="1736">
        <v>129</v>
      </c>
      <c r="H275" s="1736">
        <v>10</v>
      </c>
      <c r="I275" s="285"/>
      <c r="J275" s="287"/>
      <c r="K275" s="287"/>
      <c r="L275" s="218"/>
      <c r="M275" s="218"/>
      <c r="N275" s="219"/>
    </row>
    <row r="276" spans="1:14">
      <c r="A276" s="1722"/>
      <c r="B276" s="1721"/>
      <c r="C276" s="1726"/>
      <c r="D276" s="1719"/>
      <c r="E276" s="287"/>
      <c r="F276" s="287" t="s">
        <v>957</v>
      </c>
      <c r="G276" s="1736">
        <v>150</v>
      </c>
      <c r="H276" s="1736">
        <v>26</v>
      </c>
      <c r="I276" s="285"/>
      <c r="J276" s="287"/>
      <c r="K276" s="287"/>
      <c r="L276" s="220"/>
      <c r="M276" s="220"/>
      <c r="N276" s="219"/>
    </row>
    <row r="277" spans="1:14">
      <c r="A277" s="1722"/>
      <c r="B277" s="1721"/>
      <c r="C277" s="1717"/>
      <c r="D277" s="1719"/>
      <c r="E277" s="287"/>
      <c r="F277" s="287" t="s">
        <v>166</v>
      </c>
      <c r="G277" s="1737">
        <v>215</v>
      </c>
      <c r="H277" s="1736">
        <v>13</v>
      </c>
      <c r="I277" s="285"/>
      <c r="J277" s="287"/>
      <c r="K277" s="287"/>
      <c r="L277" s="218"/>
      <c r="M277" s="218"/>
      <c r="N277" s="219"/>
    </row>
    <row r="278" spans="1:14">
      <c r="A278" s="1722"/>
      <c r="B278" s="1721"/>
      <c r="C278" s="1726"/>
      <c r="D278" s="1719"/>
      <c r="E278" s="286"/>
      <c r="F278" s="287" t="s">
        <v>204</v>
      </c>
      <c r="G278" s="1737">
        <v>295</v>
      </c>
      <c r="H278" s="1736">
        <v>14</v>
      </c>
      <c r="I278" s="285"/>
      <c r="J278" s="287"/>
      <c r="K278" s="205"/>
      <c r="L278" s="218"/>
      <c r="M278" s="218"/>
      <c r="N278" s="219"/>
    </row>
    <row r="279" spans="1:14">
      <c r="A279" s="1722"/>
      <c r="B279" s="1721"/>
      <c r="C279" s="1717"/>
      <c r="D279" s="1719"/>
      <c r="E279" s="287"/>
      <c r="F279" s="287" t="s">
        <v>205</v>
      </c>
      <c r="G279" s="1736">
        <v>295</v>
      </c>
      <c r="H279" s="1736">
        <v>19</v>
      </c>
      <c r="I279" s="285"/>
      <c r="J279" s="287"/>
      <c r="K279" s="287"/>
      <c r="L279" s="218"/>
      <c r="M279" s="218"/>
      <c r="N279" s="219"/>
    </row>
    <row r="280" spans="1:14">
      <c r="A280" s="1722"/>
      <c r="B280" s="1721"/>
      <c r="C280" s="1726"/>
      <c r="D280" s="1719"/>
      <c r="E280" s="287"/>
      <c r="F280" s="287" t="s">
        <v>206</v>
      </c>
      <c r="G280" s="1736">
        <v>396</v>
      </c>
      <c r="H280" s="1736">
        <v>25</v>
      </c>
      <c r="I280" s="285"/>
      <c r="J280" s="287"/>
      <c r="K280" s="205"/>
      <c r="L280" s="220"/>
      <c r="M280" s="220"/>
      <c r="N280" s="219"/>
    </row>
    <row r="281" spans="1:14">
      <c r="A281" s="1722"/>
      <c r="B281" s="1721"/>
      <c r="C281" s="1717"/>
      <c r="D281" s="1719"/>
      <c r="E281" s="287"/>
      <c r="F281" s="287" t="s">
        <v>207</v>
      </c>
      <c r="G281" s="1737">
        <v>265</v>
      </c>
      <c r="H281" s="1736">
        <v>30</v>
      </c>
      <c r="I281" s="285"/>
      <c r="J281" s="287"/>
      <c r="K281" s="287"/>
      <c r="L281" s="218"/>
      <c r="M281" s="218"/>
      <c r="N281" s="219"/>
    </row>
    <row r="282" spans="1:14">
      <c r="A282" s="1722"/>
      <c r="B282" s="1721"/>
      <c r="C282" s="1726"/>
      <c r="D282" s="1719"/>
      <c r="E282" s="286"/>
      <c r="F282" s="287" t="s">
        <v>208</v>
      </c>
      <c r="G282" s="1737">
        <v>418</v>
      </c>
      <c r="H282" s="1736">
        <v>24</v>
      </c>
      <c r="I282" s="285"/>
      <c r="J282" s="287"/>
      <c r="K282" s="205"/>
      <c r="L282" s="218"/>
      <c r="M282" s="218"/>
      <c r="N282" s="219"/>
    </row>
    <row r="283" spans="1:14">
      <c r="A283" s="1722"/>
      <c r="B283" s="1721"/>
      <c r="C283" s="1717"/>
      <c r="D283" s="1719"/>
      <c r="E283" s="287"/>
      <c r="F283" s="287" t="s">
        <v>1374</v>
      </c>
      <c r="G283" s="1736">
        <v>2053</v>
      </c>
      <c r="H283" s="1736">
        <v>34</v>
      </c>
      <c r="I283" s="285"/>
      <c r="J283" s="287"/>
      <c r="K283" s="287"/>
      <c r="L283" s="218"/>
      <c r="M283" s="218"/>
      <c r="N283" s="219"/>
    </row>
    <row r="284" spans="1:14">
      <c r="A284" s="1722"/>
      <c r="B284" s="1721"/>
      <c r="C284" s="1726"/>
      <c r="D284" s="1719"/>
      <c r="E284" s="287"/>
      <c r="F284" s="287" t="s">
        <v>1372</v>
      </c>
      <c r="G284" s="1736">
        <v>208</v>
      </c>
      <c r="H284" s="1736">
        <v>11</v>
      </c>
      <c r="I284" s="285"/>
      <c r="J284" s="287"/>
      <c r="K284" s="205"/>
      <c r="L284" s="220"/>
      <c r="M284" s="220"/>
      <c r="N284" s="219"/>
    </row>
    <row r="285" spans="1:14">
      <c r="A285" s="1722"/>
      <c r="B285" s="1721"/>
      <c r="C285" s="1717"/>
      <c r="D285" s="1719"/>
      <c r="E285" s="287"/>
      <c r="F285" s="358" t="s">
        <v>361</v>
      </c>
      <c r="G285" s="1737">
        <v>469</v>
      </c>
      <c r="H285" s="1736">
        <v>42</v>
      </c>
      <c r="I285" s="285"/>
      <c r="J285" s="287"/>
      <c r="K285" s="287"/>
      <c r="L285" s="218"/>
      <c r="M285" s="218"/>
      <c r="N285" s="219"/>
    </row>
    <row r="286" spans="1:14">
      <c r="A286" s="1722"/>
      <c r="B286" s="1721"/>
      <c r="C286" s="1726"/>
      <c r="D286" s="1719"/>
      <c r="F286" s="287" t="s">
        <v>502</v>
      </c>
      <c r="G286" s="1531">
        <v>897</v>
      </c>
      <c r="H286" s="1531">
        <v>139</v>
      </c>
    </row>
    <row r="287" spans="1:14">
      <c r="A287" s="1722"/>
      <c r="B287" s="1721"/>
      <c r="C287" s="1717"/>
      <c r="D287" s="1719"/>
      <c r="E287" s="286"/>
      <c r="F287" s="287" t="s">
        <v>210</v>
      </c>
      <c r="G287" s="1737">
        <v>369</v>
      </c>
      <c r="H287" s="1736">
        <v>19</v>
      </c>
      <c r="I287" s="285"/>
      <c r="J287" s="287"/>
      <c r="K287" s="205"/>
      <c r="L287" s="218"/>
      <c r="M287" s="218"/>
      <c r="N287" s="219"/>
    </row>
    <row r="288" spans="1:14">
      <c r="A288" s="1722"/>
      <c r="B288" s="1721"/>
      <c r="C288" s="1726"/>
      <c r="D288" s="1719"/>
      <c r="E288" s="287"/>
      <c r="F288" s="287" t="s">
        <v>209</v>
      </c>
      <c r="G288" s="1736">
        <v>632</v>
      </c>
      <c r="H288" s="1736">
        <v>27</v>
      </c>
      <c r="I288" s="285"/>
      <c r="J288" s="287"/>
      <c r="K288" s="287"/>
      <c r="L288" s="218"/>
      <c r="M288" s="218"/>
      <c r="N288" s="219"/>
    </row>
    <row r="289" spans="1:14">
      <c r="A289" s="1722"/>
      <c r="B289" s="1721"/>
      <c r="C289" s="1717"/>
      <c r="D289" s="1719"/>
      <c r="E289" s="287"/>
      <c r="F289" s="287"/>
      <c r="G289" s="287"/>
      <c r="H289" s="287"/>
      <c r="I289" s="285"/>
      <c r="J289" s="287"/>
      <c r="K289" s="205"/>
      <c r="L289" s="220"/>
      <c r="M289" s="220"/>
      <c r="N289" s="219"/>
    </row>
    <row r="290" spans="1:14">
      <c r="A290" s="1722"/>
      <c r="B290" s="1721"/>
      <c r="C290" s="1726"/>
      <c r="D290" s="1719"/>
      <c r="E290" s="287"/>
      <c r="F290" s="287"/>
      <c r="G290" s="288"/>
      <c r="H290" s="287"/>
      <c r="I290" s="285"/>
      <c r="J290" s="287"/>
      <c r="K290" s="287"/>
      <c r="L290" s="218"/>
      <c r="M290" s="218"/>
      <c r="N290" s="219"/>
    </row>
    <row r="291" spans="1:14">
      <c r="A291" s="1722"/>
      <c r="B291" s="1721"/>
      <c r="C291" s="1717"/>
      <c r="D291" s="1719"/>
      <c r="E291" s="286"/>
      <c r="F291" s="287"/>
      <c r="G291" s="288"/>
      <c r="H291" s="287"/>
      <c r="I291" s="285"/>
      <c r="J291" s="287"/>
      <c r="K291" s="205"/>
      <c r="L291" s="218"/>
      <c r="M291" s="218"/>
      <c r="N291" s="219"/>
    </row>
    <row r="292" spans="1:14">
      <c r="A292" s="1722"/>
      <c r="B292" s="1721"/>
      <c r="C292" s="1726"/>
      <c r="D292" s="1719"/>
      <c r="E292" s="287"/>
      <c r="F292" s="287"/>
      <c r="G292" s="287"/>
      <c r="H292" s="287"/>
      <c r="I292" s="285"/>
      <c r="J292" s="287"/>
      <c r="K292" s="287"/>
      <c r="L292" s="218"/>
      <c r="M292" s="218"/>
      <c r="N292" s="219"/>
    </row>
    <row r="293" spans="1:14">
      <c r="A293" s="1722"/>
      <c r="B293" s="1721"/>
      <c r="C293" s="1717"/>
      <c r="D293" s="1719"/>
      <c r="E293" s="287"/>
      <c r="F293" s="287"/>
      <c r="G293" s="287"/>
      <c r="H293" s="287"/>
      <c r="I293" s="285"/>
      <c r="J293" s="287"/>
      <c r="K293" s="205"/>
      <c r="L293" s="220"/>
      <c r="M293" s="220"/>
      <c r="N293" s="219"/>
    </row>
    <row r="294" spans="1:14">
      <c r="A294" s="1722"/>
      <c r="B294" s="1721"/>
      <c r="C294" s="1726"/>
      <c r="D294" s="1719"/>
      <c r="E294" s="287"/>
      <c r="F294" s="287"/>
      <c r="G294" s="288"/>
      <c r="H294" s="287"/>
      <c r="I294" s="285"/>
      <c r="J294" s="287"/>
      <c r="K294" s="287"/>
      <c r="L294" s="218"/>
      <c r="M294" s="218"/>
      <c r="N294" s="219"/>
    </row>
    <row r="295" spans="1:14">
      <c r="A295" s="1722"/>
      <c r="B295" s="1721"/>
      <c r="C295" s="1717"/>
      <c r="D295" s="1719"/>
      <c r="E295" s="286"/>
      <c r="F295" s="287"/>
      <c r="G295" s="288"/>
      <c r="H295" s="287"/>
      <c r="I295" s="285"/>
      <c r="J295" s="287"/>
      <c r="K295" s="205"/>
      <c r="L295" s="218"/>
      <c r="M295" s="218"/>
      <c r="N295" s="219"/>
    </row>
    <row r="296" spans="1:14">
      <c r="A296" s="1722"/>
      <c r="B296" s="1721"/>
      <c r="C296" s="1726"/>
      <c r="D296" s="1719"/>
      <c r="E296" s="287"/>
      <c r="F296" s="287"/>
      <c r="G296" s="287"/>
      <c r="H296" s="287"/>
      <c r="I296" s="285"/>
      <c r="J296" s="287"/>
      <c r="K296" s="287"/>
      <c r="L296" s="218"/>
      <c r="M296" s="218"/>
      <c r="N296" s="219"/>
    </row>
    <row r="297" spans="1:14">
      <c r="A297" s="1722"/>
      <c r="B297" s="1721"/>
      <c r="C297" s="1717"/>
      <c r="D297" s="1719"/>
      <c r="E297" s="287"/>
      <c r="F297" s="287"/>
      <c r="G297" s="287"/>
      <c r="H297" s="287"/>
      <c r="I297" s="285"/>
      <c r="J297" s="287"/>
      <c r="K297" s="205"/>
      <c r="L297" s="220"/>
      <c r="M297" s="220"/>
      <c r="N297" s="219"/>
    </row>
    <row r="298" spans="1:14">
      <c r="A298" s="1722"/>
      <c r="B298" s="1721"/>
      <c r="C298" s="1726"/>
      <c r="D298" s="1719"/>
      <c r="E298" s="287"/>
      <c r="F298" s="287"/>
      <c r="G298" s="288"/>
      <c r="H298" s="287"/>
      <c r="I298" s="285"/>
      <c r="J298" s="287"/>
      <c r="K298" s="287"/>
      <c r="L298" s="218"/>
      <c r="M298" s="218"/>
      <c r="N298" s="219"/>
    </row>
    <row r="299" spans="1:14">
      <c r="A299" s="1722"/>
      <c r="B299" s="1721"/>
      <c r="C299" s="1717"/>
      <c r="D299" s="1719"/>
      <c r="E299" s="286"/>
      <c r="F299" s="287"/>
      <c r="G299" s="288"/>
      <c r="H299" s="287"/>
      <c r="I299" s="285"/>
      <c r="J299" s="287"/>
      <c r="K299" s="205"/>
      <c r="L299" s="218"/>
      <c r="M299" s="218"/>
      <c r="N299" s="219"/>
    </row>
    <row r="300" spans="1:14">
      <c r="A300" s="1722"/>
      <c r="B300" s="1721"/>
      <c r="C300" s="1726"/>
      <c r="D300" s="1719"/>
      <c r="E300" s="287"/>
      <c r="F300" s="287"/>
      <c r="G300" s="287"/>
      <c r="H300" s="287"/>
      <c r="I300" s="285"/>
      <c r="J300" s="287"/>
      <c r="K300" s="287"/>
      <c r="L300" s="218"/>
      <c r="M300" s="218"/>
      <c r="N300" s="219"/>
    </row>
    <row r="301" spans="1:14">
      <c r="A301" s="1722"/>
      <c r="B301" s="1721"/>
      <c r="C301" s="1717"/>
      <c r="D301" s="1719"/>
      <c r="E301" s="287"/>
      <c r="F301" s="287"/>
      <c r="G301" s="287"/>
      <c r="H301" s="287"/>
      <c r="I301" s="285"/>
      <c r="J301" s="287"/>
      <c r="K301" s="205"/>
      <c r="L301" s="220"/>
      <c r="M301" s="220"/>
      <c r="N301" s="219"/>
    </row>
    <row r="302" spans="1:14">
      <c r="A302" s="1722"/>
      <c r="B302" s="1721"/>
      <c r="C302" s="1726"/>
      <c r="D302" s="1719"/>
      <c r="E302" s="287"/>
      <c r="F302" s="287"/>
      <c r="G302" s="288"/>
      <c r="H302" s="287"/>
      <c r="I302" s="285"/>
      <c r="J302" s="287"/>
      <c r="K302" s="287"/>
      <c r="L302" s="218"/>
      <c r="M302" s="218"/>
      <c r="N302" s="219"/>
    </row>
    <row r="303" spans="1:14">
      <c r="A303" s="1722"/>
      <c r="B303" s="1721"/>
      <c r="C303" s="1717"/>
      <c r="D303" s="1719"/>
      <c r="E303" s="286"/>
      <c r="F303" s="287"/>
      <c r="G303" s="288"/>
      <c r="H303" s="287"/>
      <c r="I303" s="285"/>
      <c r="J303" s="287"/>
      <c r="K303" s="205"/>
      <c r="L303" s="218"/>
      <c r="M303" s="218"/>
      <c r="N303" s="219"/>
    </row>
    <row r="304" spans="1:14">
      <c r="A304" s="1503"/>
      <c r="B304" s="1502"/>
      <c r="C304" s="1506"/>
      <c r="D304" s="1500"/>
      <c r="E304" s="287"/>
      <c r="F304" s="287"/>
      <c r="G304" s="287"/>
      <c r="H304" s="287"/>
      <c r="I304" s="285"/>
      <c r="J304" s="287"/>
      <c r="K304" s="287"/>
      <c r="L304" s="218"/>
      <c r="M304" s="218"/>
      <c r="N304" s="219"/>
    </row>
    <row r="305" spans="1:14" s="358" customFormat="1">
      <c r="A305" s="1503"/>
      <c r="B305" s="1502"/>
      <c r="C305" s="1498"/>
      <c r="D305" s="1500"/>
      <c r="E305" s="287"/>
      <c r="F305" s="287"/>
      <c r="G305" s="287"/>
      <c r="H305" s="287"/>
      <c r="I305" s="285"/>
      <c r="J305" s="287"/>
      <c r="K305" s="205"/>
      <c r="L305" s="220"/>
      <c r="M305" s="220"/>
      <c r="N305" s="219"/>
    </row>
    <row r="306" spans="1:14">
      <c r="A306" s="1722"/>
      <c r="B306" s="1721"/>
      <c r="C306" s="1726"/>
      <c r="D306" s="1719"/>
      <c r="E306" s="287"/>
      <c r="F306" s="1717" t="s">
        <v>292</v>
      </c>
      <c r="G306" s="1737">
        <v>310</v>
      </c>
      <c r="H306" s="1736">
        <v>24</v>
      </c>
      <c r="I306" s="285"/>
      <c r="J306" s="287"/>
      <c r="K306" s="287"/>
      <c r="L306" s="218"/>
      <c r="M306" s="218"/>
      <c r="N306" s="219"/>
    </row>
    <row r="307" spans="1:14">
      <c r="A307" s="1722"/>
      <c r="B307" s="1721"/>
      <c r="C307" s="1717"/>
      <c r="D307" s="1719"/>
      <c r="E307" s="286"/>
      <c r="F307" s="1717" t="s">
        <v>291</v>
      </c>
      <c r="G307" s="1737">
        <v>239</v>
      </c>
      <c r="H307" s="1736">
        <v>20</v>
      </c>
      <c r="I307" s="285"/>
      <c r="J307" s="287"/>
      <c r="K307" s="205"/>
      <c r="L307" s="218"/>
      <c r="M307" s="218"/>
      <c r="N307" s="219"/>
    </row>
    <row r="308" spans="1:14">
      <c r="A308" s="1722"/>
      <c r="B308" s="1721"/>
      <c r="C308" s="1726"/>
      <c r="D308" s="1719"/>
      <c r="E308" s="287"/>
      <c r="F308" s="287" t="s">
        <v>217</v>
      </c>
      <c r="G308" s="1736">
        <v>287</v>
      </c>
      <c r="H308" s="1736">
        <v>17</v>
      </c>
      <c r="I308" s="285"/>
      <c r="J308" s="287"/>
      <c r="K308" s="205"/>
      <c r="L308" s="218"/>
      <c r="M308" s="218"/>
      <c r="N308" s="219"/>
    </row>
    <row r="309" spans="1:14">
      <c r="A309" s="1722"/>
      <c r="B309" s="1721"/>
      <c r="C309" s="1717"/>
      <c r="D309" s="1719"/>
      <c r="E309" s="287"/>
      <c r="F309" s="287" t="s">
        <v>211</v>
      </c>
      <c r="G309" s="1736">
        <v>114</v>
      </c>
      <c r="H309" s="1736">
        <v>10</v>
      </c>
      <c r="I309" s="285"/>
      <c r="J309" s="287"/>
      <c r="K309" s="287"/>
      <c r="L309" s="220"/>
      <c r="M309" s="220"/>
      <c r="N309" s="219"/>
    </row>
    <row r="310" spans="1:14">
      <c r="A310" s="1722"/>
      <c r="B310" s="1721"/>
      <c r="C310" s="1726"/>
      <c r="D310" s="1719"/>
      <c r="E310" s="287"/>
      <c r="F310" s="287" t="s">
        <v>957</v>
      </c>
      <c r="G310" s="1737">
        <v>206</v>
      </c>
      <c r="H310" s="1736">
        <v>45</v>
      </c>
      <c r="I310" s="285"/>
      <c r="J310" s="287"/>
      <c r="K310" s="287"/>
      <c r="L310" s="218"/>
      <c r="M310" s="218"/>
      <c r="N310" s="219"/>
    </row>
    <row r="311" spans="1:14">
      <c r="A311" s="1722"/>
      <c r="B311" s="1721"/>
      <c r="C311" s="1717"/>
      <c r="D311" s="1719"/>
      <c r="E311" s="286"/>
      <c r="F311" s="287" t="s">
        <v>166</v>
      </c>
      <c r="G311" s="1737">
        <v>261</v>
      </c>
      <c r="H311" s="1736">
        <v>21</v>
      </c>
      <c r="I311" s="285"/>
      <c r="J311" s="287"/>
      <c r="K311" s="205"/>
      <c r="L311" s="218"/>
      <c r="M311" s="218"/>
      <c r="N311" s="219"/>
    </row>
    <row r="312" spans="1:14">
      <c r="A312" s="1722"/>
      <c r="B312" s="1721"/>
      <c r="C312" s="1726"/>
      <c r="D312" s="1719"/>
      <c r="E312" s="287"/>
      <c r="F312" s="287" t="s">
        <v>204</v>
      </c>
      <c r="G312" s="1736">
        <v>317</v>
      </c>
      <c r="H312" s="1736">
        <v>26</v>
      </c>
      <c r="I312" s="285"/>
      <c r="J312" s="287"/>
      <c r="K312" s="287"/>
      <c r="L312" s="218"/>
      <c r="M312" s="218"/>
      <c r="N312" s="219"/>
    </row>
    <row r="313" spans="1:14">
      <c r="A313" s="1722"/>
      <c r="B313" s="1721"/>
      <c r="C313" s="1717"/>
      <c r="D313" s="1719"/>
      <c r="E313" s="287"/>
      <c r="F313" s="287" t="s">
        <v>205</v>
      </c>
      <c r="G313" s="1736">
        <v>300</v>
      </c>
      <c r="H313" s="1736">
        <v>26</v>
      </c>
      <c r="I313" s="285"/>
      <c r="J313" s="287"/>
      <c r="K313" s="205"/>
      <c r="L313" s="220"/>
      <c r="M313" s="220"/>
      <c r="N313" s="219"/>
    </row>
    <row r="314" spans="1:14">
      <c r="A314" s="1722"/>
      <c r="B314" s="1721"/>
      <c r="C314" s="1726"/>
      <c r="D314" s="1719"/>
      <c r="E314" s="287"/>
      <c r="F314" s="287" t="s">
        <v>206</v>
      </c>
      <c r="G314" s="1737">
        <v>358</v>
      </c>
      <c r="H314" s="1736">
        <v>37</v>
      </c>
      <c r="I314" s="285"/>
      <c r="J314" s="287"/>
      <c r="K314" s="287"/>
      <c r="L314" s="218"/>
      <c r="M314" s="218"/>
      <c r="N314" s="219"/>
    </row>
    <row r="315" spans="1:14">
      <c r="A315" s="1722"/>
      <c r="B315" s="1721"/>
      <c r="C315" s="1717"/>
      <c r="D315" s="1719"/>
      <c r="E315" s="286"/>
      <c r="F315" s="287" t="s">
        <v>207</v>
      </c>
      <c r="G315" s="1737">
        <v>410</v>
      </c>
      <c r="H315" s="1736">
        <v>36</v>
      </c>
      <c r="I315" s="285"/>
      <c r="J315" s="287"/>
      <c r="K315" s="205"/>
      <c r="L315" s="218"/>
      <c r="M315" s="218"/>
      <c r="N315" s="219"/>
    </row>
    <row r="316" spans="1:14">
      <c r="A316" s="1722"/>
      <c r="B316" s="1721"/>
      <c r="C316" s="1726"/>
      <c r="D316" s="1719"/>
      <c r="E316" s="287"/>
      <c r="F316" s="287" t="s">
        <v>208</v>
      </c>
      <c r="G316" s="1736">
        <v>517</v>
      </c>
      <c r="H316" s="1736">
        <v>126</v>
      </c>
      <c r="I316" s="285"/>
      <c r="J316" s="287"/>
      <c r="K316" s="287"/>
      <c r="L316" s="218"/>
      <c r="M316" s="218"/>
      <c r="N316" s="219"/>
    </row>
    <row r="317" spans="1:14">
      <c r="A317" s="1722"/>
      <c r="B317" s="1721"/>
      <c r="C317" s="1717"/>
      <c r="D317" s="1719"/>
      <c r="E317" s="287"/>
      <c r="F317" s="287" t="s">
        <v>1374</v>
      </c>
      <c r="G317" s="1736">
        <v>1822</v>
      </c>
      <c r="H317" s="1736">
        <v>28</v>
      </c>
      <c r="I317" s="285"/>
      <c r="J317" s="287"/>
      <c r="K317" s="205"/>
      <c r="L317" s="220"/>
      <c r="M317" s="220"/>
      <c r="N317" s="219"/>
    </row>
    <row r="318" spans="1:14">
      <c r="A318" s="1722"/>
      <c r="B318" s="1721"/>
      <c r="C318" s="1726"/>
      <c r="D318" s="1719"/>
      <c r="E318" s="287"/>
      <c r="F318" s="287" t="s">
        <v>1372</v>
      </c>
      <c r="G318" s="1737">
        <v>501</v>
      </c>
      <c r="H318" s="1736">
        <v>35</v>
      </c>
      <c r="I318" s="285"/>
      <c r="J318" s="287"/>
      <c r="K318" s="287"/>
      <c r="L318" s="218"/>
      <c r="M318" s="218"/>
      <c r="N318" s="219"/>
    </row>
    <row r="319" spans="1:14">
      <c r="A319" s="1722"/>
      <c r="B319" s="1721"/>
      <c r="C319" s="1717"/>
      <c r="D319" s="1719"/>
      <c r="E319" s="286"/>
      <c r="F319" s="358" t="s">
        <v>361</v>
      </c>
      <c r="G319" s="1737">
        <v>677</v>
      </c>
      <c r="H319" s="1736">
        <v>66</v>
      </c>
      <c r="I319" s="285"/>
      <c r="J319" s="287"/>
      <c r="K319" s="205"/>
      <c r="L319" s="218"/>
      <c r="M319" s="218"/>
      <c r="N319" s="219"/>
    </row>
    <row r="320" spans="1:14">
      <c r="A320" s="1722"/>
      <c r="B320" s="1721"/>
      <c r="C320" s="1726"/>
      <c r="D320" s="1719"/>
      <c r="E320" s="287"/>
      <c r="F320" s="287" t="s">
        <v>502</v>
      </c>
      <c r="G320" s="1736">
        <v>758</v>
      </c>
      <c r="H320" s="1736">
        <v>108</v>
      </c>
      <c r="I320" s="285"/>
      <c r="J320" s="287"/>
      <c r="K320" s="287"/>
      <c r="L320" s="218"/>
      <c r="M320" s="218"/>
      <c r="N320" s="219"/>
    </row>
    <row r="321" spans="1:14">
      <c r="A321" s="1722"/>
      <c r="B321" s="1721"/>
      <c r="C321" s="1717"/>
      <c r="D321" s="1719"/>
      <c r="E321" s="287"/>
      <c r="F321" s="287" t="s">
        <v>210</v>
      </c>
      <c r="G321" s="1736">
        <v>451</v>
      </c>
      <c r="H321" s="1736">
        <v>31</v>
      </c>
      <c r="I321" s="285"/>
      <c r="J321" s="287"/>
      <c r="K321" s="205"/>
      <c r="L321" s="220"/>
      <c r="M321" s="220"/>
      <c r="N321" s="219"/>
    </row>
    <row r="322" spans="1:14">
      <c r="A322" s="1722"/>
      <c r="B322" s="1721"/>
      <c r="C322" s="1726"/>
      <c r="D322" s="1719"/>
      <c r="E322" s="287"/>
      <c r="F322" s="287" t="s">
        <v>209</v>
      </c>
      <c r="G322" s="1737">
        <v>474</v>
      </c>
      <c r="H322" s="1736">
        <v>29</v>
      </c>
      <c r="I322" s="285"/>
      <c r="J322" s="287"/>
      <c r="K322" s="287"/>
      <c r="L322" s="218"/>
      <c r="M322" s="218"/>
      <c r="N322" s="219"/>
    </row>
    <row r="323" spans="1:14">
      <c r="A323" s="1722"/>
      <c r="B323" s="1721"/>
      <c r="C323" s="1717"/>
      <c r="D323" s="1719"/>
      <c r="E323" s="286"/>
      <c r="F323" s="287"/>
      <c r="G323" s="288"/>
      <c r="H323" s="287"/>
      <c r="I323" s="285"/>
      <c r="J323" s="287"/>
      <c r="K323" s="205"/>
      <c r="L323" s="218"/>
      <c r="M323" s="218"/>
      <c r="N323" s="219"/>
    </row>
    <row r="324" spans="1:14">
      <c r="A324" s="1722"/>
      <c r="B324" s="1721"/>
      <c r="C324" s="1726"/>
      <c r="D324" s="1719"/>
      <c r="E324" s="287"/>
      <c r="F324" s="287"/>
      <c r="G324" s="287"/>
      <c r="H324" s="287"/>
      <c r="I324" s="285"/>
      <c r="J324" s="287"/>
      <c r="K324" s="287"/>
      <c r="L324" s="218"/>
      <c r="M324" s="218"/>
      <c r="N324" s="219"/>
    </row>
    <row r="325" spans="1:14">
      <c r="A325" s="1722"/>
      <c r="B325" s="1721"/>
      <c r="C325" s="1717"/>
      <c r="D325" s="1719"/>
      <c r="E325" s="287"/>
      <c r="F325" s="287"/>
      <c r="G325" s="287"/>
      <c r="H325" s="287"/>
      <c r="I325" s="285"/>
      <c r="J325" s="287"/>
      <c r="K325" s="205"/>
      <c r="L325" s="220"/>
      <c r="M325" s="220"/>
      <c r="N325" s="219"/>
    </row>
    <row r="326" spans="1:14">
      <c r="A326" s="1722"/>
      <c r="B326" s="1721"/>
      <c r="C326" s="1726"/>
      <c r="D326" s="1719"/>
      <c r="E326" s="287"/>
      <c r="F326" s="287"/>
      <c r="G326" s="288"/>
      <c r="H326" s="287"/>
      <c r="I326" s="285"/>
      <c r="J326" s="287"/>
      <c r="K326" s="287"/>
      <c r="L326" s="218"/>
      <c r="M326" s="218"/>
      <c r="N326" s="219"/>
    </row>
    <row r="327" spans="1:14">
      <c r="A327" s="1722"/>
      <c r="B327" s="1721"/>
      <c r="C327" s="1717"/>
      <c r="D327" s="1719"/>
      <c r="E327" s="286"/>
      <c r="F327" s="287"/>
      <c r="G327" s="288"/>
      <c r="H327" s="287"/>
      <c r="I327" s="285"/>
      <c r="J327" s="287"/>
      <c r="K327" s="205"/>
      <c r="L327" s="218"/>
      <c r="M327" s="218"/>
      <c r="N327" s="219"/>
    </row>
    <row r="328" spans="1:14">
      <c r="A328" s="1722"/>
      <c r="B328" s="1721"/>
      <c r="C328" s="1726"/>
      <c r="D328" s="1719"/>
      <c r="E328" s="287"/>
      <c r="F328" s="287"/>
      <c r="G328" s="287"/>
      <c r="H328" s="287"/>
      <c r="I328" s="285"/>
      <c r="J328" s="287"/>
      <c r="K328" s="287"/>
      <c r="L328" s="218"/>
      <c r="M328" s="218"/>
      <c r="N328" s="219"/>
    </row>
    <row r="329" spans="1:14">
      <c r="A329" s="1722"/>
      <c r="B329" s="1721"/>
      <c r="C329" s="1717"/>
      <c r="D329" s="1719"/>
      <c r="E329" s="287"/>
      <c r="F329" s="287"/>
      <c r="G329" s="287"/>
      <c r="H329" s="287"/>
      <c r="I329" s="285"/>
      <c r="J329" s="287"/>
      <c r="K329" s="205"/>
      <c r="L329" s="220"/>
      <c r="M329" s="220"/>
      <c r="N329" s="219"/>
    </row>
    <row r="330" spans="1:14">
      <c r="A330" s="1722"/>
      <c r="B330" s="1721"/>
      <c r="C330" s="1726"/>
      <c r="D330" s="1719"/>
      <c r="E330" s="287"/>
      <c r="F330" s="287"/>
      <c r="G330" s="288"/>
      <c r="H330" s="287"/>
      <c r="I330" s="285"/>
      <c r="J330" s="287"/>
      <c r="K330" s="287"/>
      <c r="L330" s="218"/>
      <c r="M330" s="218"/>
      <c r="N330" s="219"/>
    </row>
    <row r="331" spans="1:14">
      <c r="A331" s="1722"/>
      <c r="B331" s="1721"/>
      <c r="C331" s="1717"/>
      <c r="D331" s="1719"/>
      <c r="E331" s="286"/>
      <c r="F331" s="287"/>
      <c r="G331" s="288"/>
      <c r="H331" s="287"/>
      <c r="I331" s="285"/>
      <c r="J331" s="287"/>
      <c r="K331" s="205"/>
      <c r="L331" s="218"/>
      <c r="M331" s="218"/>
      <c r="N331" s="219"/>
    </row>
    <row r="332" spans="1:14">
      <c r="A332" s="1722"/>
      <c r="B332" s="1721"/>
      <c r="C332" s="1726"/>
      <c r="D332" s="1719"/>
      <c r="E332" s="287"/>
      <c r="F332" s="287"/>
      <c r="G332" s="287"/>
      <c r="H332" s="287"/>
      <c r="I332" s="285"/>
      <c r="J332" s="287"/>
      <c r="K332" s="287"/>
      <c r="L332" s="218"/>
      <c r="M332" s="218"/>
      <c r="N332" s="219"/>
    </row>
    <row r="333" spans="1:14">
      <c r="A333" s="1722"/>
      <c r="B333" s="1721"/>
      <c r="C333" s="1717"/>
      <c r="D333" s="1719"/>
      <c r="E333" s="287"/>
      <c r="F333" s="287"/>
      <c r="G333" s="287"/>
      <c r="H333" s="287"/>
      <c r="I333" s="285"/>
      <c r="J333" s="287"/>
      <c r="K333" s="205"/>
      <c r="L333" s="220"/>
      <c r="M333" s="220"/>
      <c r="N333" s="219"/>
    </row>
    <row r="334" spans="1:14">
      <c r="A334" s="1722"/>
      <c r="B334" s="1721"/>
      <c r="C334" s="1726"/>
      <c r="D334" s="1719"/>
      <c r="E334" s="287"/>
      <c r="F334" s="287"/>
      <c r="G334" s="288"/>
      <c r="H334" s="287"/>
      <c r="I334" s="285"/>
      <c r="J334" s="287"/>
      <c r="K334" s="287"/>
      <c r="L334" s="218"/>
      <c r="M334" s="218"/>
      <c r="N334" s="219"/>
    </row>
    <row r="335" spans="1:14">
      <c r="A335" s="1722"/>
      <c r="B335" s="1721"/>
      <c r="C335" s="1717"/>
      <c r="D335" s="1719"/>
      <c r="E335" s="286"/>
      <c r="F335" s="287"/>
      <c r="G335" s="288"/>
      <c r="H335" s="287"/>
      <c r="I335" s="285"/>
      <c r="J335" s="287"/>
      <c r="K335" s="205"/>
      <c r="L335" s="218"/>
      <c r="M335" s="218"/>
      <c r="N335" s="219"/>
    </row>
    <row r="336" spans="1:14">
      <c r="A336" s="1722"/>
      <c r="B336" s="1721"/>
      <c r="C336" s="1726"/>
      <c r="D336" s="1719"/>
      <c r="E336" s="287"/>
      <c r="F336" s="287"/>
      <c r="G336" s="287"/>
      <c r="H336" s="287"/>
      <c r="I336" s="285"/>
      <c r="J336" s="287"/>
      <c r="K336" s="287"/>
      <c r="L336" s="218"/>
      <c r="M336" s="218"/>
      <c r="N336" s="219"/>
    </row>
    <row r="337" spans="1:14">
      <c r="A337" s="1722"/>
      <c r="B337" s="1721"/>
      <c r="C337" s="1717"/>
      <c r="D337" s="1719"/>
      <c r="E337" s="287"/>
      <c r="F337" s="287"/>
      <c r="G337" s="287"/>
      <c r="H337" s="287"/>
      <c r="I337" s="285"/>
      <c r="J337" s="287"/>
      <c r="K337" s="205"/>
      <c r="L337" s="220"/>
      <c r="M337" s="220"/>
      <c r="N337" s="219"/>
    </row>
    <row r="338" spans="1:14">
      <c r="A338" s="72"/>
      <c r="B338" s="109"/>
      <c r="C338" s="286"/>
      <c r="D338" s="287"/>
      <c r="E338" s="287"/>
      <c r="F338" s="287"/>
      <c r="G338" s="288"/>
      <c r="H338" s="287"/>
      <c r="I338" s="285"/>
      <c r="J338" s="287"/>
      <c r="K338" s="287"/>
      <c r="L338" s="218"/>
      <c r="M338" s="218"/>
      <c r="N338" s="219"/>
    </row>
    <row r="339" spans="1:14">
      <c r="A339" s="72"/>
      <c r="B339" s="109"/>
      <c r="C339" s="531"/>
      <c r="D339" s="287"/>
      <c r="E339" s="286"/>
      <c r="F339" s="287"/>
      <c r="G339" s="288"/>
      <c r="H339" s="287"/>
      <c r="I339" s="285"/>
      <c r="J339" s="287"/>
      <c r="K339" s="205"/>
      <c r="L339" s="218"/>
      <c r="M339" s="218"/>
      <c r="N339" s="219"/>
    </row>
    <row r="340" spans="1:14">
      <c r="A340" s="1722"/>
      <c r="B340" s="1721"/>
      <c r="C340" s="1726"/>
      <c r="D340" s="1719"/>
      <c r="E340" s="287"/>
      <c r="F340" s="1717" t="s">
        <v>292</v>
      </c>
      <c r="G340" s="1736">
        <v>205</v>
      </c>
      <c r="H340" s="1736">
        <v>2</v>
      </c>
      <c r="I340" s="285"/>
      <c r="J340" s="287"/>
      <c r="K340" s="287"/>
      <c r="L340" s="218"/>
      <c r="M340" s="218"/>
      <c r="N340" s="219"/>
    </row>
    <row r="341" spans="1:14">
      <c r="A341" s="1722"/>
      <c r="B341" s="1721"/>
      <c r="C341" s="1717"/>
      <c r="D341" s="1719"/>
      <c r="E341" s="287"/>
      <c r="F341" s="1717" t="s">
        <v>291</v>
      </c>
      <c r="G341" s="1736">
        <v>176</v>
      </c>
      <c r="H341" s="1736">
        <v>6</v>
      </c>
      <c r="I341" s="285"/>
      <c r="J341" s="287"/>
      <c r="K341" s="205"/>
      <c r="L341" s="220"/>
      <c r="M341" s="220"/>
      <c r="N341" s="219"/>
    </row>
    <row r="342" spans="1:14">
      <c r="A342" s="1722"/>
      <c r="B342" s="1721"/>
      <c r="C342" s="1726"/>
      <c r="D342" s="1719"/>
      <c r="E342" s="287"/>
      <c r="F342" s="287" t="s">
        <v>217</v>
      </c>
      <c r="G342" s="1737">
        <v>177</v>
      </c>
      <c r="H342" s="1736">
        <v>22</v>
      </c>
      <c r="I342" s="285"/>
      <c r="J342" s="287"/>
      <c r="K342" s="287"/>
      <c r="L342" s="218"/>
      <c r="M342" s="218"/>
      <c r="N342" s="219"/>
    </row>
    <row r="343" spans="1:14">
      <c r="A343" s="1722"/>
      <c r="B343" s="1721"/>
      <c r="C343" s="1717"/>
      <c r="D343" s="1719"/>
      <c r="E343" s="286"/>
      <c r="F343" s="287" t="s">
        <v>211</v>
      </c>
      <c r="G343" s="1737">
        <v>71</v>
      </c>
      <c r="H343" s="1736">
        <v>2</v>
      </c>
      <c r="I343" s="285"/>
      <c r="J343" s="287"/>
      <c r="K343" s="205"/>
      <c r="L343" s="218"/>
      <c r="M343" s="218"/>
      <c r="N343" s="219"/>
    </row>
    <row r="344" spans="1:14">
      <c r="A344" s="1722"/>
      <c r="B344" s="1721"/>
      <c r="C344" s="1726"/>
      <c r="D344" s="1719"/>
      <c r="E344" s="287"/>
      <c r="F344" s="287" t="s">
        <v>957</v>
      </c>
      <c r="G344" s="1736">
        <v>106</v>
      </c>
      <c r="H344" s="1736">
        <v>38</v>
      </c>
      <c r="I344" s="285"/>
      <c r="J344" s="287"/>
      <c r="K344" s="287"/>
      <c r="L344" s="218"/>
      <c r="M344" s="218"/>
      <c r="N344" s="219"/>
    </row>
    <row r="345" spans="1:14">
      <c r="A345" s="1722"/>
      <c r="B345" s="1721"/>
      <c r="C345" s="1717"/>
      <c r="D345" s="1719"/>
      <c r="E345" s="287"/>
      <c r="F345" s="287" t="s">
        <v>166</v>
      </c>
      <c r="G345" s="1736">
        <v>152</v>
      </c>
      <c r="H345" s="1736">
        <v>13</v>
      </c>
      <c r="I345" s="285"/>
      <c r="J345" s="287"/>
      <c r="K345" s="287"/>
      <c r="L345" s="220"/>
      <c r="M345" s="220"/>
      <c r="N345" s="219"/>
    </row>
    <row r="346" spans="1:14">
      <c r="A346" s="1722"/>
      <c r="B346" s="1721"/>
      <c r="C346" s="1726"/>
      <c r="D346" s="1719"/>
      <c r="E346" s="287"/>
      <c r="F346" s="287" t="s">
        <v>204</v>
      </c>
      <c r="G346" s="1737">
        <v>309</v>
      </c>
      <c r="H346" s="1736">
        <v>22</v>
      </c>
      <c r="I346" s="285"/>
      <c r="J346" s="287"/>
      <c r="K346" s="287"/>
      <c r="L346" s="218"/>
      <c r="M346" s="218"/>
      <c r="N346" s="219"/>
    </row>
    <row r="347" spans="1:14">
      <c r="A347" s="1722"/>
      <c r="B347" s="1721"/>
      <c r="C347" s="1717"/>
      <c r="D347" s="1719"/>
      <c r="E347" s="286"/>
      <c r="F347" s="287" t="s">
        <v>205</v>
      </c>
      <c r="G347" s="1737">
        <v>422</v>
      </c>
      <c r="H347" s="1736">
        <v>24</v>
      </c>
      <c r="I347" s="285"/>
      <c r="J347" s="287"/>
      <c r="K347" s="205"/>
      <c r="L347" s="218"/>
      <c r="M347" s="218"/>
      <c r="N347" s="219"/>
    </row>
    <row r="348" spans="1:14">
      <c r="A348" s="1722"/>
      <c r="B348" s="1721"/>
      <c r="C348" s="1726"/>
      <c r="D348" s="1719"/>
      <c r="E348" s="287"/>
      <c r="F348" s="287" t="s">
        <v>206</v>
      </c>
      <c r="G348" s="1736">
        <v>567</v>
      </c>
      <c r="H348" s="1736">
        <v>41</v>
      </c>
      <c r="I348" s="285"/>
      <c r="J348" s="287"/>
      <c r="K348" s="287"/>
      <c r="L348" s="218"/>
      <c r="M348" s="218"/>
      <c r="N348" s="219"/>
    </row>
    <row r="349" spans="1:14">
      <c r="A349" s="1722"/>
      <c r="B349" s="1721"/>
      <c r="C349" s="1717"/>
      <c r="D349" s="1719"/>
      <c r="E349" s="287"/>
      <c r="F349" s="287" t="s">
        <v>207</v>
      </c>
      <c r="G349" s="1736">
        <v>531</v>
      </c>
      <c r="H349" s="1736">
        <v>36</v>
      </c>
      <c r="I349" s="285"/>
      <c r="J349" s="287"/>
      <c r="K349" s="205"/>
      <c r="L349" s="220"/>
      <c r="M349" s="220"/>
      <c r="N349" s="219"/>
    </row>
    <row r="350" spans="1:14">
      <c r="A350" s="1722"/>
      <c r="B350" s="1721"/>
      <c r="C350" s="1726"/>
      <c r="D350" s="1719"/>
      <c r="E350" s="287"/>
      <c r="F350" s="287" t="s">
        <v>208</v>
      </c>
      <c r="G350" s="1737">
        <v>454</v>
      </c>
      <c r="H350" s="1736">
        <v>24</v>
      </c>
      <c r="I350" s="285"/>
      <c r="J350" s="287"/>
      <c r="K350" s="287"/>
      <c r="L350" s="218"/>
      <c r="M350" s="218"/>
      <c r="N350" s="219"/>
    </row>
    <row r="351" spans="1:14">
      <c r="A351" s="1722"/>
      <c r="B351" s="1721"/>
      <c r="C351" s="1717"/>
      <c r="D351" s="1719"/>
      <c r="E351" s="286"/>
      <c r="F351" s="287" t="s">
        <v>1374</v>
      </c>
      <c r="G351" s="1737">
        <v>1816</v>
      </c>
      <c r="H351" s="1736">
        <v>10</v>
      </c>
      <c r="I351" s="285"/>
      <c r="J351" s="287"/>
      <c r="K351" s="205"/>
      <c r="L351" s="218"/>
      <c r="M351" s="218"/>
      <c r="N351" s="219"/>
    </row>
    <row r="352" spans="1:14">
      <c r="A352" s="1722"/>
      <c r="B352" s="1721"/>
      <c r="C352" s="1717"/>
      <c r="D352" s="1719"/>
      <c r="E352" s="287"/>
      <c r="F352" s="287" t="s">
        <v>1372</v>
      </c>
      <c r="G352" s="1736">
        <v>199</v>
      </c>
      <c r="H352" s="1736">
        <v>26</v>
      </c>
      <c r="I352" s="285"/>
      <c r="J352" s="287"/>
      <c r="K352" s="287"/>
      <c r="L352" s="218"/>
      <c r="M352" s="218"/>
      <c r="N352" s="219"/>
    </row>
    <row r="353" spans="1:14">
      <c r="A353" s="1722"/>
      <c r="B353" s="1721"/>
      <c r="C353" s="1717"/>
      <c r="D353" s="1719"/>
      <c r="E353" s="287"/>
      <c r="F353" s="358" t="s">
        <v>361</v>
      </c>
      <c r="G353" s="1736">
        <v>213</v>
      </c>
      <c r="H353" s="1736">
        <v>18</v>
      </c>
      <c r="I353" s="285"/>
      <c r="J353" s="287"/>
      <c r="K353" s="205"/>
      <c r="L353" s="220"/>
      <c r="M353" s="220"/>
      <c r="N353" s="219"/>
    </row>
    <row r="354" spans="1:14">
      <c r="A354" s="1722"/>
      <c r="B354" s="1721"/>
      <c r="C354" s="1726"/>
      <c r="D354" s="1719"/>
      <c r="E354" s="287"/>
      <c r="F354" s="287" t="s">
        <v>502</v>
      </c>
      <c r="G354" s="1737">
        <v>2012</v>
      </c>
      <c r="H354" s="1736">
        <v>101</v>
      </c>
      <c r="I354" s="285"/>
      <c r="J354" s="287"/>
      <c r="K354" s="287"/>
      <c r="L354" s="218"/>
      <c r="M354" s="218"/>
      <c r="N354" s="219"/>
    </row>
    <row r="355" spans="1:14">
      <c r="A355" s="1722"/>
      <c r="B355" s="1721"/>
      <c r="C355" s="1717"/>
      <c r="D355" s="1719"/>
      <c r="F355" s="287" t="s">
        <v>210</v>
      </c>
      <c r="G355" s="1531">
        <v>194</v>
      </c>
      <c r="H355" s="1531">
        <v>8</v>
      </c>
    </row>
    <row r="356" spans="1:14">
      <c r="A356" s="1722"/>
      <c r="B356" s="1721"/>
      <c r="C356" s="1726"/>
      <c r="D356" s="1719"/>
      <c r="E356" s="286"/>
      <c r="F356" s="287" t="s">
        <v>209</v>
      </c>
      <c r="G356" s="1737">
        <v>397</v>
      </c>
      <c r="H356" s="1736">
        <v>30</v>
      </c>
      <c r="I356" s="285"/>
      <c r="J356" s="287"/>
      <c r="K356" s="205"/>
      <c r="L356" s="218"/>
      <c r="M356" s="218"/>
      <c r="N356" s="219"/>
    </row>
    <row r="357" spans="1:14">
      <c r="A357" s="1722"/>
      <c r="B357" s="1721"/>
      <c r="C357" s="1717"/>
      <c r="D357" s="1719"/>
      <c r="E357" s="287"/>
      <c r="F357" s="287"/>
      <c r="G357" s="287"/>
      <c r="H357" s="287"/>
      <c r="I357" s="285"/>
      <c r="J357" s="287"/>
      <c r="K357" s="287"/>
      <c r="L357" s="218"/>
      <c r="M357" s="218"/>
      <c r="N357" s="219"/>
    </row>
    <row r="358" spans="1:14">
      <c r="A358" s="1722"/>
      <c r="B358" s="1721"/>
      <c r="C358" s="1726"/>
      <c r="D358" s="1719"/>
      <c r="E358" s="287"/>
      <c r="F358" s="287"/>
      <c r="G358" s="287"/>
      <c r="H358" s="287"/>
      <c r="I358" s="285"/>
      <c r="J358" s="287"/>
      <c r="K358" s="205"/>
      <c r="L358" s="220"/>
      <c r="M358" s="220"/>
      <c r="N358" s="219"/>
    </row>
    <row r="359" spans="1:14">
      <c r="A359" s="1722"/>
      <c r="B359" s="1721"/>
      <c r="C359" s="1717"/>
      <c r="D359" s="1719"/>
      <c r="E359" s="287"/>
      <c r="F359" s="287"/>
      <c r="G359" s="288"/>
      <c r="H359" s="287"/>
      <c r="I359" s="285"/>
      <c r="J359" s="287"/>
      <c r="K359" s="287"/>
      <c r="L359" s="218"/>
      <c r="M359" s="218"/>
      <c r="N359" s="219"/>
    </row>
    <row r="360" spans="1:14">
      <c r="A360" s="1722"/>
      <c r="B360" s="1721"/>
      <c r="C360" s="1726"/>
      <c r="D360" s="1719"/>
      <c r="E360" s="286"/>
      <c r="F360" s="287"/>
      <c r="G360" s="288"/>
      <c r="H360" s="287"/>
      <c r="I360" s="285"/>
      <c r="J360" s="287"/>
      <c r="K360" s="205"/>
      <c r="L360" s="218"/>
      <c r="M360" s="218"/>
      <c r="N360" s="219"/>
    </row>
    <row r="361" spans="1:14">
      <c r="A361" s="1722"/>
      <c r="B361" s="1721"/>
      <c r="C361" s="1717"/>
      <c r="D361" s="1719"/>
      <c r="E361" s="287"/>
      <c r="F361" s="287"/>
      <c r="G361" s="287"/>
      <c r="H361" s="287"/>
      <c r="I361" s="285"/>
      <c r="J361" s="287"/>
      <c r="K361" s="287"/>
      <c r="L361" s="218"/>
      <c r="M361" s="218"/>
      <c r="N361" s="219"/>
    </row>
    <row r="362" spans="1:14">
      <c r="A362" s="1722"/>
      <c r="B362" s="1721"/>
      <c r="C362" s="1726"/>
      <c r="D362" s="1719"/>
      <c r="E362" s="287"/>
      <c r="F362" s="287"/>
      <c r="G362" s="287"/>
      <c r="H362" s="287"/>
      <c r="I362" s="285"/>
      <c r="J362" s="287"/>
      <c r="K362" s="205"/>
      <c r="L362" s="220"/>
      <c r="M362" s="220"/>
      <c r="N362" s="219"/>
    </row>
    <row r="363" spans="1:14">
      <c r="A363" s="1722"/>
      <c r="B363" s="1721"/>
      <c r="C363" s="1717"/>
      <c r="D363" s="1719"/>
      <c r="E363" s="287"/>
      <c r="F363" s="287"/>
      <c r="G363" s="288"/>
      <c r="H363" s="287"/>
      <c r="I363" s="285"/>
      <c r="J363" s="287"/>
      <c r="K363" s="287"/>
      <c r="L363" s="218"/>
      <c r="M363" s="218"/>
      <c r="N363" s="219"/>
    </row>
    <row r="364" spans="1:14">
      <c r="A364" s="1722"/>
      <c r="B364" s="1721"/>
      <c r="C364" s="1726"/>
      <c r="D364" s="1719"/>
      <c r="E364" s="286"/>
      <c r="F364" s="287"/>
      <c r="G364" s="288"/>
      <c r="H364" s="287"/>
      <c r="I364" s="285"/>
      <c r="J364" s="287"/>
      <c r="K364" s="205"/>
      <c r="L364" s="218"/>
      <c r="M364" s="218"/>
      <c r="N364" s="219"/>
    </row>
    <row r="365" spans="1:14">
      <c r="A365" s="1722"/>
      <c r="B365" s="1721"/>
      <c r="C365" s="1717"/>
      <c r="D365" s="1719"/>
      <c r="E365" s="287"/>
      <c r="F365" s="287"/>
      <c r="G365" s="287"/>
      <c r="H365" s="287"/>
      <c r="I365" s="285"/>
      <c r="J365" s="287"/>
      <c r="K365" s="287"/>
      <c r="L365" s="218"/>
      <c r="M365" s="218"/>
      <c r="N365" s="219"/>
    </row>
    <row r="366" spans="1:14">
      <c r="A366" s="1722"/>
      <c r="B366" s="1721"/>
      <c r="C366" s="1726"/>
      <c r="D366" s="1719"/>
      <c r="E366" s="287"/>
      <c r="F366" s="287"/>
      <c r="G366" s="287"/>
      <c r="H366" s="287"/>
      <c r="I366" s="285"/>
      <c r="J366" s="287"/>
      <c r="K366" s="205"/>
      <c r="L366" s="220"/>
      <c r="M366" s="220"/>
      <c r="N366" s="219"/>
    </row>
    <row r="367" spans="1:14">
      <c r="A367" s="1722"/>
      <c r="B367" s="1721"/>
      <c r="C367" s="1717"/>
      <c r="D367" s="1719"/>
      <c r="E367" s="287"/>
      <c r="F367" s="287"/>
      <c r="G367" s="288"/>
      <c r="H367" s="287"/>
      <c r="I367" s="285"/>
      <c r="J367" s="287"/>
      <c r="K367" s="287"/>
      <c r="L367" s="218"/>
      <c r="M367" s="218"/>
      <c r="N367" s="219"/>
    </row>
    <row r="368" spans="1:14">
      <c r="A368" s="1722"/>
      <c r="B368" s="1721"/>
      <c r="C368" s="1726"/>
      <c r="D368" s="1719"/>
      <c r="E368" s="286"/>
      <c r="F368" s="287"/>
      <c r="G368" s="288"/>
      <c r="H368" s="287"/>
      <c r="I368" s="285"/>
      <c r="J368" s="287"/>
      <c r="K368" s="205"/>
      <c r="L368" s="218"/>
      <c r="M368" s="218"/>
      <c r="N368" s="219"/>
    </row>
    <row r="369" spans="1:14">
      <c r="A369" s="1722"/>
      <c r="B369" s="1721"/>
      <c r="C369" s="1717"/>
      <c r="D369" s="1719"/>
      <c r="E369" s="287"/>
      <c r="F369" s="287"/>
      <c r="G369" s="287"/>
      <c r="H369" s="287"/>
      <c r="I369" s="285"/>
      <c r="J369" s="287"/>
      <c r="K369" s="287"/>
      <c r="L369" s="218"/>
      <c r="M369" s="218"/>
      <c r="N369" s="219"/>
    </row>
    <row r="370" spans="1:14">
      <c r="A370" s="1503"/>
      <c r="B370" s="1502"/>
      <c r="C370" s="1506"/>
      <c r="D370" s="1500"/>
      <c r="E370" s="287"/>
      <c r="F370" s="287"/>
      <c r="G370" s="287"/>
      <c r="H370" s="287"/>
      <c r="I370" s="285"/>
      <c r="J370" s="287"/>
      <c r="K370" s="205"/>
      <c r="L370" s="220"/>
      <c r="M370" s="220"/>
      <c r="N370" s="219"/>
    </row>
    <row r="371" spans="1:14">
      <c r="A371" s="1503"/>
      <c r="B371" s="1502"/>
      <c r="C371" s="1498"/>
      <c r="D371" s="1500"/>
      <c r="E371" s="287"/>
      <c r="F371" s="287"/>
      <c r="G371" s="288"/>
      <c r="H371" s="287"/>
      <c r="I371" s="285"/>
      <c r="J371" s="287"/>
      <c r="K371" s="287"/>
      <c r="L371" s="218"/>
      <c r="M371" s="218"/>
      <c r="N371" s="219"/>
    </row>
    <row r="372" spans="1:14" s="358" customFormat="1">
      <c r="A372" s="1503"/>
      <c r="B372" s="1502"/>
      <c r="C372" s="1506"/>
      <c r="D372" s="1500"/>
      <c r="E372" s="286"/>
      <c r="F372" s="287"/>
      <c r="G372" s="288"/>
      <c r="H372" s="287"/>
      <c r="I372" s="285"/>
      <c r="J372" s="287"/>
      <c r="K372" s="205"/>
      <c r="L372" s="218"/>
      <c r="M372" s="218"/>
      <c r="N372" s="219"/>
    </row>
    <row r="373" spans="1:14" s="358" customFormat="1">
      <c r="A373" s="1503"/>
      <c r="B373" s="1502"/>
      <c r="C373" s="1498"/>
      <c r="D373" s="1500"/>
      <c r="E373" s="287"/>
      <c r="F373" s="287"/>
      <c r="G373" s="288"/>
      <c r="H373" s="287"/>
      <c r="I373" s="285"/>
      <c r="J373" s="287"/>
      <c r="K373" s="287"/>
      <c r="L373" s="218"/>
      <c r="M373" s="218"/>
      <c r="N373" s="219"/>
    </row>
    <row r="374" spans="1:14" s="358" customFormat="1">
      <c r="A374" s="1722"/>
      <c r="B374" s="1721"/>
      <c r="C374" s="1726"/>
      <c r="D374" s="1719"/>
      <c r="E374" s="286"/>
      <c r="F374" s="1717" t="s">
        <v>292</v>
      </c>
      <c r="G374" s="1737">
        <v>270</v>
      </c>
      <c r="H374" s="1736">
        <v>9</v>
      </c>
      <c r="I374" s="285"/>
      <c r="J374" s="287"/>
      <c r="K374" s="205"/>
      <c r="L374" s="218"/>
      <c r="M374" s="218"/>
      <c r="N374" s="219"/>
    </row>
    <row r="375" spans="1:14" s="358" customFormat="1">
      <c r="A375" s="1722"/>
      <c r="B375" s="1721"/>
      <c r="C375" s="1717"/>
      <c r="D375" s="1719"/>
      <c r="E375" s="287"/>
      <c r="F375" s="1717" t="s">
        <v>291</v>
      </c>
      <c r="G375" s="1737">
        <v>180</v>
      </c>
      <c r="H375" s="1736">
        <v>10</v>
      </c>
      <c r="I375" s="285"/>
      <c r="J375" s="287"/>
      <c r="K375" s="287"/>
      <c r="L375" s="218"/>
      <c r="M375" s="218"/>
      <c r="N375" s="219"/>
    </row>
    <row r="376" spans="1:14">
      <c r="A376" s="1722"/>
      <c r="B376" s="1721"/>
      <c r="C376" s="1726"/>
      <c r="D376" s="1719"/>
      <c r="E376" s="286"/>
      <c r="F376" s="287" t="s">
        <v>217</v>
      </c>
      <c r="G376" s="1737">
        <v>332</v>
      </c>
      <c r="H376" s="1736">
        <v>24</v>
      </c>
      <c r="I376" s="285"/>
      <c r="J376" s="287"/>
      <c r="K376" s="205"/>
      <c r="L376" s="218"/>
      <c r="M376" s="218"/>
      <c r="N376" s="219"/>
    </row>
    <row r="377" spans="1:14">
      <c r="A377" s="1722"/>
      <c r="B377" s="1721"/>
      <c r="C377" s="1717"/>
      <c r="D377" s="1719"/>
      <c r="E377" s="287"/>
      <c r="F377" s="287" t="s">
        <v>211</v>
      </c>
      <c r="G377" s="1736">
        <v>107</v>
      </c>
      <c r="H377" s="1736">
        <v>20</v>
      </c>
      <c r="I377" s="285"/>
      <c r="J377" s="287"/>
      <c r="K377" s="287"/>
      <c r="L377" s="218"/>
      <c r="M377" s="218"/>
      <c r="N377" s="219"/>
    </row>
    <row r="378" spans="1:14" s="358" customFormat="1">
      <c r="A378" s="1722"/>
      <c r="B378" s="1721"/>
      <c r="C378" s="1726"/>
      <c r="D378" s="1719"/>
      <c r="E378" s="287"/>
      <c r="F378" s="287" t="s">
        <v>957</v>
      </c>
      <c r="G378" s="1736">
        <v>131</v>
      </c>
      <c r="H378" s="1736">
        <v>25</v>
      </c>
      <c r="I378" s="285"/>
      <c r="J378" s="287"/>
      <c r="K378" s="205"/>
      <c r="L378" s="220"/>
      <c r="M378" s="220"/>
      <c r="N378" s="219"/>
    </row>
    <row r="379" spans="1:14">
      <c r="A379" s="1722"/>
      <c r="B379" s="1721"/>
      <c r="C379" s="1717"/>
      <c r="D379" s="1719"/>
      <c r="E379" s="287"/>
      <c r="F379" s="287" t="s">
        <v>166</v>
      </c>
      <c r="G379" s="1737">
        <v>225</v>
      </c>
      <c r="H379" s="1736">
        <v>15</v>
      </c>
      <c r="I379" s="285"/>
      <c r="J379" s="287"/>
      <c r="K379" s="287"/>
      <c r="L379" s="218"/>
      <c r="M379" s="218"/>
      <c r="N379" s="219"/>
    </row>
    <row r="380" spans="1:14">
      <c r="A380" s="1722"/>
      <c r="B380" s="1721"/>
      <c r="C380" s="1726"/>
      <c r="D380" s="1719"/>
      <c r="E380" s="286"/>
      <c r="F380" s="287" t="s">
        <v>204</v>
      </c>
      <c r="G380" s="1737">
        <v>355</v>
      </c>
      <c r="H380" s="1736">
        <v>18</v>
      </c>
      <c r="I380" s="285"/>
      <c r="J380" s="287"/>
      <c r="K380" s="205"/>
      <c r="L380" s="218"/>
      <c r="M380" s="218"/>
      <c r="N380" s="219"/>
    </row>
    <row r="381" spans="1:14">
      <c r="A381" s="1722"/>
      <c r="B381" s="1721"/>
      <c r="C381" s="1717"/>
      <c r="D381" s="1719"/>
      <c r="E381" s="287"/>
      <c r="F381" s="287" t="s">
        <v>205</v>
      </c>
      <c r="G381" s="1736">
        <v>489</v>
      </c>
      <c r="H381" s="1736">
        <v>20</v>
      </c>
      <c r="I381" s="285"/>
      <c r="J381" s="287"/>
      <c r="K381" s="205"/>
      <c r="L381" s="218"/>
      <c r="M381" s="218"/>
      <c r="N381" s="219"/>
    </row>
    <row r="382" spans="1:14">
      <c r="A382" s="1722"/>
      <c r="B382" s="1721"/>
      <c r="C382" s="1726"/>
      <c r="D382" s="1719"/>
      <c r="E382" s="287"/>
      <c r="F382" s="287" t="s">
        <v>206</v>
      </c>
      <c r="G382" s="1736">
        <v>485</v>
      </c>
      <c r="H382" s="1736">
        <v>20</v>
      </c>
      <c r="I382" s="285"/>
      <c r="J382" s="287"/>
      <c r="K382" s="287"/>
      <c r="L382" s="220"/>
      <c r="M382" s="220"/>
      <c r="N382" s="219"/>
    </row>
    <row r="383" spans="1:14">
      <c r="A383" s="1722"/>
      <c r="B383" s="1721"/>
      <c r="C383" s="1717"/>
      <c r="D383" s="1719"/>
      <c r="E383" s="287"/>
      <c r="F383" s="287" t="s">
        <v>207</v>
      </c>
      <c r="G383" s="1737">
        <v>538</v>
      </c>
      <c r="H383" s="1736">
        <v>21</v>
      </c>
      <c r="I383" s="285"/>
      <c r="J383" s="287"/>
      <c r="K383" s="287"/>
      <c r="L383" s="218"/>
      <c r="M383" s="218"/>
      <c r="N383" s="219"/>
    </row>
    <row r="384" spans="1:14">
      <c r="A384" s="1722"/>
      <c r="B384" s="1721"/>
      <c r="C384" s="1726"/>
      <c r="D384" s="1719"/>
      <c r="E384" s="286"/>
      <c r="F384" s="287" t="s">
        <v>208</v>
      </c>
      <c r="G384" s="1737">
        <v>521</v>
      </c>
      <c r="H384" s="1736">
        <v>17</v>
      </c>
      <c r="I384" s="285"/>
      <c r="J384" s="287"/>
      <c r="K384" s="205"/>
      <c r="L384" s="218"/>
      <c r="M384" s="218"/>
      <c r="N384" s="219"/>
    </row>
    <row r="385" spans="1:14">
      <c r="A385" s="1722"/>
      <c r="B385" s="1721"/>
      <c r="C385" s="1717"/>
      <c r="D385" s="1719"/>
      <c r="E385" s="287"/>
      <c r="F385" s="287" t="s">
        <v>1374</v>
      </c>
      <c r="G385" s="1736">
        <v>2217</v>
      </c>
      <c r="H385" s="1736">
        <v>11</v>
      </c>
      <c r="I385" s="285"/>
      <c r="J385" s="287"/>
      <c r="K385" s="287"/>
      <c r="L385" s="218"/>
      <c r="M385" s="218"/>
      <c r="N385" s="219"/>
    </row>
    <row r="386" spans="1:14">
      <c r="A386" s="1722"/>
      <c r="B386" s="1721"/>
      <c r="C386" s="1726"/>
      <c r="D386" s="1719"/>
      <c r="E386" s="287"/>
      <c r="F386" s="287" t="s">
        <v>1372</v>
      </c>
      <c r="G386" s="1736">
        <v>510</v>
      </c>
      <c r="H386" s="1736">
        <v>20</v>
      </c>
      <c r="I386" s="285"/>
      <c r="J386" s="287"/>
      <c r="K386" s="205"/>
      <c r="L386" s="220"/>
      <c r="M386" s="220"/>
      <c r="N386" s="219"/>
    </row>
    <row r="387" spans="1:14">
      <c r="A387" s="1722"/>
      <c r="B387" s="1721"/>
      <c r="C387" s="1717"/>
      <c r="D387" s="1719"/>
      <c r="E387" s="287"/>
      <c r="F387" s="358" t="s">
        <v>361</v>
      </c>
      <c r="G387" s="1737">
        <v>715</v>
      </c>
      <c r="H387" s="1736">
        <v>62</v>
      </c>
      <c r="I387" s="285"/>
      <c r="J387" s="287"/>
      <c r="K387" s="287"/>
      <c r="L387" s="218"/>
      <c r="M387" s="218"/>
      <c r="N387" s="219"/>
    </row>
    <row r="388" spans="1:14">
      <c r="A388" s="1722"/>
      <c r="B388" s="1721"/>
      <c r="C388" s="1726"/>
      <c r="D388" s="1719"/>
      <c r="E388" s="286"/>
      <c r="F388" s="287" t="s">
        <v>502</v>
      </c>
      <c r="G388" s="1737">
        <v>3621</v>
      </c>
      <c r="H388" s="1736">
        <v>73</v>
      </c>
      <c r="I388" s="285"/>
      <c r="J388" s="287"/>
      <c r="K388" s="205"/>
      <c r="L388" s="218"/>
      <c r="M388" s="218"/>
      <c r="N388" s="219"/>
    </row>
    <row r="389" spans="1:14">
      <c r="A389" s="1722"/>
      <c r="B389" s="1721"/>
      <c r="C389" s="1717"/>
      <c r="D389" s="1719"/>
      <c r="E389" s="287"/>
      <c r="F389" s="287" t="s">
        <v>210</v>
      </c>
      <c r="G389" s="1736">
        <v>329</v>
      </c>
      <c r="H389" s="1736">
        <v>12</v>
      </c>
      <c r="I389" s="285"/>
      <c r="J389" s="287"/>
      <c r="K389" s="287"/>
      <c r="L389" s="218"/>
      <c r="M389" s="218"/>
      <c r="N389" s="219"/>
    </row>
    <row r="390" spans="1:14">
      <c r="A390" s="1722"/>
      <c r="B390" s="1721"/>
      <c r="C390" s="1726"/>
      <c r="D390" s="1719"/>
      <c r="E390" s="287"/>
      <c r="F390" s="287" t="s">
        <v>209</v>
      </c>
      <c r="G390" s="1736">
        <v>655</v>
      </c>
      <c r="H390" s="1736">
        <v>22</v>
      </c>
      <c r="I390" s="285"/>
      <c r="J390" s="287"/>
      <c r="K390" s="205"/>
      <c r="L390" s="220"/>
      <c r="M390" s="220"/>
      <c r="N390" s="219"/>
    </row>
    <row r="391" spans="1:14">
      <c r="A391" s="1722"/>
      <c r="B391" s="1721"/>
      <c r="C391" s="1717"/>
      <c r="D391" s="1719"/>
      <c r="E391" s="287"/>
      <c r="F391" s="287"/>
      <c r="G391" s="288"/>
      <c r="H391" s="287"/>
      <c r="I391" s="285"/>
      <c r="J391" s="287"/>
      <c r="K391" s="287"/>
      <c r="L391" s="218"/>
      <c r="M391" s="218"/>
      <c r="N391" s="219"/>
    </row>
    <row r="392" spans="1:14">
      <c r="A392" s="1722"/>
      <c r="B392" s="1721"/>
      <c r="C392" s="1726"/>
      <c r="D392" s="1719"/>
      <c r="E392" s="286"/>
      <c r="F392" s="287"/>
      <c r="G392" s="288"/>
      <c r="H392" s="287"/>
      <c r="I392" s="285"/>
      <c r="J392" s="287"/>
      <c r="K392" s="205"/>
      <c r="L392" s="218"/>
      <c r="M392" s="218"/>
      <c r="N392" s="219"/>
    </row>
    <row r="393" spans="1:14">
      <c r="A393" s="1722"/>
      <c r="B393" s="1721"/>
      <c r="C393" s="1717"/>
      <c r="D393" s="1719"/>
      <c r="E393" s="287"/>
      <c r="F393" s="287"/>
      <c r="G393" s="287"/>
      <c r="H393" s="287"/>
      <c r="I393" s="285"/>
      <c r="J393" s="287"/>
      <c r="K393" s="287"/>
      <c r="L393" s="218"/>
      <c r="M393" s="218"/>
      <c r="N393" s="219"/>
    </row>
    <row r="394" spans="1:14">
      <c r="A394" s="1722"/>
      <c r="B394" s="1721"/>
      <c r="C394" s="1726"/>
      <c r="D394" s="1719"/>
      <c r="E394" s="287"/>
      <c r="F394" s="287"/>
      <c r="G394" s="287"/>
      <c r="H394" s="287"/>
      <c r="I394" s="285"/>
      <c r="J394" s="287"/>
      <c r="K394" s="205"/>
      <c r="L394" s="220"/>
      <c r="M394" s="220"/>
      <c r="N394" s="219"/>
    </row>
    <row r="395" spans="1:14">
      <c r="A395" s="1722"/>
      <c r="B395" s="1721"/>
      <c r="C395" s="1717"/>
      <c r="D395" s="1719"/>
      <c r="E395" s="287"/>
      <c r="F395" s="287"/>
      <c r="G395" s="288"/>
      <c r="H395" s="287"/>
      <c r="I395" s="285"/>
      <c r="J395" s="287"/>
      <c r="K395" s="287"/>
      <c r="L395" s="218"/>
      <c r="M395" s="218"/>
      <c r="N395" s="219"/>
    </row>
    <row r="396" spans="1:14">
      <c r="A396" s="1722"/>
      <c r="B396" s="1721"/>
      <c r="C396" s="1726"/>
      <c r="D396" s="1719"/>
      <c r="E396" s="286"/>
      <c r="F396" s="287"/>
      <c r="G396" s="288"/>
      <c r="H396" s="287"/>
      <c r="I396" s="285"/>
      <c r="J396" s="287"/>
      <c r="K396" s="205"/>
      <c r="L396" s="218"/>
      <c r="M396" s="218"/>
      <c r="N396" s="219"/>
    </row>
    <row r="397" spans="1:14">
      <c r="A397" s="1722"/>
      <c r="B397" s="1721"/>
      <c r="C397" s="1717"/>
      <c r="D397" s="1719"/>
      <c r="E397" s="287"/>
      <c r="F397" s="287"/>
      <c r="G397" s="287"/>
      <c r="H397" s="287"/>
      <c r="I397" s="285"/>
      <c r="J397" s="287"/>
      <c r="K397" s="287"/>
      <c r="L397" s="218"/>
      <c r="M397" s="218"/>
      <c r="N397" s="219"/>
    </row>
    <row r="398" spans="1:14">
      <c r="A398" s="1722"/>
      <c r="B398" s="1721"/>
      <c r="C398" s="1726"/>
      <c r="D398" s="1719"/>
      <c r="E398" s="287"/>
      <c r="F398" s="287"/>
      <c r="G398" s="287"/>
      <c r="H398" s="287"/>
      <c r="I398" s="285"/>
      <c r="J398" s="287"/>
      <c r="K398" s="205"/>
      <c r="L398" s="220"/>
      <c r="M398" s="220"/>
      <c r="N398" s="219"/>
    </row>
    <row r="399" spans="1:14">
      <c r="A399" s="1722"/>
      <c r="B399" s="1721"/>
      <c r="C399" s="1717"/>
      <c r="D399" s="1719"/>
      <c r="E399" s="287"/>
      <c r="F399" s="287"/>
      <c r="G399" s="288"/>
      <c r="H399" s="287"/>
      <c r="I399" s="285"/>
      <c r="J399" s="287"/>
      <c r="K399" s="287"/>
      <c r="L399" s="218"/>
      <c r="M399" s="218"/>
      <c r="N399" s="219"/>
    </row>
    <row r="400" spans="1:14">
      <c r="A400" s="1722"/>
      <c r="B400" s="1721"/>
      <c r="C400" s="1726"/>
      <c r="D400" s="1719"/>
      <c r="E400" s="286"/>
      <c r="F400" s="287"/>
      <c r="G400" s="288"/>
      <c r="H400" s="287"/>
      <c r="I400" s="285"/>
      <c r="J400" s="287"/>
      <c r="K400" s="205"/>
      <c r="L400" s="218"/>
      <c r="M400" s="218"/>
      <c r="N400" s="219"/>
    </row>
    <row r="401" spans="1:14">
      <c r="A401" s="1722"/>
      <c r="B401" s="1721"/>
      <c r="C401" s="1717"/>
      <c r="D401" s="1719"/>
      <c r="E401" s="287"/>
      <c r="F401" s="287"/>
      <c r="G401" s="287"/>
      <c r="H401" s="287"/>
      <c r="I401" s="285"/>
      <c r="J401" s="287"/>
      <c r="K401" s="287"/>
      <c r="L401" s="218"/>
      <c r="M401" s="218"/>
      <c r="N401" s="219"/>
    </row>
    <row r="402" spans="1:14">
      <c r="A402" s="1722"/>
      <c r="B402" s="1721"/>
      <c r="C402" s="1726"/>
      <c r="D402" s="1719"/>
      <c r="E402" s="287"/>
      <c r="F402" s="287"/>
      <c r="G402" s="287"/>
      <c r="H402" s="287"/>
      <c r="I402" s="285"/>
      <c r="J402" s="287"/>
      <c r="K402" s="205"/>
      <c r="L402" s="220"/>
      <c r="M402" s="220"/>
      <c r="N402" s="219"/>
    </row>
    <row r="403" spans="1:14">
      <c r="A403" s="1722"/>
      <c r="B403" s="1721"/>
      <c r="C403" s="1717"/>
      <c r="D403" s="1719"/>
      <c r="E403" s="287"/>
      <c r="F403" s="287"/>
      <c r="G403" s="288"/>
      <c r="H403" s="287"/>
      <c r="I403" s="285"/>
      <c r="J403" s="287"/>
      <c r="K403" s="287"/>
      <c r="L403" s="218"/>
      <c r="M403" s="218"/>
      <c r="N403" s="219"/>
    </row>
    <row r="404" spans="1:14">
      <c r="A404" s="1722"/>
      <c r="B404" s="1721"/>
      <c r="C404" s="1726"/>
      <c r="D404" s="1719"/>
      <c r="E404" s="286"/>
      <c r="F404" s="287"/>
      <c r="G404" s="288"/>
      <c r="H404" s="287"/>
      <c r="I404" s="285"/>
      <c r="J404" s="287"/>
      <c r="K404" s="205"/>
      <c r="L404" s="218"/>
      <c r="M404" s="218"/>
      <c r="N404" s="219"/>
    </row>
    <row r="405" spans="1:14">
      <c r="A405" s="1722"/>
      <c r="B405" s="1721"/>
      <c r="C405" s="1717"/>
      <c r="D405" s="1719"/>
      <c r="E405" s="287"/>
      <c r="F405" s="287"/>
      <c r="G405" s="287"/>
      <c r="H405" s="287"/>
      <c r="I405" s="285"/>
      <c r="J405" s="287"/>
      <c r="K405" s="287"/>
      <c r="L405" s="218"/>
      <c r="M405" s="218"/>
      <c r="N405" s="219"/>
    </row>
    <row r="406" spans="1:14">
      <c r="A406" s="284"/>
      <c r="B406" s="285"/>
      <c r="C406" s="109"/>
      <c r="D406" s="109"/>
      <c r="E406" s="287"/>
      <c r="F406" s="287"/>
      <c r="G406" s="287"/>
      <c r="H406" s="287"/>
      <c r="I406" s="285"/>
      <c r="J406" s="287"/>
      <c r="K406" s="205"/>
      <c r="L406" s="220"/>
      <c r="M406" s="220"/>
      <c r="N406" s="219"/>
    </row>
    <row r="407" spans="1:14">
      <c r="A407" s="284"/>
      <c r="B407" s="285"/>
      <c r="C407" s="109"/>
      <c r="D407" s="109"/>
      <c r="E407" s="287"/>
      <c r="F407" s="287"/>
      <c r="G407" s="288"/>
      <c r="H407" s="287"/>
      <c r="I407" s="285"/>
      <c r="J407" s="287"/>
      <c r="K407" s="287"/>
      <c r="L407" s="218"/>
      <c r="M407" s="218"/>
      <c r="N407" s="219"/>
    </row>
    <row r="408" spans="1:14">
      <c r="A408" s="284"/>
      <c r="B408" s="285"/>
      <c r="C408" s="109"/>
      <c r="D408" s="109"/>
      <c r="E408" s="286"/>
      <c r="F408" s="287"/>
      <c r="G408" s="288"/>
      <c r="H408" s="287"/>
      <c r="I408" s="285"/>
      <c r="J408" s="287"/>
      <c r="K408" s="205"/>
      <c r="L408" s="218"/>
      <c r="M408" s="218"/>
      <c r="N408" s="219"/>
    </row>
    <row r="409" spans="1:14">
      <c r="A409" s="284"/>
      <c r="B409" s="285"/>
      <c r="C409" s="109"/>
      <c r="D409" s="109"/>
      <c r="E409" s="287"/>
      <c r="F409" s="287"/>
      <c r="G409" s="287"/>
      <c r="H409" s="287"/>
      <c r="I409" s="285"/>
      <c r="J409" s="287"/>
      <c r="K409" s="287"/>
      <c r="L409" s="218"/>
      <c r="M409" s="218"/>
      <c r="N409" s="219"/>
    </row>
    <row r="410" spans="1:14">
      <c r="A410" s="284"/>
      <c r="B410" s="285"/>
      <c r="C410" s="109"/>
      <c r="D410" s="109"/>
      <c r="E410" s="287"/>
      <c r="F410" s="287"/>
      <c r="G410" s="287"/>
      <c r="H410" s="287"/>
      <c r="I410" s="285"/>
      <c r="J410" s="287"/>
      <c r="K410" s="205"/>
      <c r="L410" s="220"/>
      <c r="M410" s="220"/>
      <c r="N410" s="219"/>
    </row>
    <row r="411" spans="1:14">
      <c r="A411" s="284"/>
      <c r="B411" s="285"/>
      <c r="C411" s="109"/>
      <c r="D411" s="109"/>
      <c r="E411" s="287"/>
      <c r="F411" s="287"/>
      <c r="G411" s="288"/>
      <c r="H411" s="287"/>
      <c r="I411" s="285"/>
      <c r="J411" s="287"/>
      <c r="K411" s="287"/>
      <c r="L411" s="218"/>
      <c r="M411" s="218"/>
      <c r="N411" s="219"/>
    </row>
    <row r="412" spans="1:14">
      <c r="A412" s="284"/>
      <c r="B412" s="285"/>
      <c r="C412" s="109"/>
      <c r="D412" s="109"/>
      <c r="E412" s="286"/>
      <c r="F412" s="287"/>
      <c r="G412" s="288"/>
      <c r="H412" s="287"/>
      <c r="I412" s="285"/>
      <c r="J412" s="287"/>
      <c r="K412" s="205"/>
      <c r="L412" s="218"/>
      <c r="M412" s="218"/>
      <c r="N412" s="219"/>
    </row>
    <row r="413" spans="1:14">
      <c r="A413" s="284"/>
      <c r="B413" s="285"/>
      <c r="C413" s="109"/>
      <c r="D413" s="109"/>
      <c r="E413" s="287"/>
      <c r="F413" s="287"/>
      <c r="G413" s="287"/>
      <c r="H413" s="287"/>
      <c r="I413" s="285"/>
      <c r="J413" s="287"/>
      <c r="K413" s="287"/>
      <c r="L413" s="218"/>
      <c r="M413" s="218"/>
      <c r="N413" s="219"/>
    </row>
    <row r="414" spans="1:14">
      <c r="A414" s="284"/>
      <c r="B414" s="285"/>
      <c r="C414" s="109"/>
      <c r="D414" s="109"/>
      <c r="E414" s="287"/>
      <c r="F414" s="287"/>
      <c r="G414" s="287"/>
      <c r="H414" s="287"/>
      <c r="I414" s="285"/>
      <c r="J414" s="287"/>
      <c r="K414" s="205"/>
      <c r="L414" s="220"/>
      <c r="M414" s="220"/>
      <c r="N414" s="219"/>
    </row>
    <row r="415" spans="1:14">
      <c r="A415" s="284"/>
      <c r="B415" s="285"/>
      <c r="C415" s="109"/>
      <c r="D415" s="109"/>
      <c r="E415" s="287"/>
      <c r="F415" s="287"/>
      <c r="G415" s="288"/>
      <c r="H415" s="287"/>
      <c r="I415" s="285"/>
      <c r="J415" s="287"/>
      <c r="K415" s="287"/>
      <c r="L415" s="218"/>
      <c r="M415" s="218"/>
      <c r="N415" s="219"/>
    </row>
    <row r="416" spans="1:14">
      <c r="A416" s="284"/>
      <c r="B416" s="285"/>
      <c r="C416" s="109"/>
      <c r="D416" s="109"/>
      <c r="E416" s="286"/>
      <c r="F416" s="287"/>
      <c r="G416" s="288"/>
      <c r="H416" s="287"/>
      <c r="I416" s="285"/>
      <c r="J416" s="287"/>
      <c r="K416" s="205"/>
      <c r="L416" s="218"/>
      <c r="M416" s="218"/>
      <c r="N416" s="219"/>
    </row>
    <row r="417" spans="1:14">
      <c r="A417" s="284"/>
      <c r="B417" s="285"/>
      <c r="C417" s="109"/>
      <c r="D417" s="109"/>
      <c r="E417" s="287"/>
      <c r="F417" s="287"/>
      <c r="G417" s="288"/>
      <c r="H417" s="287"/>
      <c r="I417" s="285"/>
      <c r="J417" s="287"/>
      <c r="K417" s="287"/>
      <c r="L417" s="218"/>
      <c r="M417" s="218"/>
      <c r="N417" s="219"/>
    </row>
    <row r="418" spans="1:14">
      <c r="A418" s="284"/>
      <c r="B418" s="285"/>
      <c r="C418" s="109"/>
      <c r="D418" s="109"/>
      <c r="E418" s="286"/>
      <c r="F418" s="287"/>
      <c r="G418" s="288"/>
      <c r="H418" s="287"/>
      <c r="I418" s="285"/>
      <c r="J418" s="287"/>
      <c r="K418" s="205"/>
      <c r="L418" s="218"/>
      <c r="M418" s="218"/>
      <c r="N418" s="219"/>
    </row>
    <row r="419" spans="1:14">
      <c r="A419" s="284"/>
      <c r="B419" s="285"/>
      <c r="C419" s="109"/>
      <c r="D419" s="109"/>
      <c r="E419" s="287"/>
      <c r="F419" s="287"/>
      <c r="G419" s="288"/>
      <c r="H419" s="287"/>
      <c r="I419" s="285"/>
      <c r="J419" s="287"/>
      <c r="K419" s="287"/>
      <c r="L419" s="218"/>
      <c r="M419" s="218"/>
      <c r="N419" s="219"/>
    </row>
    <row r="420" spans="1:14">
      <c r="A420" s="284"/>
      <c r="B420" s="285"/>
      <c r="C420" s="109"/>
      <c r="D420" s="109"/>
      <c r="E420" s="286"/>
      <c r="F420" s="287"/>
      <c r="G420" s="288"/>
      <c r="H420" s="287"/>
      <c r="I420" s="285"/>
      <c r="J420" s="287"/>
      <c r="K420" s="205"/>
      <c r="L420" s="218"/>
      <c r="M420" s="218"/>
      <c r="N420" s="219"/>
    </row>
    <row r="421" spans="1:14">
      <c r="A421" s="284"/>
      <c r="B421" s="285"/>
      <c r="C421" s="109"/>
      <c r="D421" s="109"/>
      <c r="E421" s="287"/>
      <c r="F421" s="287"/>
      <c r="G421" s="287"/>
      <c r="H421" s="287"/>
      <c r="I421" s="285"/>
      <c r="J421" s="287"/>
      <c r="K421" s="287"/>
      <c r="L421" s="218"/>
      <c r="M421" s="218"/>
      <c r="N421" s="219"/>
    </row>
    <row r="422" spans="1:14">
      <c r="A422" s="284"/>
      <c r="B422" s="285"/>
      <c r="C422" s="109"/>
      <c r="D422" s="109"/>
      <c r="E422" s="287"/>
      <c r="F422" s="287"/>
      <c r="G422" s="287"/>
      <c r="H422" s="287"/>
      <c r="I422" s="285"/>
      <c r="J422" s="287"/>
      <c r="K422" s="287"/>
      <c r="L422" s="220"/>
      <c r="M422" s="220"/>
      <c r="N422" s="219"/>
    </row>
    <row r="423" spans="1:14">
      <c r="A423" s="284"/>
      <c r="B423" s="285"/>
      <c r="C423" s="109"/>
      <c r="D423" s="109"/>
      <c r="E423" s="287"/>
      <c r="F423" s="287"/>
      <c r="G423" s="288"/>
      <c r="H423" s="287"/>
      <c r="I423" s="285"/>
      <c r="J423" s="287"/>
      <c r="K423" s="287"/>
      <c r="L423" s="218"/>
      <c r="M423" s="218"/>
      <c r="N423" s="219"/>
    </row>
    <row r="424" spans="1:14">
      <c r="A424" s="284"/>
      <c r="B424" s="285"/>
      <c r="C424" s="109"/>
      <c r="D424" s="109"/>
      <c r="E424" s="286"/>
      <c r="F424" s="287"/>
      <c r="G424" s="288"/>
      <c r="H424" s="287"/>
      <c r="I424" s="285"/>
      <c r="J424" s="287"/>
      <c r="K424" s="205"/>
      <c r="L424" s="218"/>
      <c r="M424" s="218"/>
      <c r="N424" s="219"/>
    </row>
    <row r="425" spans="1:14">
      <c r="A425" s="284"/>
      <c r="B425" s="285"/>
      <c r="C425" s="109"/>
      <c r="D425" s="109"/>
      <c r="E425" s="287"/>
      <c r="F425" s="287"/>
      <c r="G425" s="287"/>
      <c r="H425" s="287"/>
      <c r="I425" s="285"/>
      <c r="J425" s="287"/>
      <c r="K425" s="287"/>
      <c r="L425" s="218"/>
      <c r="M425" s="218"/>
      <c r="N425" s="219"/>
    </row>
    <row r="426" spans="1:14">
      <c r="A426" s="284"/>
      <c r="B426" s="285"/>
      <c r="C426" s="109"/>
      <c r="D426" s="109"/>
      <c r="E426" s="287"/>
      <c r="F426" s="287"/>
      <c r="G426" s="287"/>
      <c r="H426" s="287"/>
      <c r="I426" s="285"/>
      <c r="J426" s="287"/>
      <c r="K426" s="205"/>
      <c r="L426" s="220"/>
      <c r="M426" s="220"/>
      <c r="N426" s="219"/>
    </row>
    <row r="427" spans="1:14">
      <c r="A427" s="284"/>
      <c r="B427" s="285"/>
      <c r="C427" s="109"/>
      <c r="D427" s="109"/>
      <c r="E427" s="287"/>
      <c r="F427" s="287"/>
      <c r="G427" s="288"/>
      <c r="H427" s="287"/>
      <c r="I427" s="285"/>
      <c r="J427" s="287"/>
      <c r="K427" s="287"/>
      <c r="L427" s="218"/>
      <c r="M427" s="218"/>
      <c r="N427" s="219"/>
    </row>
    <row r="428" spans="1:14">
      <c r="A428" s="284"/>
      <c r="B428" s="285"/>
      <c r="C428" s="109"/>
      <c r="D428" s="109"/>
      <c r="E428" s="286"/>
      <c r="F428" s="287"/>
      <c r="G428" s="288"/>
      <c r="H428" s="287"/>
      <c r="I428" s="285"/>
      <c r="J428" s="287"/>
      <c r="K428" s="205"/>
      <c r="L428" s="218"/>
      <c r="M428" s="218"/>
      <c r="N428" s="219"/>
    </row>
    <row r="429" spans="1:14">
      <c r="A429" s="284"/>
      <c r="B429" s="285"/>
      <c r="C429" s="109"/>
      <c r="D429" s="109"/>
      <c r="E429" s="287"/>
      <c r="F429" s="287"/>
      <c r="G429" s="287"/>
      <c r="H429" s="287"/>
      <c r="I429" s="285"/>
      <c r="J429" s="287"/>
      <c r="K429" s="287"/>
      <c r="L429" s="218"/>
      <c r="M429" s="218"/>
      <c r="N429" s="219"/>
    </row>
    <row r="430" spans="1:14">
      <c r="A430" s="284"/>
      <c r="B430" s="285"/>
      <c r="C430" s="109"/>
      <c r="D430" s="109"/>
      <c r="E430" s="287"/>
      <c r="F430" s="287"/>
      <c r="G430" s="287"/>
      <c r="H430" s="287"/>
      <c r="I430" s="285"/>
      <c r="J430" s="287"/>
      <c r="K430" s="205"/>
      <c r="L430" s="220"/>
      <c r="M430" s="220"/>
      <c r="N430" s="219"/>
    </row>
    <row r="431" spans="1:14">
      <c r="A431" s="284"/>
      <c r="B431" s="285"/>
      <c r="C431" s="109"/>
      <c r="D431" s="109"/>
      <c r="E431" s="287"/>
      <c r="F431" s="287"/>
      <c r="G431" s="288"/>
      <c r="H431" s="287"/>
      <c r="I431" s="285"/>
      <c r="J431" s="287"/>
      <c r="K431" s="287"/>
      <c r="L431" s="218"/>
      <c r="M431" s="218"/>
      <c r="N431" s="219"/>
    </row>
  </sheetData>
  <mergeCells count="25">
    <mergeCell ref="AG3:AH3"/>
    <mergeCell ref="W3:X3"/>
    <mergeCell ref="Y3:Z3"/>
    <mergeCell ref="AA3:AB3"/>
    <mergeCell ref="AC3:AD3"/>
    <mergeCell ref="AE3:AF3"/>
    <mergeCell ref="S5:S6"/>
    <mergeCell ref="T5:T6"/>
    <mergeCell ref="U3:U4"/>
    <mergeCell ref="V3:V4"/>
    <mergeCell ref="S202:T202"/>
    <mergeCell ref="S24:S25"/>
    <mergeCell ref="T24:T25"/>
    <mergeCell ref="S27:S28"/>
    <mergeCell ref="T27:T28"/>
    <mergeCell ref="S7:S9"/>
    <mergeCell ref="T7:T9"/>
    <mergeCell ref="S12:S17"/>
    <mergeCell ref="T12:T17"/>
    <mergeCell ref="T18:T20"/>
    <mergeCell ref="G202:H202"/>
    <mergeCell ref="I202:J202"/>
    <mergeCell ref="K202:L202"/>
    <mergeCell ref="M202:N202"/>
    <mergeCell ref="O202:Q202"/>
  </mergeCells>
  <pageMargins left="0.7" right="0.7" top="0.75" bottom="0.75" header="0.3" footer="0.3"/>
  <pageSetup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 tint="0.59999389629810485"/>
  </sheetPr>
  <dimension ref="A1:V111"/>
  <sheetViews>
    <sheetView topLeftCell="J1" workbookViewId="0">
      <pane ySplit="1" topLeftCell="A89" activePane="bottomLeft" state="frozen"/>
      <selection pane="bottomLeft" activeCell="U106" sqref="U106"/>
    </sheetView>
  </sheetViews>
  <sheetFormatPr defaultColWidth="9.08984375" defaultRowHeight="12.5"/>
  <cols>
    <col min="1" max="1" width="11.6328125" style="244" bestFit="1" customWidth="1"/>
    <col min="2" max="2" width="7.08984375" style="245" customWidth="1"/>
    <col min="3" max="3" width="14.08984375" style="247" customWidth="1"/>
    <col min="4" max="4" width="9" style="244" bestFit="1" customWidth="1"/>
    <col min="5" max="5" width="6.81640625" style="422" customWidth="1"/>
    <col min="6" max="6" width="6.81640625" style="248" customWidth="1"/>
    <col min="7" max="7" width="8.08984375" style="559" customWidth="1"/>
    <col min="8" max="8" width="7.54296875" style="248" customWidth="1"/>
    <col min="9" max="9" width="6.90625" style="248" customWidth="1"/>
    <col min="10" max="10" width="7.6328125" style="559" customWidth="1"/>
    <col min="11" max="11" width="6.453125" style="559" customWidth="1"/>
    <col min="12" max="12" width="10.54296875" style="559" customWidth="1"/>
    <col min="13" max="13" width="10.54296875" style="246" bestFit="1" customWidth="1"/>
    <col min="14" max="14" width="6.54296875" style="244" bestFit="1" customWidth="1"/>
    <col min="15" max="18" width="9.08984375" style="244"/>
    <col min="19" max="19" width="13.1796875" style="244" customWidth="1"/>
    <col min="20" max="20" width="9.08984375" style="244"/>
    <col min="21" max="21" width="16.81640625" style="244" customWidth="1"/>
    <col min="22" max="16384" width="9.08984375" style="244"/>
  </cols>
  <sheetData>
    <row r="1" spans="1:22" ht="37.5">
      <c r="A1" s="560" t="s">
        <v>236</v>
      </c>
      <c r="B1" s="261" t="s">
        <v>9</v>
      </c>
      <c r="C1" s="262" t="s">
        <v>235</v>
      </c>
      <c r="D1" s="262" t="s">
        <v>133</v>
      </c>
      <c r="E1" s="561" t="s">
        <v>135</v>
      </c>
      <c r="F1" s="311" t="s">
        <v>139</v>
      </c>
      <c r="G1" s="758" t="s">
        <v>963</v>
      </c>
      <c r="H1" s="562" t="s">
        <v>964</v>
      </c>
      <c r="I1" s="311" t="s">
        <v>1379</v>
      </c>
      <c r="J1" s="755" t="s">
        <v>873</v>
      </c>
      <c r="K1" s="563" t="s">
        <v>250</v>
      </c>
      <c r="L1" s="564" t="s">
        <v>320</v>
      </c>
      <c r="M1" s="564" t="s">
        <v>1004</v>
      </c>
      <c r="N1" s="564" t="s">
        <v>321</v>
      </c>
      <c r="O1" s="751" t="s">
        <v>913</v>
      </c>
    </row>
    <row r="2" spans="1:22" ht="14">
      <c r="A2" s="3121" t="s">
        <v>216</v>
      </c>
      <c r="B2" s="3118" t="s">
        <v>292</v>
      </c>
      <c r="C2" s="3115" t="s">
        <v>526</v>
      </c>
      <c r="D2" s="190">
        <v>43234</v>
      </c>
      <c r="E2" s="1728">
        <v>0.3923611111111111</v>
      </c>
      <c r="F2" s="251">
        <v>7.88</v>
      </c>
      <c r="G2" s="428">
        <v>5</v>
      </c>
      <c r="H2" s="428">
        <v>14.5</v>
      </c>
      <c r="I2" s="251">
        <v>11.21</v>
      </c>
      <c r="J2" s="756">
        <v>31.6</v>
      </c>
      <c r="K2" s="428">
        <v>12</v>
      </c>
      <c r="L2" s="565">
        <v>0.05</v>
      </c>
      <c r="M2" s="752">
        <v>1.5</v>
      </c>
      <c r="N2" s="536" t="s">
        <v>871</v>
      </c>
      <c r="O2" s="750">
        <v>0.4</v>
      </c>
      <c r="Q2" t="s">
        <v>151</v>
      </c>
      <c r="R2" t="s">
        <v>152</v>
      </c>
      <c r="S2" t="s">
        <v>153</v>
      </c>
      <c r="T2" t="s">
        <v>154</v>
      </c>
      <c r="U2" t="s">
        <v>307</v>
      </c>
    </row>
    <row r="3" spans="1:22" ht="13">
      <c r="A3" s="3121"/>
      <c r="B3" s="3119"/>
      <c r="C3" s="3116"/>
      <c r="D3" s="190">
        <v>43270</v>
      </c>
      <c r="E3" s="1728">
        <v>0.3923611111111111</v>
      </c>
      <c r="F3" s="251">
        <v>7.85</v>
      </c>
      <c r="G3" s="428">
        <v>11.4</v>
      </c>
      <c r="H3" s="428">
        <v>19.600000000000001</v>
      </c>
      <c r="I3" s="251">
        <v>7.86</v>
      </c>
      <c r="J3" s="756">
        <v>42.8</v>
      </c>
      <c r="K3" s="428">
        <v>14.7</v>
      </c>
      <c r="L3" s="759">
        <v>0.08</v>
      </c>
      <c r="M3" s="752">
        <v>1.5</v>
      </c>
      <c r="N3" s="536" t="s">
        <v>871</v>
      </c>
      <c r="O3" s="750"/>
      <c r="Q3" s="151">
        <v>2</v>
      </c>
      <c r="R3" s="150">
        <v>0.42</v>
      </c>
      <c r="S3" s="150">
        <v>0.13</v>
      </c>
      <c r="T3" s="150">
        <f>R3*3</f>
        <v>1.26</v>
      </c>
      <c r="U3" s="7">
        <f>S3*T3</f>
        <v>0.1638</v>
      </c>
    </row>
    <row r="4" spans="1:22" ht="14">
      <c r="A4" s="3121"/>
      <c r="B4" s="3119"/>
      <c r="C4" s="3116"/>
      <c r="D4" s="190">
        <v>43300</v>
      </c>
      <c r="E4" s="1729">
        <v>0.39930555555555558</v>
      </c>
      <c r="F4" s="566">
        <v>7.79</v>
      </c>
      <c r="G4" s="567">
        <v>11.8</v>
      </c>
      <c r="H4" s="567">
        <v>27.1</v>
      </c>
      <c r="I4" s="566">
        <v>8.82</v>
      </c>
      <c r="J4" s="757">
        <v>45.5</v>
      </c>
      <c r="K4" s="567">
        <v>6.6</v>
      </c>
      <c r="L4" s="1807">
        <v>0.08</v>
      </c>
      <c r="M4" s="753">
        <v>1.5</v>
      </c>
      <c r="N4" s="536" t="s">
        <v>871</v>
      </c>
      <c r="O4" s="750"/>
      <c r="Q4" s="152">
        <v>4</v>
      </c>
      <c r="R4" s="5">
        <v>1.2</v>
      </c>
      <c r="S4" s="5">
        <v>0.82</v>
      </c>
      <c r="T4" s="150">
        <f t="shared" ref="T4:T9" si="0">R4*2</f>
        <v>2.4</v>
      </c>
      <c r="U4" s="150">
        <f t="shared" ref="U4:U16" si="1">S4*T4</f>
        <v>1.9679999999999997</v>
      </c>
      <c r="V4" s="244">
        <v>0.33333333333332998</v>
      </c>
    </row>
    <row r="5" spans="1:22" ht="14">
      <c r="A5" s="3121"/>
      <c r="B5" s="3119"/>
      <c r="C5" s="3116"/>
      <c r="D5" s="190">
        <v>43326</v>
      </c>
      <c r="E5" s="1729">
        <v>0.40625</v>
      </c>
      <c r="F5" s="566">
        <v>7.72</v>
      </c>
      <c r="G5" s="567">
        <v>10.9</v>
      </c>
      <c r="H5" s="567">
        <v>24.2</v>
      </c>
      <c r="I5" s="566">
        <v>9.1300000000000008</v>
      </c>
      <c r="J5" s="757">
        <v>49.6</v>
      </c>
      <c r="K5" s="567">
        <v>4.5999999999999996</v>
      </c>
      <c r="L5" s="1807">
        <v>0.03</v>
      </c>
      <c r="M5" s="753">
        <v>1</v>
      </c>
      <c r="N5" s="536" t="s">
        <v>871</v>
      </c>
      <c r="O5" s="750"/>
      <c r="Q5" s="151">
        <v>6</v>
      </c>
      <c r="R5" s="5">
        <v>1.3</v>
      </c>
      <c r="S5" s="5">
        <v>2.59</v>
      </c>
      <c r="T5" s="150">
        <f t="shared" si="0"/>
        <v>2.6</v>
      </c>
      <c r="U5" s="150">
        <f t="shared" si="1"/>
        <v>6.734</v>
      </c>
    </row>
    <row r="6" spans="1:22" ht="14">
      <c r="A6" s="3121"/>
      <c r="B6" s="3119"/>
      <c r="C6" s="3116"/>
      <c r="D6" s="190">
        <v>43371</v>
      </c>
      <c r="E6" s="1729">
        <v>0.3888888888888889</v>
      </c>
      <c r="F6" s="566">
        <v>7.85</v>
      </c>
      <c r="G6" s="567">
        <v>3.8</v>
      </c>
      <c r="H6" s="567">
        <v>8.9</v>
      </c>
      <c r="I6" s="566">
        <v>10.29</v>
      </c>
      <c r="J6" s="757">
        <v>50.2</v>
      </c>
      <c r="K6" s="567">
        <v>4.25</v>
      </c>
      <c r="L6" s="1807">
        <v>0.02</v>
      </c>
      <c r="M6" s="753">
        <v>1</v>
      </c>
      <c r="N6" s="536" t="s">
        <v>871</v>
      </c>
      <c r="O6" s="750"/>
      <c r="Q6" s="152">
        <v>8</v>
      </c>
      <c r="R6" s="248">
        <v>0.6</v>
      </c>
      <c r="S6" s="5">
        <v>1.1100000000000001</v>
      </c>
      <c r="T6" s="150">
        <f t="shared" si="0"/>
        <v>1.2</v>
      </c>
      <c r="U6" s="150">
        <f t="shared" si="1"/>
        <v>1.3320000000000001</v>
      </c>
    </row>
    <row r="7" spans="1:22" ht="14">
      <c r="A7" s="3121"/>
      <c r="B7" s="3120"/>
      <c r="C7" s="3117"/>
      <c r="D7" s="190">
        <v>43396</v>
      </c>
      <c r="E7" s="1730">
        <v>0.40277777777777773</v>
      </c>
      <c r="F7" s="425">
        <v>8.2899999999999991</v>
      </c>
      <c r="G7" s="557">
        <v>1.8</v>
      </c>
      <c r="H7" s="557">
        <v>12.3</v>
      </c>
      <c r="I7" s="425">
        <v>12.69</v>
      </c>
      <c r="J7" s="557">
        <v>48</v>
      </c>
      <c r="K7" s="557">
        <v>5.7</v>
      </c>
      <c r="L7" s="1813">
        <v>0.05</v>
      </c>
      <c r="M7" s="753">
        <v>1.5</v>
      </c>
      <c r="N7" s="536" t="s">
        <v>871</v>
      </c>
      <c r="O7" s="750"/>
      <c r="Q7" s="151">
        <v>10</v>
      </c>
      <c r="R7" s="5">
        <v>1.5</v>
      </c>
      <c r="S7" s="5">
        <v>1.63</v>
      </c>
      <c r="T7" s="150">
        <f t="shared" si="0"/>
        <v>3</v>
      </c>
      <c r="U7" s="150">
        <f>S6*T7</f>
        <v>3.33</v>
      </c>
    </row>
    <row r="8" spans="1:22" ht="14">
      <c r="A8" s="3121"/>
      <c r="B8" s="3118" t="s">
        <v>291</v>
      </c>
      <c r="C8" s="3115" t="s">
        <v>316</v>
      </c>
      <c r="D8" s="190">
        <v>43234</v>
      </c>
      <c r="E8" s="1731">
        <v>0.41319444444444442</v>
      </c>
      <c r="F8" s="424">
        <v>7.8</v>
      </c>
      <c r="G8" s="558">
        <v>9.1</v>
      </c>
      <c r="H8" s="558">
        <v>18.3</v>
      </c>
      <c r="I8" s="424">
        <v>11.21</v>
      </c>
      <c r="J8" s="558">
        <v>56.8</v>
      </c>
      <c r="K8" s="558">
        <v>20</v>
      </c>
      <c r="L8" s="754">
        <v>0.03</v>
      </c>
      <c r="M8" s="752">
        <v>1</v>
      </c>
      <c r="N8" s="536" t="s">
        <v>872</v>
      </c>
      <c r="O8" s="750">
        <v>0.2</v>
      </c>
      <c r="Q8" s="152">
        <v>12</v>
      </c>
      <c r="R8" s="248"/>
      <c r="S8" s="5">
        <v>1.47</v>
      </c>
      <c r="T8" s="150">
        <f t="shared" si="0"/>
        <v>0</v>
      </c>
      <c r="U8" s="150">
        <f t="shared" si="1"/>
        <v>0</v>
      </c>
    </row>
    <row r="9" spans="1:22" ht="14">
      <c r="A9" s="3121"/>
      <c r="B9" s="3119"/>
      <c r="C9" s="3116"/>
      <c r="D9" s="190">
        <v>43270</v>
      </c>
      <c r="E9" s="1728">
        <v>0.41666666666666669</v>
      </c>
      <c r="F9" s="251">
        <v>7.77</v>
      </c>
      <c r="G9" s="428">
        <v>14.4</v>
      </c>
      <c r="H9" s="428">
        <v>17</v>
      </c>
      <c r="I9" s="251">
        <v>7.86</v>
      </c>
      <c r="J9" s="756">
        <v>56.4</v>
      </c>
      <c r="K9" s="428">
        <v>18</v>
      </c>
      <c r="L9" s="759">
        <v>0.05</v>
      </c>
      <c r="M9" s="752">
        <v>1.5</v>
      </c>
      <c r="N9" s="536" t="s">
        <v>871</v>
      </c>
      <c r="O9" s="750"/>
      <c r="Q9" s="151">
        <v>14</v>
      </c>
      <c r="R9" s="248"/>
      <c r="S9" s="5">
        <v>1.69</v>
      </c>
      <c r="T9" s="150">
        <f t="shared" si="0"/>
        <v>0</v>
      </c>
      <c r="U9" s="150">
        <f t="shared" si="1"/>
        <v>0</v>
      </c>
    </row>
    <row r="10" spans="1:22" ht="14">
      <c r="A10" s="3121"/>
      <c r="B10" s="3119"/>
      <c r="C10" s="3116"/>
      <c r="D10" s="190">
        <v>43300</v>
      </c>
      <c r="E10" s="1729">
        <v>0.4201388888888889</v>
      </c>
      <c r="F10" s="566">
        <v>7.8</v>
      </c>
      <c r="G10" s="567">
        <v>16.100000000000001</v>
      </c>
      <c r="H10" s="567">
        <v>27.8</v>
      </c>
      <c r="I10" s="566">
        <v>8.86</v>
      </c>
      <c r="J10" s="757">
        <v>60.6</v>
      </c>
      <c r="K10" s="567">
        <v>7.4</v>
      </c>
      <c r="L10" s="1807">
        <v>0.08</v>
      </c>
      <c r="M10" s="753">
        <v>1.5</v>
      </c>
      <c r="N10" s="536" t="s">
        <v>871</v>
      </c>
      <c r="O10" s="750"/>
      <c r="Q10" s="152">
        <v>16</v>
      </c>
      <c r="R10" s="5"/>
      <c r="S10" s="5">
        <v>2.5099999999999998</v>
      </c>
      <c r="T10" s="150">
        <f>R10*4</f>
        <v>0</v>
      </c>
      <c r="U10" s="150">
        <f t="shared" si="1"/>
        <v>0</v>
      </c>
    </row>
    <row r="11" spans="1:22" ht="14">
      <c r="A11" s="3121"/>
      <c r="B11" s="3119"/>
      <c r="C11" s="3116"/>
      <c r="D11" s="190">
        <v>43326</v>
      </c>
      <c r="E11" s="1729">
        <v>0.42708333333333331</v>
      </c>
      <c r="F11" s="566">
        <v>8.0299999999999994</v>
      </c>
      <c r="G11" s="567">
        <v>15.5</v>
      </c>
      <c r="H11" s="567">
        <v>21.4</v>
      </c>
      <c r="I11" s="566">
        <v>9.2200000000000006</v>
      </c>
      <c r="J11" s="757">
        <v>62.1</v>
      </c>
      <c r="K11" s="567">
        <v>6</v>
      </c>
      <c r="L11" s="1807">
        <v>0.03</v>
      </c>
      <c r="M11" s="753">
        <v>1</v>
      </c>
      <c r="N11" s="536" t="s">
        <v>871</v>
      </c>
      <c r="O11" s="750"/>
      <c r="Q11" s="151">
        <v>18</v>
      </c>
      <c r="R11" s="5"/>
      <c r="S11" s="5">
        <v>3.28</v>
      </c>
      <c r="T11" s="150">
        <f>R11*4</f>
        <v>0</v>
      </c>
      <c r="U11" s="150">
        <f t="shared" si="1"/>
        <v>0</v>
      </c>
    </row>
    <row r="12" spans="1:22" ht="14">
      <c r="A12" s="3121"/>
      <c r="B12" s="3119"/>
      <c r="C12" s="3116"/>
      <c r="D12" s="190">
        <v>43371</v>
      </c>
      <c r="E12" s="1729">
        <v>0.41319444444444442</v>
      </c>
      <c r="F12" s="566">
        <v>7.98</v>
      </c>
      <c r="G12" s="567">
        <v>6.4</v>
      </c>
      <c r="H12" s="757">
        <v>8.9</v>
      </c>
      <c r="I12" s="568">
        <v>10.73</v>
      </c>
      <c r="J12" s="757">
        <v>61.9</v>
      </c>
      <c r="K12" s="567">
        <v>7.2</v>
      </c>
      <c r="L12" s="1807">
        <v>0.2</v>
      </c>
      <c r="M12" s="753">
        <v>3</v>
      </c>
      <c r="N12" s="536" t="s">
        <v>871</v>
      </c>
      <c r="O12" s="750"/>
      <c r="Q12" s="152">
        <v>20</v>
      </c>
      <c r="R12" s="248"/>
      <c r="S12" s="5">
        <v>0.44</v>
      </c>
      <c r="T12" s="150">
        <f>R12*2</f>
        <v>0</v>
      </c>
      <c r="U12" s="150">
        <f t="shared" si="1"/>
        <v>0</v>
      </c>
    </row>
    <row r="13" spans="1:22" ht="14">
      <c r="A13" s="3121"/>
      <c r="B13" s="3120"/>
      <c r="C13" s="3117"/>
      <c r="D13" s="190">
        <v>43396</v>
      </c>
      <c r="E13" s="1729">
        <v>0.4236111111111111</v>
      </c>
      <c r="F13" s="566">
        <v>7.93</v>
      </c>
      <c r="G13" s="567">
        <v>2.8</v>
      </c>
      <c r="H13" s="757">
        <v>13.2</v>
      </c>
      <c r="I13" s="568">
        <v>10.45</v>
      </c>
      <c r="J13" s="757">
        <v>60.5</v>
      </c>
      <c r="K13" s="567">
        <v>7.5</v>
      </c>
      <c r="L13" s="1807">
        <v>0.08</v>
      </c>
      <c r="M13" s="753">
        <v>2</v>
      </c>
      <c r="N13" s="536" t="s">
        <v>871</v>
      </c>
      <c r="O13" s="750"/>
      <c r="Q13" s="151">
        <v>22</v>
      </c>
      <c r="R13" s="248"/>
      <c r="S13" s="5">
        <v>2.4500000000000002</v>
      </c>
      <c r="T13" s="150">
        <f>R13*2</f>
        <v>0</v>
      </c>
      <c r="U13" s="150">
        <f t="shared" si="1"/>
        <v>0</v>
      </c>
    </row>
    <row r="14" spans="1:22" ht="14">
      <c r="A14" s="3121"/>
      <c r="B14" s="3118" t="s">
        <v>217</v>
      </c>
      <c r="C14" s="3115" t="s">
        <v>525</v>
      </c>
      <c r="D14" s="190">
        <v>43234</v>
      </c>
      <c r="E14" s="1728">
        <v>0.43055555555555558</v>
      </c>
      <c r="F14" s="251">
        <v>7.9</v>
      </c>
      <c r="G14" s="428">
        <v>9.9</v>
      </c>
      <c r="H14" s="428">
        <v>19.600000000000001</v>
      </c>
      <c r="I14" s="251">
        <v>10.28</v>
      </c>
      <c r="J14" s="756">
        <v>79.400000000000006</v>
      </c>
      <c r="K14" s="428">
        <v>32.5</v>
      </c>
      <c r="L14" s="759">
        <v>0.15</v>
      </c>
      <c r="M14" s="752">
        <v>3</v>
      </c>
      <c r="N14" s="536" t="s">
        <v>872</v>
      </c>
      <c r="O14" s="750">
        <v>0.6</v>
      </c>
      <c r="Q14" s="152">
        <v>24</v>
      </c>
      <c r="R14" s="248"/>
      <c r="S14" s="423">
        <v>0.1</v>
      </c>
      <c r="T14" s="150">
        <f>R14*2</f>
        <v>0</v>
      </c>
      <c r="U14" s="150">
        <f t="shared" si="1"/>
        <v>0</v>
      </c>
    </row>
    <row r="15" spans="1:22" ht="13">
      <c r="A15" s="3121"/>
      <c r="B15" s="3119"/>
      <c r="C15" s="3116"/>
      <c r="D15" s="190">
        <v>43270</v>
      </c>
      <c r="E15" s="1728">
        <v>0.43055555555555558</v>
      </c>
      <c r="F15" s="251">
        <v>7.77</v>
      </c>
      <c r="G15" s="428">
        <v>15.3</v>
      </c>
      <c r="H15" s="428">
        <v>18.399999999999999</v>
      </c>
      <c r="I15" s="251">
        <v>7.63</v>
      </c>
      <c r="J15" s="756">
        <v>67.8</v>
      </c>
      <c r="K15" s="428">
        <v>26.5</v>
      </c>
      <c r="L15" s="759">
        <v>0.2</v>
      </c>
      <c r="M15" s="752">
        <v>3</v>
      </c>
      <c r="N15" s="536" t="s">
        <v>872</v>
      </c>
      <c r="O15" s="750"/>
      <c r="Q15" s="151">
        <v>26</v>
      </c>
      <c r="R15" s="248"/>
      <c r="S15" s="423">
        <v>2.0299999999999998</v>
      </c>
      <c r="T15" s="150">
        <f>R15*2</f>
        <v>0</v>
      </c>
      <c r="U15" s="150">
        <f t="shared" si="1"/>
        <v>0</v>
      </c>
    </row>
    <row r="16" spans="1:22" ht="14">
      <c r="A16" s="3121"/>
      <c r="B16" s="3119"/>
      <c r="C16" s="3116"/>
      <c r="D16" s="190">
        <v>43300</v>
      </c>
      <c r="E16" s="1729">
        <v>0.43402777777777773</v>
      </c>
      <c r="F16" s="566">
        <v>7.82</v>
      </c>
      <c r="G16" s="567">
        <v>16.899999999999999</v>
      </c>
      <c r="H16" s="567">
        <v>29.6</v>
      </c>
      <c r="I16" s="566">
        <v>7.68</v>
      </c>
      <c r="J16" s="757">
        <v>70.7</v>
      </c>
      <c r="K16" s="567">
        <v>10.4</v>
      </c>
      <c r="L16" s="1807">
        <v>0.3</v>
      </c>
      <c r="M16" s="753">
        <v>3</v>
      </c>
      <c r="N16" s="536" t="s">
        <v>871</v>
      </c>
      <c r="O16" s="750"/>
      <c r="Q16" s="152">
        <v>28</v>
      </c>
      <c r="R16" s="248"/>
      <c r="S16" s="423">
        <v>3.16</v>
      </c>
      <c r="T16" s="150">
        <f>R16*2</f>
        <v>0</v>
      </c>
      <c r="U16" s="150">
        <f t="shared" si="1"/>
        <v>0</v>
      </c>
    </row>
    <row r="17" spans="1:21">
      <c r="A17" s="3121"/>
      <c r="B17" s="3119"/>
      <c r="C17" s="3116"/>
      <c r="D17" s="190">
        <v>43326</v>
      </c>
      <c r="E17" s="1729">
        <v>0.44097222222222227</v>
      </c>
      <c r="F17" s="566">
        <v>8.2799999999999994</v>
      </c>
      <c r="G17" s="567">
        <v>15.5</v>
      </c>
      <c r="H17" s="567">
        <v>22.4</v>
      </c>
      <c r="I17" s="566">
        <v>7.48</v>
      </c>
      <c r="J17" s="757">
        <v>68.400000000000006</v>
      </c>
      <c r="K17" s="567">
        <v>6.67</v>
      </c>
      <c r="L17" s="1807">
        <v>0.08</v>
      </c>
      <c r="M17" s="753">
        <v>3</v>
      </c>
      <c r="N17" s="536" t="s">
        <v>871</v>
      </c>
      <c r="O17" s="750"/>
      <c r="R17" s="423"/>
      <c r="U17" s="423">
        <f>SUM(U3:U16)</f>
        <v>13.527800000000001</v>
      </c>
    </row>
    <row r="18" spans="1:21">
      <c r="A18" s="3121"/>
      <c r="B18" s="3119"/>
      <c r="C18" s="3116"/>
      <c r="D18" s="190">
        <v>43371</v>
      </c>
      <c r="E18" s="1729">
        <v>0.42708333333333331</v>
      </c>
      <c r="F18" s="566">
        <v>8.02</v>
      </c>
      <c r="G18" s="567">
        <v>7.5</v>
      </c>
      <c r="H18" s="567">
        <v>11.2</v>
      </c>
      <c r="I18" s="566">
        <v>9.6199999999999992</v>
      </c>
      <c r="J18" s="757">
        <v>70.7</v>
      </c>
      <c r="K18" s="567">
        <v>8.8000000000000007</v>
      </c>
      <c r="L18" s="1807">
        <v>0.15</v>
      </c>
      <c r="M18" s="753">
        <v>3</v>
      </c>
      <c r="N18" s="536" t="s">
        <v>871</v>
      </c>
      <c r="O18" s="750"/>
    </row>
    <row r="19" spans="1:21">
      <c r="A19" s="3122"/>
      <c r="B19" s="3120"/>
      <c r="C19" s="3117"/>
      <c r="D19" s="190">
        <v>43396</v>
      </c>
      <c r="E19" s="1729">
        <v>0.43402777777777773</v>
      </c>
      <c r="F19" s="566">
        <v>8.1300000000000008</v>
      </c>
      <c r="G19" s="567">
        <v>4.8</v>
      </c>
      <c r="H19" s="567">
        <v>13.1</v>
      </c>
      <c r="I19" s="566">
        <v>11.7</v>
      </c>
      <c r="J19" s="757">
        <v>70.400000000000006</v>
      </c>
      <c r="K19" s="567">
        <v>11</v>
      </c>
      <c r="L19" s="1807">
        <v>0.25</v>
      </c>
      <c r="M19" s="753">
        <v>3</v>
      </c>
      <c r="N19" s="536" t="s">
        <v>871</v>
      </c>
      <c r="O19" s="750"/>
    </row>
    <row r="20" spans="1:21">
      <c r="A20" s="3123" t="s">
        <v>219</v>
      </c>
      <c r="B20" s="3118" t="s">
        <v>166</v>
      </c>
      <c r="C20" s="3115" t="s">
        <v>524</v>
      </c>
      <c r="D20" s="190">
        <v>43234</v>
      </c>
      <c r="E20" s="1729">
        <v>0.44791666666666669</v>
      </c>
      <c r="F20" s="566">
        <v>7.9</v>
      </c>
      <c r="G20" s="567">
        <v>11.3</v>
      </c>
      <c r="H20" s="567">
        <v>23</v>
      </c>
      <c r="I20" s="566">
        <v>10.15</v>
      </c>
      <c r="J20" s="757">
        <v>120</v>
      </c>
      <c r="K20" s="567">
        <v>44</v>
      </c>
      <c r="L20" s="1807">
        <v>0.5</v>
      </c>
      <c r="M20" s="753">
        <v>4</v>
      </c>
      <c r="N20" s="536" t="s">
        <v>872</v>
      </c>
      <c r="O20" s="750">
        <v>0.4</v>
      </c>
      <c r="P20" s="244" t="s">
        <v>69</v>
      </c>
    </row>
    <row r="21" spans="1:21">
      <c r="A21" s="3124"/>
      <c r="B21" s="3119"/>
      <c r="C21" s="3116"/>
      <c r="D21" s="190">
        <v>43270</v>
      </c>
      <c r="E21" s="1729">
        <v>0.44791666666666669</v>
      </c>
      <c r="F21" s="566">
        <v>7.75</v>
      </c>
      <c r="G21" s="567">
        <v>17.600000000000001</v>
      </c>
      <c r="H21" s="567">
        <v>19.5</v>
      </c>
      <c r="I21" s="566">
        <v>7.32</v>
      </c>
      <c r="J21" s="757">
        <v>101.7</v>
      </c>
      <c r="K21" s="567">
        <v>31.5</v>
      </c>
      <c r="L21" s="1807">
        <v>0.15</v>
      </c>
      <c r="M21" s="753">
        <v>3</v>
      </c>
      <c r="N21" s="536" t="s">
        <v>872</v>
      </c>
      <c r="O21" s="750"/>
      <c r="P21" s="244" t="s">
        <v>70</v>
      </c>
    </row>
    <row r="22" spans="1:21">
      <c r="A22" s="3124"/>
      <c r="B22" s="3119"/>
      <c r="C22" s="3116"/>
      <c r="D22" s="190">
        <v>43300</v>
      </c>
      <c r="E22" s="1729">
        <v>0.4548611111111111</v>
      </c>
      <c r="F22" s="566">
        <v>7.78</v>
      </c>
      <c r="G22" s="567">
        <v>21</v>
      </c>
      <c r="H22" s="567">
        <v>29.9</v>
      </c>
      <c r="I22" s="566">
        <v>6.66</v>
      </c>
      <c r="J22" s="757">
        <v>100.9</v>
      </c>
      <c r="K22" s="567">
        <v>11.5</v>
      </c>
      <c r="L22" s="1807">
        <v>0.1</v>
      </c>
      <c r="M22" s="753">
        <v>2</v>
      </c>
      <c r="N22" s="536" t="s">
        <v>872</v>
      </c>
      <c r="O22" s="750"/>
      <c r="P22" s="244" t="s">
        <v>71</v>
      </c>
    </row>
    <row r="23" spans="1:21">
      <c r="A23" s="3124"/>
      <c r="B23" s="3119"/>
      <c r="C23" s="3116"/>
      <c r="D23" s="190">
        <v>43326</v>
      </c>
      <c r="E23" s="1729">
        <v>0.46180555555555558</v>
      </c>
      <c r="F23" s="566">
        <v>7.95</v>
      </c>
      <c r="G23" s="567">
        <v>19.5</v>
      </c>
      <c r="H23" s="567">
        <v>26.6</v>
      </c>
      <c r="I23" s="566">
        <v>7.55</v>
      </c>
      <c r="J23" s="757">
        <v>106.9</v>
      </c>
      <c r="K23" s="567">
        <v>2.6</v>
      </c>
      <c r="L23" s="1807">
        <v>0.5</v>
      </c>
      <c r="M23" s="753">
        <v>4</v>
      </c>
      <c r="N23" s="536" t="s">
        <v>872</v>
      </c>
      <c r="O23" s="750"/>
      <c r="P23" s="244" t="s">
        <v>72</v>
      </c>
    </row>
    <row r="24" spans="1:21">
      <c r="A24" s="3124"/>
      <c r="B24" s="3119"/>
      <c r="C24" s="3116"/>
      <c r="D24" s="190">
        <v>43371</v>
      </c>
      <c r="E24" s="1729">
        <v>0.44791666666666669</v>
      </c>
      <c r="F24" s="566">
        <v>8.02</v>
      </c>
      <c r="G24" s="567">
        <v>12.4</v>
      </c>
      <c r="H24" s="567">
        <v>12.4</v>
      </c>
      <c r="I24" s="566">
        <v>8.2100000000000009</v>
      </c>
      <c r="J24" s="757">
        <v>102.1</v>
      </c>
      <c r="K24" s="567">
        <v>9</v>
      </c>
      <c r="L24" s="1807">
        <v>0.7</v>
      </c>
      <c r="M24" s="753">
        <v>5</v>
      </c>
      <c r="N24" s="536" t="s">
        <v>871</v>
      </c>
      <c r="O24" s="750"/>
      <c r="P24" s="244" t="s">
        <v>73</v>
      </c>
    </row>
    <row r="25" spans="1:21">
      <c r="A25" s="3124"/>
      <c r="B25" s="3120"/>
      <c r="C25" s="3117"/>
      <c r="D25" s="190">
        <v>43396</v>
      </c>
      <c r="E25" s="1729">
        <v>0.44791666666666669</v>
      </c>
      <c r="F25" s="566">
        <v>8.01</v>
      </c>
      <c r="G25" s="567">
        <v>7.4</v>
      </c>
      <c r="H25" s="567">
        <v>13.9</v>
      </c>
      <c r="I25" s="566">
        <v>11.71</v>
      </c>
      <c r="J25" s="757">
        <v>98.4</v>
      </c>
      <c r="K25" s="567">
        <v>12.8</v>
      </c>
      <c r="L25" s="1807">
        <v>0.4</v>
      </c>
      <c r="M25" s="753">
        <v>4</v>
      </c>
      <c r="N25" s="536" t="s">
        <v>871</v>
      </c>
      <c r="O25" s="750"/>
      <c r="P25" s="244" t="s">
        <v>74</v>
      </c>
    </row>
    <row r="26" spans="1:21">
      <c r="A26" s="3124"/>
      <c r="B26" s="3118" t="s">
        <v>204</v>
      </c>
      <c r="C26" s="3115" t="s">
        <v>249</v>
      </c>
      <c r="D26" s="190">
        <v>43234</v>
      </c>
      <c r="E26" s="1729">
        <v>0.45833333333333331</v>
      </c>
      <c r="F26" s="566">
        <v>7.69</v>
      </c>
      <c r="G26" s="567">
        <v>12</v>
      </c>
      <c r="H26" s="567">
        <v>19.8</v>
      </c>
      <c r="I26" s="566">
        <v>9.85</v>
      </c>
      <c r="J26" s="757">
        <v>134.4</v>
      </c>
      <c r="K26" s="567">
        <v>45</v>
      </c>
      <c r="L26" s="1807">
        <v>0.15</v>
      </c>
      <c r="M26" s="753">
        <v>2</v>
      </c>
      <c r="N26" s="536" t="s">
        <v>878</v>
      </c>
      <c r="O26" s="750">
        <v>0.3</v>
      </c>
    </row>
    <row r="27" spans="1:21">
      <c r="A27" s="3124"/>
      <c r="B27" s="3119"/>
      <c r="C27" s="3116"/>
      <c r="D27" s="190">
        <v>43270</v>
      </c>
      <c r="E27" s="1729">
        <v>0.4548611111111111</v>
      </c>
      <c r="F27" s="566">
        <v>7.67</v>
      </c>
      <c r="G27" s="567">
        <v>17.899999999999999</v>
      </c>
      <c r="H27" s="567">
        <v>19.899999999999999</v>
      </c>
      <c r="I27" s="566">
        <v>7.32</v>
      </c>
      <c r="J27" s="757">
        <v>115</v>
      </c>
      <c r="K27" s="567">
        <v>32</v>
      </c>
      <c r="L27" s="1807">
        <v>0.1</v>
      </c>
      <c r="M27" s="753">
        <v>2</v>
      </c>
      <c r="N27" s="536" t="s">
        <v>872</v>
      </c>
      <c r="O27" s="750"/>
    </row>
    <row r="28" spans="1:21">
      <c r="A28" s="3124"/>
      <c r="B28" s="3119"/>
      <c r="C28" s="3116"/>
      <c r="D28" s="190">
        <v>43300</v>
      </c>
      <c r="E28" s="1729">
        <v>0.47222222222222227</v>
      </c>
      <c r="F28" s="566">
        <v>7.69</v>
      </c>
      <c r="G28" s="567">
        <v>21.1</v>
      </c>
      <c r="H28" s="567">
        <v>33.799999999999997</v>
      </c>
      <c r="I28" s="566">
        <v>8.2799999999999994</v>
      </c>
      <c r="J28" s="757">
        <v>126.1</v>
      </c>
      <c r="K28" s="567">
        <v>11.5</v>
      </c>
      <c r="L28" s="1807">
        <v>0.1</v>
      </c>
      <c r="M28" s="753">
        <v>2</v>
      </c>
      <c r="N28" s="536" t="s">
        <v>872</v>
      </c>
      <c r="O28" s="750"/>
    </row>
    <row r="29" spans="1:21">
      <c r="A29" s="3124"/>
      <c r="B29" s="3119"/>
      <c r="C29" s="3116"/>
      <c r="D29" s="190">
        <v>43326</v>
      </c>
      <c r="E29" s="1729">
        <v>0.46875</v>
      </c>
      <c r="F29" s="566">
        <v>8.1300000000000008</v>
      </c>
      <c r="G29" s="567">
        <v>18.100000000000001</v>
      </c>
      <c r="H29" s="567">
        <v>26.5</v>
      </c>
      <c r="I29" s="566">
        <v>9.07</v>
      </c>
      <c r="J29" s="757">
        <v>167.7</v>
      </c>
      <c r="K29" s="567">
        <v>3.1</v>
      </c>
      <c r="L29" s="1807">
        <v>0.3</v>
      </c>
      <c r="M29" s="753">
        <v>5</v>
      </c>
      <c r="N29" s="536" t="s">
        <v>871</v>
      </c>
      <c r="O29" s="750"/>
    </row>
    <row r="30" spans="1:21">
      <c r="A30" s="3124"/>
      <c r="B30" s="3119"/>
      <c r="C30" s="3116"/>
      <c r="D30" s="190">
        <v>43371</v>
      </c>
      <c r="E30" s="1729">
        <v>0.4513888888888889</v>
      </c>
      <c r="F30" s="566">
        <v>8.2200000000000006</v>
      </c>
      <c r="G30" s="567">
        <v>11.3</v>
      </c>
      <c r="H30" s="567">
        <v>10.5</v>
      </c>
      <c r="I30" s="566">
        <v>9.35</v>
      </c>
      <c r="J30" s="757">
        <v>134.1</v>
      </c>
      <c r="K30" s="567">
        <v>9</v>
      </c>
      <c r="L30" s="1807">
        <v>0.15</v>
      </c>
      <c r="M30" s="753">
        <v>3</v>
      </c>
      <c r="N30" s="536" t="s">
        <v>872</v>
      </c>
      <c r="O30" s="750"/>
    </row>
    <row r="31" spans="1:21">
      <c r="A31" s="3124"/>
      <c r="B31" s="3120"/>
      <c r="C31" s="3117"/>
      <c r="D31" s="190">
        <v>43396</v>
      </c>
      <c r="E31" s="1729">
        <v>0.45833333333333331</v>
      </c>
      <c r="F31" s="566">
        <v>8.06</v>
      </c>
      <c r="G31" s="567">
        <v>7.6</v>
      </c>
      <c r="H31" s="567">
        <v>14.1</v>
      </c>
      <c r="I31" s="566">
        <v>11.58</v>
      </c>
      <c r="J31" s="757">
        <v>93</v>
      </c>
      <c r="K31" s="567">
        <v>13</v>
      </c>
      <c r="L31" s="1807">
        <v>0.25</v>
      </c>
      <c r="M31" s="753">
        <v>3</v>
      </c>
      <c r="N31" s="536" t="s">
        <v>871</v>
      </c>
      <c r="O31" s="750"/>
    </row>
    <row r="32" spans="1:21">
      <c r="A32" s="3124"/>
      <c r="B32" s="3118" t="s">
        <v>205</v>
      </c>
      <c r="C32" s="3115" t="s">
        <v>527</v>
      </c>
      <c r="D32" s="190">
        <v>43234</v>
      </c>
      <c r="E32" s="1729">
        <v>0.46875</v>
      </c>
      <c r="F32" s="566">
        <v>7.97</v>
      </c>
      <c r="G32" s="567">
        <v>12</v>
      </c>
      <c r="H32" s="567">
        <v>17.2</v>
      </c>
      <c r="I32" s="566">
        <v>10.27</v>
      </c>
      <c r="J32" s="757">
        <v>171.9</v>
      </c>
      <c r="K32" s="567">
        <v>46</v>
      </c>
      <c r="L32" s="1807">
        <v>0.15</v>
      </c>
      <c r="M32" s="753">
        <v>2</v>
      </c>
      <c r="N32" s="536" t="s">
        <v>878</v>
      </c>
      <c r="O32" s="750">
        <v>0.45</v>
      </c>
    </row>
    <row r="33" spans="1:15">
      <c r="A33" s="3124"/>
      <c r="B33" s="3119"/>
      <c r="C33" s="3116"/>
      <c r="D33" s="190">
        <v>43270</v>
      </c>
      <c r="E33" s="1729">
        <v>0.47916666666666669</v>
      </c>
      <c r="F33" s="566">
        <v>8.08</v>
      </c>
      <c r="G33" s="567">
        <v>18.3</v>
      </c>
      <c r="H33" s="567">
        <v>21.5</v>
      </c>
      <c r="I33" s="566">
        <v>7.52</v>
      </c>
      <c r="J33" s="757">
        <v>146.4</v>
      </c>
      <c r="K33" s="567">
        <v>35</v>
      </c>
      <c r="L33" s="1807">
        <v>0.08</v>
      </c>
      <c r="M33" s="753">
        <v>2</v>
      </c>
      <c r="N33" s="536" t="s">
        <v>872</v>
      </c>
      <c r="O33" s="750"/>
    </row>
    <row r="34" spans="1:15">
      <c r="A34" s="3124"/>
      <c r="B34" s="3119"/>
      <c r="C34" s="3116"/>
      <c r="D34" s="190">
        <v>43300</v>
      </c>
      <c r="E34" s="1729">
        <v>0.4861111111111111</v>
      </c>
      <c r="F34" s="566">
        <v>7.96</v>
      </c>
      <c r="G34" s="567">
        <v>20.100000000000001</v>
      </c>
      <c r="H34" s="567">
        <v>34.299999999999997</v>
      </c>
      <c r="I34" s="566">
        <v>7.94</v>
      </c>
      <c r="J34" s="757">
        <v>139.69999999999999</v>
      </c>
      <c r="K34" s="567">
        <v>12.8</v>
      </c>
      <c r="L34" s="1807">
        <v>0.1</v>
      </c>
      <c r="M34" s="753">
        <v>1.5</v>
      </c>
      <c r="N34" s="536" t="s">
        <v>872</v>
      </c>
      <c r="O34" s="750"/>
    </row>
    <row r="35" spans="1:15">
      <c r="A35" s="3124"/>
      <c r="B35" s="3119"/>
      <c r="C35" s="3116"/>
      <c r="D35" s="190">
        <v>43326</v>
      </c>
      <c r="E35" s="1729">
        <v>0.4826388888888889</v>
      </c>
      <c r="F35" s="566">
        <v>8.33</v>
      </c>
      <c r="G35" s="567">
        <v>18.399999999999999</v>
      </c>
      <c r="H35" s="567">
        <v>20.3</v>
      </c>
      <c r="I35" s="566">
        <v>7.16</v>
      </c>
      <c r="J35" s="757">
        <v>145.6</v>
      </c>
      <c r="K35" s="567">
        <v>3.3</v>
      </c>
      <c r="L35" s="1807">
        <v>0.15</v>
      </c>
      <c r="M35" s="753">
        <v>2</v>
      </c>
      <c r="N35" s="536" t="s">
        <v>871</v>
      </c>
      <c r="O35" s="750"/>
    </row>
    <row r="36" spans="1:15">
      <c r="A36" s="3124"/>
      <c r="B36" s="3119"/>
      <c r="C36" s="3116"/>
      <c r="D36" s="190">
        <v>43371</v>
      </c>
      <c r="E36" s="1729">
        <v>0.46875</v>
      </c>
      <c r="F36" s="566">
        <v>8.67</v>
      </c>
      <c r="G36" s="567">
        <v>10</v>
      </c>
      <c r="H36" s="567">
        <v>10.199999999999999</v>
      </c>
      <c r="I36" s="566">
        <v>10.73</v>
      </c>
      <c r="J36" s="757">
        <v>162.5</v>
      </c>
      <c r="K36" s="567">
        <v>9</v>
      </c>
      <c r="L36" s="1807">
        <v>0.3</v>
      </c>
      <c r="M36" s="753">
        <v>4</v>
      </c>
      <c r="N36" s="536" t="s">
        <v>871</v>
      </c>
      <c r="O36" s="750"/>
    </row>
    <row r="37" spans="1:15">
      <c r="A37" s="3124"/>
      <c r="B37" s="3120"/>
      <c r="C37" s="3117"/>
      <c r="D37" s="190">
        <v>43396</v>
      </c>
      <c r="E37" s="1729">
        <v>0.47222222222222227</v>
      </c>
      <c r="F37" s="566">
        <v>8.5399999999999991</v>
      </c>
      <c r="G37" s="567">
        <v>6.9</v>
      </c>
      <c r="H37" s="567">
        <v>14.3</v>
      </c>
      <c r="I37" s="566">
        <v>13.71</v>
      </c>
      <c r="J37" s="757">
        <v>150.4</v>
      </c>
      <c r="K37" s="567">
        <v>14</v>
      </c>
      <c r="L37" s="1807">
        <v>0.35</v>
      </c>
      <c r="M37" s="753">
        <v>5</v>
      </c>
      <c r="N37" s="536" t="s">
        <v>871</v>
      </c>
      <c r="O37" s="750"/>
    </row>
    <row r="38" spans="1:15">
      <c r="A38" s="3124"/>
      <c r="B38" s="3118" t="s">
        <v>206</v>
      </c>
      <c r="C38" s="3115" t="s">
        <v>528</v>
      </c>
      <c r="D38" s="190">
        <v>43234</v>
      </c>
      <c r="E38" s="1729">
        <v>0.47916666666666669</v>
      </c>
      <c r="F38" s="566">
        <v>8.0299999999999994</v>
      </c>
      <c r="G38" s="567">
        <v>12.4</v>
      </c>
      <c r="H38" s="567">
        <v>23.4</v>
      </c>
      <c r="I38" s="566">
        <v>10.17</v>
      </c>
      <c r="J38" s="757">
        <v>191.4</v>
      </c>
      <c r="K38" s="567">
        <v>55</v>
      </c>
      <c r="L38" s="1807">
        <v>0.15</v>
      </c>
      <c r="M38" s="753">
        <v>2</v>
      </c>
      <c r="N38" s="536" t="s">
        <v>878</v>
      </c>
      <c r="O38" s="750">
        <v>0.6</v>
      </c>
    </row>
    <row r="39" spans="1:15">
      <c r="A39" s="3124"/>
      <c r="B39" s="3119"/>
      <c r="C39" s="3116"/>
      <c r="D39" s="190">
        <v>43270</v>
      </c>
      <c r="E39" s="1729">
        <v>0.48958333333333331</v>
      </c>
      <c r="F39" s="566">
        <v>7.99</v>
      </c>
      <c r="G39" s="567">
        <v>18</v>
      </c>
      <c r="H39" s="567">
        <v>22</v>
      </c>
      <c r="I39" s="566">
        <v>7.61</v>
      </c>
      <c r="J39" s="757">
        <v>173.2</v>
      </c>
      <c r="K39" s="567">
        <v>36</v>
      </c>
      <c r="L39" s="1807">
        <v>0.1</v>
      </c>
      <c r="M39" s="753">
        <v>2</v>
      </c>
      <c r="N39" s="536" t="s">
        <v>872</v>
      </c>
      <c r="O39" s="750"/>
    </row>
    <row r="40" spans="1:15">
      <c r="A40" s="3124"/>
      <c r="B40" s="3119"/>
      <c r="C40" s="3116"/>
      <c r="D40" s="190">
        <v>43300</v>
      </c>
      <c r="E40" s="1729">
        <v>0.49305555555555558</v>
      </c>
      <c r="F40" s="566">
        <v>7.99</v>
      </c>
      <c r="G40" s="567">
        <v>19.7</v>
      </c>
      <c r="H40" s="567">
        <v>34.700000000000003</v>
      </c>
      <c r="I40" s="566">
        <v>7.1</v>
      </c>
      <c r="J40" s="757">
        <v>189.1</v>
      </c>
      <c r="K40" s="567">
        <v>13</v>
      </c>
      <c r="L40" s="1807">
        <v>0.15</v>
      </c>
      <c r="M40" s="753">
        <v>3</v>
      </c>
      <c r="N40" s="536" t="s">
        <v>872</v>
      </c>
      <c r="O40" s="750"/>
    </row>
    <row r="41" spans="1:15">
      <c r="A41" s="3124"/>
      <c r="B41" s="3119"/>
      <c r="C41" s="3116"/>
      <c r="D41" s="190">
        <v>43326</v>
      </c>
      <c r="E41" s="1729">
        <v>0.49305555555555558</v>
      </c>
      <c r="F41" s="566">
        <v>8.4499999999999993</v>
      </c>
      <c r="G41" s="567">
        <v>18.7</v>
      </c>
      <c r="H41" s="567">
        <v>24.8</v>
      </c>
      <c r="I41" s="566">
        <v>9.36</v>
      </c>
      <c r="J41" s="757">
        <v>199</v>
      </c>
      <c r="K41" s="567">
        <v>3.51</v>
      </c>
      <c r="L41" s="1807">
        <v>0.1</v>
      </c>
      <c r="M41" s="753">
        <v>2</v>
      </c>
      <c r="N41" s="536" t="s">
        <v>871</v>
      </c>
      <c r="O41" s="750"/>
    </row>
    <row r="42" spans="1:15">
      <c r="A42" s="3124"/>
      <c r="B42" s="3119"/>
      <c r="C42" s="3116"/>
      <c r="D42" s="190">
        <v>43371</v>
      </c>
      <c r="E42" s="1729">
        <v>0.47916666666666669</v>
      </c>
      <c r="F42" s="566">
        <v>8.82</v>
      </c>
      <c r="G42" s="567">
        <v>9.6</v>
      </c>
      <c r="H42" s="567">
        <v>9.8000000000000007</v>
      </c>
      <c r="I42" s="566">
        <v>10.58</v>
      </c>
      <c r="J42" s="757">
        <v>246.3</v>
      </c>
      <c r="K42" s="567">
        <v>9</v>
      </c>
      <c r="L42" s="1807">
        <v>0.7</v>
      </c>
      <c r="M42" s="753">
        <v>5</v>
      </c>
      <c r="N42" s="536" t="s">
        <v>872</v>
      </c>
      <c r="O42" s="750"/>
    </row>
    <row r="43" spans="1:15">
      <c r="A43" s="3124"/>
      <c r="B43" s="3120"/>
      <c r="C43" s="3117"/>
      <c r="D43" s="190">
        <v>43396</v>
      </c>
      <c r="E43" s="1729">
        <v>0.47916666666666669</v>
      </c>
      <c r="F43" s="566">
        <v>8.7200000000000006</v>
      </c>
      <c r="G43" s="567">
        <v>6.8</v>
      </c>
      <c r="H43" s="567">
        <v>13.2</v>
      </c>
      <c r="I43" s="566">
        <v>13.07</v>
      </c>
      <c r="J43" s="757">
        <v>200.1</v>
      </c>
      <c r="K43" s="567">
        <v>14</v>
      </c>
      <c r="L43" s="1807">
        <v>0.45</v>
      </c>
      <c r="M43" s="753">
        <v>5</v>
      </c>
      <c r="N43" s="536" t="s">
        <v>871</v>
      </c>
      <c r="O43" s="750"/>
    </row>
    <row r="44" spans="1:15">
      <c r="A44" s="3124"/>
      <c r="B44" s="3118" t="s">
        <v>207</v>
      </c>
      <c r="C44" s="3115" t="s">
        <v>529</v>
      </c>
      <c r="D44" s="190">
        <v>43234</v>
      </c>
      <c r="E44" s="1729">
        <v>0.5</v>
      </c>
      <c r="F44" s="566">
        <v>8.07</v>
      </c>
      <c r="G44" s="567">
        <v>13.2</v>
      </c>
      <c r="H44" s="567">
        <v>20.100000000000001</v>
      </c>
      <c r="I44" s="566">
        <v>11.56</v>
      </c>
      <c r="J44" s="757">
        <v>200.6</v>
      </c>
      <c r="K44" s="567">
        <v>55</v>
      </c>
      <c r="L44" s="1807">
        <v>0.15</v>
      </c>
      <c r="M44" s="753">
        <v>3</v>
      </c>
      <c r="N44" s="536" t="s">
        <v>878</v>
      </c>
      <c r="O44" s="750">
        <v>0.4</v>
      </c>
    </row>
    <row r="45" spans="1:15">
      <c r="A45" s="3124"/>
      <c r="B45" s="3119"/>
      <c r="C45" s="3116"/>
      <c r="D45" s="190">
        <v>43270</v>
      </c>
      <c r="E45" s="1729">
        <v>0.5</v>
      </c>
      <c r="F45" s="566">
        <v>7.91</v>
      </c>
      <c r="G45" s="567">
        <v>18.3</v>
      </c>
      <c r="H45" s="567">
        <v>22.3</v>
      </c>
      <c r="I45" s="566">
        <v>7.26</v>
      </c>
      <c r="J45" s="757">
        <v>174.8</v>
      </c>
      <c r="K45" s="567">
        <v>36</v>
      </c>
      <c r="L45" s="1807">
        <v>0.15</v>
      </c>
      <c r="M45" s="753">
        <v>1.5</v>
      </c>
      <c r="N45" s="536" t="s">
        <v>872</v>
      </c>
      <c r="O45" s="750"/>
    </row>
    <row r="46" spans="1:15">
      <c r="A46" s="3124"/>
      <c r="B46" s="3119"/>
      <c r="C46" s="3116"/>
      <c r="D46" s="190">
        <v>43300</v>
      </c>
      <c r="E46" s="1729">
        <v>0.50694444444444442</v>
      </c>
      <c r="F46" s="566">
        <v>8.0399999999999991</v>
      </c>
      <c r="G46" s="567">
        <v>19.5</v>
      </c>
      <c r="H46" s="567">
        <v>34.700000000000003</v>
      </c>
      <c r="I46" s="566">
        <v>7.46</v>
      </c>
      <c r="J46" s="757">
        <v>165.7</v>
      </c>
      <c r="K46" s="567">
        <v>13</v>
      </c>
      <c r="L46" s="1807">
        <v>0.1</v>
      </c>
      <c r="M46" s="753">
        <v>2</v>
      </c>
      <c r="N46" s="536" t="s">
        <v>872</v>
      </c>
      <c r="O46" s="750"/>
    </row>
    <row r="47" spans="1:15">
      <c r="A47" s="3124"/>
      <c r="B47" s="3119"/>
      <c r="C47" s="3116"/>
      <c r="D47" s="190">
        <v>43326</v>
      </c>
      <c r="E47" s="1729">
        <v>0.50694444444444442</v>
      </c>
      <c r="F47" s="566">
        <v>8.51</v>
      </c>
      <c r="G47" s="567">
        <v>17.399999999999999</v>
      </c>
      <c r="H47" s="567">
        <v>26.8</v>
      </c>
      <c r="I47" s="566">
        <v>9.06</v>
      </c>
      <c r="J47" s="757">
        <v>230.7</v>
      </c>
      <c r="K47" s="567">
        <v>4</v>
      </c>
      <c r="L47" s="1807">
        <v>0.1</v>
      </c>
      <c r="M47" s="753">
        <v>2</v>
      </c>
      <c r="N47" s="536" t="s">
        <v>871</v>
      </c>
      <c r="O47" s="750"/>
    </row>
    <row r="48" spans="1:15">
      <c r="A48" s="3124"/>
      <c r="B48" s="3119"/>
      <c r="C48" s="3116"/>
      <c r="D48" s="190">
        <v>43371</v>
      </c>
      <c r="E48" s="1729">
        <v>0.48958333333333331</v>
      </c>
      <c r="F48" s="566">
        <v>8.6</v>
      </c>
      <c r="G48" s="567">
        <v>8.8000000000000007</v>
      </c>
      <c r="H48" s="567">
        <v>9.8000000000000007</v>
      </c>
      <c r="I48" s="566">
        <v>10.65</v>
      </c>
      <c r="J48" s="757">
        <v>216.7</v>
      </c>
      <c r="K48" s="567">
        <v>9</v>
      </c>
      <c r="L48" s="1807">
        <v>0.3</v>
      </c>
      <c r="M48" s="753">
        <v>4</v>
      </c>
      <c r="N48" s="536" t="s">
        <v>872</v>
      </c>
      <c r="O48" s="750"/>
    </row>
    <row r="49" spans="1:15">
      <c r="A49" s="3124"/>
      <c r="B49" s="3120"/>
      <c r="C49" s="3117"/>
      <c r="D49" s="190">
        <v>43396</v>
      </c>
      <c r="E49" s="1729">
        <v>0.4861111111111111</v>
      </c>
      <c r="F49" s="566">
        <v>8.5399999999999991</v>
      </c>
      <c r="G49" s="567">
        <v>6.8</v>
      </c>
      <c r="H49" s="567">
        <v>13</v>
      </c>
      <c r="I49" s="566">
        <v>12.44</v>
      </c>
      <c r="J49" s="757">
        <v>195.6</v>
      </c>
      <c r="K49" s="567">
        <v>14</v>
      </c>
      <c r="L49" s="1807">
        <v>0.4</v>
      </c>
      <c r="M49" s="753">
        <v>4</v>
      </c>
      <c r="N49" s="536" t="s">
        <v>871</v>
      </c>
      <c r="O49" s="750"/>
    </row>
    <row r="50" spans="1:15">
      <c r="A50" s="3124"/>
      <c r="B50" s="2995" t="s">
        <v>208</v>
      </c>
      <c r="C50" s="2996" t="s">
        <v>530</v>
      </c>
      <c r="D50" s="190">
        <v>43234</v>
      </c>
      <c r="E50" s="1729">
        <v>0.35416666666666669</v>
      </c>
      <c r="F50" s="566">
        <v>8.2100000000000009</v>
      </c>
      <c r="G50" s="567">
        <v>11.2</v>
      </c>
      <c r="H50" s="567">
        <v>17.2</v>
      </c>
      <c r="I50" s="566">
        <v>10.52</v>
      </c>
      <c r="J50" s="757">
        <v>208.9</v>
      </c>
      <c r="K50" s="567">
        <v>37.1</v>
      </c>
      <c r="L50" s="1807">
        <v>0.05</v>
      </c>
      <c r="M50" s="753">
        <v>1.5</v>
      </c>
      <c r="N50" s="536" t="s">
        <v>872</v>
      </c>
      <c r="O50" s="750">
        <v>0.4</v>
      </c>
    </row>
    <row r="51" spans="1:15">
      <c r="A51" s="3124"/>
      <c r="B51" s="2995"/>
      <c r="C51" s="2996"/>
      <c r="D51" s="190">
        <v>43270</v>
      </c>
      <c r="E51" s="1729">
        <v>0.35416666666666669</v>
      </c>
      <c r="F51" s="566">
        <v>8.1</v>
      </c>
      <c r="G51" s="567">
        <v>14.8</v>
      </c>
      <c r="H51" s="567">
        <v>20</v>
      </c>
      <c r="I51" s="566">
        <v>8.2100000000000009</v>
      </c>
      <c r="J51" s="757">
        <v>180.5</v>
      </c>
      <c r="K51" s="567">
        <v>11.6</v>
      </c>
      <c r="L51" s="1807">
        <v>0.2</v>
      </c>
      <c r="M51" s="753">
        <v>2</v>
      </c>
      <c r="N51" s="536" t="s">
        <v>872</v>
      </c>
      <c r="O51" s="750"/>
    </row>
    <row r="52" spans="1:15">
      <c r="A52" s="3124"/>
      <c r="B52" s="2995"/>
      <c r="C52" s="2996"/>
      <c r="D52" s="190">
        <v>43300</v>
      </c>
      <c r="E52" s="1729">
        <v>0.3611111111111111</v>
      </c>
      <c r="F52" s="566">
        <v>8.42</v>
      </c>
      <c r="G52" s="567">
        <v>17.899999999999999</v>
      </c>
      <c r="H52" s="567">
        <v>26.3</v>
      </c>
      <c r="I52" s="566">
        <v>7.8</v>
      </c>
      <c r="J52" s="757">
        <v>244.5</v>
      </c>
      <c r="K52" s="567">
        <v>6.5</v>
      </c>
      <c r="L52" s="1807">
        <v>0.08</v>
      </c>
      <c r="M52" s="753">
        <v>2</v>
      </c>
      <c r="N52" s="536" t="s">
        <v>872</v>
      </c>
      <c r="O52" s="750"/>
    </row>
    <row r="53" spans="1:15">
      <c r="A53" s="3124"/>
      <c r="B53" s="2995"/>
      <c r="C53" s="2996"/>
      <c r="D53" s="190">
        <v>43326</v>
      </c>
      <c r="E53" s="1729">
        <v>0.35416666666666669</v>
      </c>
      <c r="F53" s="566">
        <v>8.16</v>
      </c>
      <c r="G53" s="567">
        <v>16.600000000000001</v>
      </c>
      <c r="H53" s="567">
        <v>21.6</v>
      </c>
      <c r="I53" s="566">
        <v>7.86</v>
      </c>
      <c r="J53" s="757">
        <v>214.7</v>
      </c>
      <c r="K53" s="567">
        <v>9.1</v>
      </c>
      <c r="L53" s="1807">
        <v>0.3</v>
      </c>
      <c r="M53" s="753">
        <v>4</v>
      </c>
      <c r="N53" s="536" t="s">
        <v>871</v>
      </c>
      <c r="O53" s="750"/>
    </row>
    <row r="54" spans="1:15">
      <c r="A54" s="3124"/>
      <c r="B54" s="2995"/>
      <c r="C54" s="2996"/>
      <c r="D54" s="190">
        <v>43371</v>
      </c>
      <c r="E54" s="1729">
        <v>0.38194444444444442</v>
      </c>
      <c r="F54" s="566">
        <v>8.66</v>
      </c>
      <c r="G54" s="567">
        <v>14</v>
      </c>
      <c r="H54" s="567">
        <v>22.2</v>
      </c>
      <c r="I54" s="566">
        <v>8.8699999999999992</v>
      </c>
      <c r="J54" s="757">
        <v>183.4</v>
      </c>
      <c r="K54" s="567">
        <v>15.2</v>
      </c>
      <c r="L54" s="1807">
        <v>0.18</v>
      </c>
      <c r="M54" s="753">
        <v>2</v>
      </c>
      <c r="N54" s="536" t="s">
        <v>872</v>
      </c>
      <c r="O54" s="750"/>
    </row>
    <row r="55" spans="1:15">
      <c r="A55" s="3124"/>
      <c r="B55" s="2995"/>
      <c r="C55" s="2996"/>
      <c r="D55" s="190">
        <v>43396</v>
      </c>
      <c r="E55" s="1729">
        <v>0.38541666666666669</v>
      </c>
      <c r="F55" s="566">
        <v>8.7799999999999994</v>
      </c>
      <c r="G55" s="567">
        <v>3.2</v>
      </c>
      <c r="H55" s="567">
        <v>1.3</v>
      </c>
      <c r="I55" s="566">
        <v>11.97</v>
      </c>
      <c r="J55" s="757">
        <v>181.9</v>
      </c>
      <c r="K55" s="567">
        <v>14</v>
      </c>
      <c r="L55" s="1807">
        <v>0.3</v>
      </c>
      <c r="M55" s="753">
        <v>4</v>
      </c>
      <c r="N55" s="536" t="s">
        <v>871</v>
      </c>
      <c r="O55" s="750"/>
    </row>
    <row r="56" spans="1:15">
      <c r="A56" s="3124"/>
      <c r="B56" s="2995" t="s">
        <v>982</v>
      </c>
      <c r="C56" s="2996" t="s">
        <v>1024</v>
      </c>
      <c r="D56" s="190">
        <v>43234</v>
      </c>
      <c r="E56" s="1729">
        <v>0.38194444444444442</v>
      </c>
      <c r="F56" s="566">
        <v>8.15</v>
      </c>
      <c r="G56" s="567">
        <v>11.5</v>
      </c>
      <c r="H56" s="567">
        <v>18.600000000000001</v>
      </c>
      <c r="I56" s="566">
        <v>10.35</v>
      </c>
      <c r="J56" s="757">
        <v>284.2</v>
      </c>
      <c r="K56" s="567">
        <v>39</v>
      </c>
      <c r="L56" s="1807">
        <v>0.08</v>
      </c>
      <c r="M56" s="753">
        <v>2</v>
      </c>
      <c r="N56" s="536" t="s">
        <v>872</v>
      </c>
      <c r="O56" s="750">
        <v>0.4</v>
      </c>
    </row>
    <row r="57" spans="1:15">
      <c r="A57" s="3124"/>
      <c r="B57" s="2995"/>
      <c r="C57" s="2996"/>
      <c r="D57" s="190">
        <v>43270</v>
      </c>
      <c r="E57" s="1729">
        <v>0.375</v>
      </c>
      <c r="F57" s="566">
        <v>8.19</v>
      </c>
      <c r="G57" s="567">
        <v>14.7</v>
      </c>
      <c r="H57" s="567">
        <v>21.5</v>
      </c>
      <c r="I57" s="566">
        <v>7.54</v>
      </c>
      <c r="J57" s="757">
        <v>306.7</v>
      </c>
      <c r="K57" s="567">
        <v>12.6</v>
      </c>
      <c r="L57" s="1807">
        <v>0.15</v>
      </c>
      <c r="M57" s="753">
        <v>2</v>
      </c>
      <c r="N57" s="536" t="s">
        <v>872</v>
      </c>
      <c r="O57" s="750"/>
    </row>
    <row r="58" spans="1:15">
      <c r="A58" s="3124"/>
      <c r="B58" s="2995"/>
      <c r="C58" s="2996"/>
      <c r="D58" s="190">
        <v>43300</v>
      </c>
      <c r="E58" s="1729">
        <v>0.38194444444444442</v>
      </c>
      <c r="F58" s="566">
        <v>8.51</v>
      </c>
      <c r="G58" s="567">
        <v>18.100000000000001</v>
      </c>
      <c r="H58" s="567">
        <v>29</v>
      </c>
      <c r="I58" s="566">
        <v>7.43</v>
      </c>
      <c r="J58" s="757">
        <v>334.6</v>
      </c>
      <c r="K58" s="567">
        <v>7.1</v>
      </c>
      <c r="L58" s="1807">
        <v>0.08</v>
      </c>
      <c r="M58" s="753">
        <v>2</v>
      </c>
      <c r="N58" s="536" t="s">
        <v>872</v>
      </c>
      <c r="O58" s="750"/>
    </row>
    <row r="59" spans="1:15">
      <c r="A59" s="3124"/>
      <c r="B59" s="2995"/>
      <c r="C59" s="2996"/>
      <c r="D59" s="190">
        <v>43326</v>
      </c>
      <c r="E59" s="1729">
        <v>0.375</v>
      </c>
      <c r="F59" s="566">
        <v>8.15</v>
      </c>
      <c r="G59" s="567">
        <v>16.7</v>
      </c>
      <c r="H59" s="567">
        <v>21.4</v>
      </c>
      <c r="I59" s="566">
        <v>7.63</v>
      </c>
      <c r="J59" s="757">
        <v>293.39999999999998</v>
      </c>
      <c r="K59" s="567">
        <v>9.5</v>
      </c>
      <c r="L59" s="1807">
        <v>0.2</v>
      </c>
      <c r="M59" s="753">
        <v>3</v>
      </c>
      <c r="N59" s="536" t="s">
        <v>871</v>
      </c>
      <c r="O59" s="750"/>
    </row>
    <row r="60" spans="1:15">
      <c r="A60" s="3124"/>
      <c r="B60" s="2995"/>
      <c r="C60" s="2996"/>
      <c r="D60" s="190">
        <v>43371</v>
      </c>
      <c r="E60" s="1729">
        <v>0.40277777777777773</v>
      </c>
      <c r="F60" s="566">
        <v>8.42</v>
      </c>
      <c r="G60" s="567">
        <v>13.5</v>
      </c>
      <c r="H60" s="567">
        <v>23.1</v>
      </c>
      <c r="I60" s="566">
        <v>8.84</v>
      </c>
      <c r="J60" s="757">
        <v>223.7</v>
      </c>
      <c r="K60" s="567">
        <v>15.5</v>
      </c>
      <c r="L60" s="1807">
        <v>0.1</v>
      </c>
      <c r="M60" s="753">
        <v>2</v>
      </c>
      <c r="N60" s="536" t="s">
        <v>872</v>
      </c>
      <c r="O60" s="750"/>
    </row>
    <row r="61" spans="1:15">
      <c r="A61" s="3125"/>
      <c r="B61" s="2995"/>
      <c r="C61" s="2996"/>
      <c r="D61" s="190">
        <v>43396</v>
      </c>
      <c r="E61" s="1729">
        <v>0.40277777777777773</v>
      </c>
      <c r="F61" s="566">
        <v>8.42</v>
      </c>
      <c r="G61" s="567">
        <v>3.5</v>
      </c>
      <c r="H61" s="567">
        <v>3.9</v>
      </c>
      <c r="I61" s="566">
        <v>11.5</v>
      </c>
      <c r="J61" s="757">
        <v>289.7</v>
      </c>
      <c r="K61" s="567">
        <v>14.5</v>
      </c>
      <c r="L61" s="1807">
        <v>0.15</v>
      </c>
      <c r="M61" s="753">
        <v>2</v>
      </c>
      <c r="N61" s="536" t="s">
        <v>871</v>
      </c>
      <c r="O61" s="750"/>
    </row>
    <row r="62" spans="1:15">
      <c r="A62" s="3007" t="s">
        <v>224</v>
      </c>
      <c r="B62" s="3118" t="s">
        <v>211</v>
      </c>
      <c r="C62" s="3115" t="s">
        <v>531</v>
      </c>
      <c r="D62" s="190">
        <v>43234</v>
      </c>
      <c r="E62" s="1728">
        <v>0.37847222222222227</v>
      </c>
      <c r="F62" s="251">
        <v>8.1999999999999993</v>
      </c>
      <c r="G62" s="428">
        <v>7.6</v>
      </c>
      <c r="H62" s="428">
        <v>15.6</v>
      </c>
      <c r="I62" s="251">
        <v>10.73</v>
      </c>
      <c r="J62" s="756">
        <v>93</v>
      </c>
      <c r="K62" s="428">
        <v>3.1</v>
      </c>
      <c r="L62" s="759">
        <v>0.02</v>
      </c>
      <c r="M62" s="752">
        <v>1.5</v>
      </c>
      <c r="N62" s="536" t="s">
        <v>872</v>
      </c>
      <c r="O62" s="750">
        <v>0.2</v>
      </c>
    </row>
    <row r="63" spans="1:15">
      <c r="A63" s="3007"/>
      <c r="B63" s="3119"/>
      <c r="C63" s="3116"/>
      <c r="D63" s="190">
        <v>43270</v>
      </c>
      <c r="E63" s="1728">
        <v>0.37847222222222227</v>
      </c>
      <c r="F63" s="251">
        <v>8.07</v>
      </c>
      <c r="G63" s="428">
        <v>11.4</v>
      </c>
      <c r="H63" s="428">
        <v>16.7</v>
      </c>
      <c r="I63" s="251">
        <v>7.9</v>
      </c>
      <c r="J63" s="756">
        <v>82.4</v>
      </c>
      <c r="K63" s="428">
        <v>3</v>
      </c>
      <c r="L63" s="759">
        <v>0.02</v>
      </c>
      <c r="M63" s="752">
        <v>1</v>
      </c>
      <c r="N63" s="536" t="s">
        <v>871</v>
      </c>
      <c r="O63" s="750"/>
    </row>
    <row r="64" spans="1:15">
      <c r="A64" s="3007"/>
      <c r="B64" s="3119"/>
      <c r="C64" s="3116"/>
      <c r="D64" s="190">
        <v>43300</v>
      </c>
      <c r="E64" s="1728">
        <v>0.38541666666666669</v>
      </c>
      <c r="F64" s="251">
        <v>8</v>
      </c>
      <c r="G64" s="428">
        <v>13.2</v>
      </c>
      <c r="H64" s="428">
        <v>27.9</v>
      </c>
      <c r="I64" s="251">
        <v>8.5</v>
      </c>
      <c r="J64" s="756">
        <v>85.7</v>
      </c>
      <c r="K64" s="428">
        <v>0.75</v>
      </c>
      <c r="L64" s="759">
        <v>0.08</v>
      </c>
      <c r="M64" s="752">
        <v>1.5</v>
      </c>
      <c r="N64" s="536" t="s">
        <v>871</v>
      </c>
      <c r="O64" s="750"/>
    </row>
    <row r="65" spans="1:15">
      <c r="A65" s="3007"/>
      <c r="B65" s="3119"/>
      <c r="C65" s="3116"/>
      <c r="D65" s="190">
        <v>43326</v>
      </c>
      <c r="E65" s="1729">
        <v>0.35069444444444442</v>
      </c>
      <c r="F65" s="566">
        <v>8.07</v>
      </c>
      <c r="G65" s="567">
        <v>11.4</v>
      </c>
      <c r="H65" s="567">
        <v>20.2</v>
      </c>
      <c r="I65" s="566">
        <v>8.94</v>
      </c>
      <c r="J65" s="757">
        <v>53.4</v>
      </c>
      <c r="K65" s="567">
        <v>1</v>
      </c>
      <c r="L65" s="1807">
        <v>0.08</v>
      </c>
      <c r="M65" s="753">
        <v>1.5</v>
      </c>
      <c r="N65" s="536" t="s">
        <v>871</v>
      </c>
      <c r="O65" s="750"/>
    </row>
    <row r="66" spans="1:15">
      <c r="A66" s="3007"/>
      <c r="B66" s="3119"/>
      <c r="C66" s="3116"/>
      <c r="D66" s="190">
        <v>43371</v>
      </c>
      <c r="E66" s="1729">
        <v>0.37152777777777773</v>
      </c>
      <c r="F66" s="566">
        <v>8.1300000000000008</v>
      </c>
      <c r="G66" s="567">
        <v>4.5999999999999996</v>
      </c>
      <c r="H66" s="567">
        <v>7.5</v>
      </c>
      <c r="I66" s="566">
        <v>11.48</v>
      </c>
      <c r="J66" s="757">
        <v>39.299999999999997</v>
      </c>
      <c r="K66" s="567">
        <v>1.2</v>
      </c>
      <c r="L66" s="1807">
        <v>0.05</v>
      </c>
      <c r="M66" s="753">
        <v>1.5</v>
      </c>
      <c r="N66" s="536" t="s">
        <v>871</v>
      </c>
      <c r="O66" s="750"/>
    </row>
    <row r="67" spans="1:15">
      <c r="A67" s="3007"/>
      <c r="B67" s="3120"/>
      <c r="C67" s="3117"/>
      <c r="D67" s="190">
        <v>43396</v>
      </c>
      <c r="E67" s="1729">
        <v>0.3888888888888889</v>
      </c>
      <c r="F67" s="566">
        <v>8.2100000000000009</v>
      </c>
      <c r="G67" s="567">
        <v>3.3</v>
      </c>
      <c r="H67" s="567">
        <v>15.3</v>
      </c>
      <c r="I67" s="566">
        <v>12.72</v>
      </c>
      <c r="J67" s="757">
        <v>83</v>
      </c>
      <c r="K67" s="567">
        <v>1</v>
      </c>
      <c r="L67" s="1807">
        <v>0.05</v>
      </c>
      <c r="M67" s="753">
        <v>1</v>
      </c>
      <c r="N67" s="536" t="s">
        <v>871</v>
      </c>
      <c r="O67" s="750"/>
    </row>
    <row r="68" spans="1:15">
      <c r="A68" s="3121" t="s">
        <v>495</v>
      </c>
      <c r="B68" s="3115" t="s">
        <v>1747</v>
      </c>
      <c r="C68" s="3115" t="s">
        <v>532</v>
      </c>
      <c r="D68" s="190">
        <v>43234</v>
      </c>
      <c r="E68" s="1729">
        <v>0.36805555555555558</v>
      </c>
      <c r="F68" s="566">
        <v>8.25</v>
      </c>
      <c r="G68" s="567">
        <v>10.3</v>
      </c>
      <c r="H68" s="567">
        <v>17.8</v>
      </c>
      <c r="I68" s="566">
        <v>10.36</v>
      </c>
      <c r="J68" s="757">
        <v>1512</v>
      </c>
      <c r="K68" s="567">
        <v>1.9</v>
      </c>
      <c r="L68" s="1807">
        <v>0.12</v>
      </c>
      <c r="M68" s="753">
        <v>3</v>
      </c>
      <c r="N68" s="536" t="s">
        <v>871</v>
      </c>
      <c r="O68" s="750">
        <v>0.25</v>
      </c>
    </row>
    <row r="69" spans="1:15">
      <c r="A69" s="3121"/>
      <c r="B69" s="3116"/>
      <c r="C69" s="3116"/>
      <c r="D69" s="190">
        <v>43270</v>
      </c>
      <c r="E69" s="1729">
        <v>0.36458333333333331</v>
      </c>
      <c r="F69" s="566">
        <v>7.85</v>
      </c>
      <c r="G69" s="567">
        <v>11.1</v>
      </c>
      <c r="H69" s="567">
        <v>22.2</v>
      </c>
      <c r="I69" s="566">
        <v>8.73</v>
      </c>
      <c r="J69" s="757">
        <v>1639</v>
      </c>
      <c r="K69" s="567">
        <v>1</v>
      </c>
      <c r="L69" s="1807">
        <v>0.7</v>
      </c>
      <c r="M69" s="753">
        <v>4</v>
      </c>
      <c r="N69" s="536" t="s">
        <v>871</v>
      </c>
      <c r="O69" s="750"/>
    </row>
    <row r="70" spans="1:15">
      <c r="A70" s="3121"/>
      <c r="B70" s="3116"/>
      <c r="C70" s="3116"/>
      <c r="D70" s="190">
        <v>43300</v>
      </c>
      <c r="E70" s="1729">
        <v>0.37152777777777773</v>
      </c>
      <c r="F70" s="566">
        <v>8.25</v>
      </c>
      <c r="G70" s="567">
        <v>14.3</v>
      </c>
      <c r="H70" s="567">
        <v>28.8</v>
      </c>
      <c r="I70" s="566">
        <v>8.3000000000000007</v>
      </c>
      <c r="J70" s="757">
        <v>1643</v>
      </c>
      <c r="K70" s="567">
        <v>0.56999999999999995</v>
      </c>
      <c r="L70" s="1807">
        <v>0.8</v>
      </c>
      <c r="M70" s="753">
        <v>5</v>
      </c>
      <c r="N70" s="536" t="s">
        <v>871</v>
      </c>
      <c r="O70" s="750"/>
    </row>
    <row r="71" spans="1:15">
      <c r="A71" s="3121"/>
      <c r="B71" s="3116"/>
      <c r="C71" s="3116"/>
      <c r="D71" s="190">
        <v>43326</v>
      </c>
      <c r="E71" s="1729">
        <v>0.36458333333333331</v>
      </c>
      <c r="F71" s="566">
        <v>8.0500000000000007</v>
      </c>
      <c r="G71" s="567">
        <v>14</v>
      </c>
      <c r="H71" s="567">
        <v>22.3</v>
      </c>
      <c r="I71" s="566">
        <v>8.0500000000000007</v>
      </c>
      <c r="J71" s="757">
        <v>1663</v>
      </c>
      <c r="K71" s="567">
        <v>0.44</v>
      </c>
      <c r="L71" s="1807">
        <v>0.8</v>
      </c>
      <c r="M71" s="753">
        <v>5</v>
      </c>
      <c r="N71" s="536" t="s">
        <v>871</v>
      </c>
      <c r="O71" s="750"/>
    </row>
    <row r="72" spans="1:15">
      <c r="A72" s="3121"/>
      <c r="B72" s="3116"/>
      <c r="C72" s="3116"/>
      <c r="D72" s="190">
        <v>43371</v>
      </c>
      <c r="E72" s="1729">
        <v>0.3923611111111111</v>
      </c>
      <c r="F72" s="566">
        <v>8.16</v>
      </c>
      <c r="G72" s="567">
        <v>12.4</v>
      </c>
      <c r="H72" s="567">
        <v>24.5</v>
      </c>
      <c r="I72" s="566">
        <v>8.1</v>
      </c>
      <c r="J72" s="757">
        <v>1633</v>
      </c>
      <c r="K72" s="567">
        <v>0.3</v>
      </c>
      <c r="L72" s="1807">
        <v>0.8</v>
      </c>
      <c r="M72" s="753">
        <v>5</v>
      </c>
      <c r="N72" s="536" t="s">
        <v>871</v>
      </c>
      <c r="O72" s="750"/>
    </row>
    <row r="73" spans="1:15">
      <c r="A73" s="3122"/>
      <c r="B73" s="3117"/>
      <c r="C73" s="3117"/>
      <c r="D73" s="190">
        <v>43396</v>
      </c>
      <c r="E73" s="1729">
        <v>0.39583333333333331</v>
      </c>
      <c r="F73" s="566">
        <v>8.1199999999999992</v>
      </c>
      <c r="G73" s="567">
        <v>0.7</v>
      </c>
      <c r="H73" s="567">
        <v>2.1</v>
      </c>
      <c r="I73" s="566">
        <v>11.66</v>
      </c>
      <c r="J73" s="757">
        <v>1726</v>
      </c>
      <c r="K73" s="567">
        <v>0.36</v>
      </c>
      <c r="L73" s="1807">
        <v>0.4</v>
      </c>
      <c r="M73" s="753">
        <v>5</v>
      </c>
      <c r="N73" s="536" t="s">
        <v>871</v>
      </c>
      <c r="O73" s="750"/>
    </row>
    <row r="74" spans="1:15">
      <c r="A74" s="3123" t="s">
        <v>226</v>
      </c>
      <c r="B74" s="3118" t="s">
        <v>1372</v>
      </c>
      <c r="C74" s="3115" t="s">
        <v>1373</v>
      </c>
      <c r="D74" s="190">
        <v>43234</v>
      </c>
      <c r="E74" s="1728">
        <v>0.4375</v>
      </c>
      <c r="F74" s="251">
        <v>7.75</v>
      </c>
      <c r="G74" s="428">
        <v>8.5</v>
      </c>
      <c r="H74" s="428">
        <v>23</v>
      </c>
      <c r="I74" s="251">
        <v>11.76</v>
      </c>
      <c r="J74" s="756">
        <v>190.9</v>
      </c>
      <c r="K74" s="428">
        <v>12</v>
      </c>
      <c r="L74" s="759">
        <v>0.08</v>
      </c>
      <c r="M74" s="752">
        <v>2</v>
      </c>
      <c r="N74" s="536" t="s">
        <v>878</v>
      </c>
      <c r="O74" s="750">
        <v>0.4</v>
      </c>
    </row>
    <row r="75" spans="1:15">
      <c r="A75" s="3124"/>
      <c r="B75" s="3119"/>
      <c r="C75" s="3116"/>
      <c r="D75" s="190">
        <v>43270</v>
      </c>
      <c r="E75" s="1728">
        <v>0.44097222222222227</v>
      </c>
      <c r="F75" s="251">
        <v>7.62</v>
      </c>
      <c r="G75" s="428">
        <v>14.2</v>
      </c>
      <c r="H75" s="428">
        <v>19</v>
      </c>
      <c r="I75" s="251">
        <v>8.02</v>
      </c>
      <c r="J75" s="756">
        <v>229.6</v>
      </c>
      <c r="K75" s="428">
        <v>5</v>
      </c>
      <c r="L75" s="759">
        <v>0.08</v>
      </c>
      <c r="M75" s="752">
        <v>2</v>
      </c>
      <c r="N75" s="536" t="s">
        <v>871</v>
      </c>
      <c r="O75" s="750"/>
    </row>
    <row r="76" spans="1:15">
      <c r="A76" s="3124"/>
      <c r="B76" s="3119"/>
      <c r="C76" s="3116"/>
      <c r="D76" s="190">
        <v>43300</v>
      </c>
      <c r="E76" s="1728">
        <v>0.44444444444444442</v>
      </c>
      <c r="F76" s="251">
        <v>7.8</v>
      </c>
      <c r="G76" s="428">
        <v>15</v>
      </c>
      <c r="H76" s="428">
        <v>29.4</v>
      </c>
      <c r="I76" s="251">
        <v>8.0500000000000007</v>
      </c>
      <c r="J76" s="756">
        <v>265.7</v>
      </c>
      <c r="K76" s="428">
        <v>0.95</v>
      </c>
      <c r="L76" s="759">
        <v>0.02</v>
      </c>
      <c r="M76" s="752">
        <v>1.5</v>
      </c>
      <c r="N76" s="536" t="s">
        <v>871</v>
      </c>
      <c r="O76" s="750"/>
    </row>
    <row r="77" spans="1:15">
      <c r="A77" s="3124"/>
      <c r="B77" s="3119"/>
      <c r="C77" s="3116"/>
      <c r="D77" s="190">
        <v>43326</v>
      </c>
      <c r="E77" s="1729">
        <v>0.43055555555555558</v>
      </c>
      <c r="F77" s="566">
        <v>8.1199999999999992</v>
      </c>
      <c r="G77" s="567">
        <v>13.7</v>
      </c>
      <c r="H77" s="567">
        <v>26.4</v>
      </c>
      <c r="I77" s="566">
        <v>8.93</v>
      </c>
      <c r="J77" s="757">
        <v>243.4</v>
      </c>
      <c r="K77" s="567">
        <v>0.35</v>
      </c>
      <c r="L77" s="1807">
        <v>0.12</v>
      </c>
      <c r="M77" s="753">
        <v>2</v>
      </c>
      <c r="N77" s="536" t="s">
        <v>871</v>
      </c>
      <c r="O77" s="750"/>
    </row>
    <row r="78" spans="1:15">
      <c r="A78" s="3124"/>
      <c r="B78" s="3119"/>
      <c r="C78" s="3116"/>
      <c r="D78" s="190">
        <v>43371</v>
      </c>
      <c r="E78" s="1729">
        <v>0.4375</v>
      </c>
      <c r="F78" s="566">
        <v>8.08</v>
      </c>
      <c r="G78" s="567">
        <v>6.1</v>
      </c>
      <c r="H78" s="567">
        <v>11.9</v>
      </c>
      <c r="I78" s="566">
        <v>11.03</v>
      </c>
      <c r="J78" s="757">
        <v>221.7</v>
      </c>
      <c r="K78" s="567">
        <v>1.5</v>
      </c>
      <c r="L78" s="1807">
        <v>0.12</v>
      </c>
      <c r="M78" s="753">
        <v>3</v>
      </c>
      <c r="N78" s="536" t="s">
        <v>871</v>
      </c>
      <c r="O78" s="750"/>
    </row>
    <row r="79" spans="1:15">
      <c r="A79" s="3124"/>
      <c r="B79" s="3120"/>
      <c r="C79" s="3117"/>
      <c r="D79" s="190">
        <v>43396</v>
      </c>
      <c r="E79" s="1729">
        <v>0.44444444444444442</v>
      </c>
      <c r="F79" s="566">
        <v>7.92</v>
      </c>
      <c r="G79" s="567">
        <v>4.7</v>
      </c>
      <c r="H79" s="567">
        <v>13.5</v>
      </c>
      <c r="I79" s="566">
        <v>11.25</v>
      </c>
      <c r="J79" s="757">
        <v>227.3</v>
      </c>
      <c r="K79" s="567">
        <v>1.2</v>
      </c>
      <c r="L79" s="1807">
        <v>0.35</v>
      </c>
      <c r="M79" s="753">
        <v>3</v>
      </c>
      <c r="N79" s="536" t="s">
        <v>871</v>
      </c>
      <c r="O79" s="750"/>
    </row>
    <row r="80" spans="1:15">
      <c r="A80" s="3124"/>
      <c r="B80" s="3118" t="s">
        <v>361</v>
      </c>
      <c r="C80" s="3115" t="s">
        <v>363</v>
      </c>
      <c r="D80" s="190">
        <v>43234</v>
      </c>
      <c r="E80" s="1729">
        <v>0.35416666666666669</v>
      </c>
      <c r="F80" s="566">
        <v>8.23</v>
      </c>
      <c r="G80" s="567">
        <v>8</v>
      </c>
      <c r="H80" s="567">
        <v>18</v>
      </c>
      <c r="I80" s="566">
        <v>10.71</v>
      </c>
      <c r="J80" s="757">
        <v>711.7</v>
      </c>
      <c r="K80" s="567">
        <v>0.9</v>
      </c>
      <c r="L80" s="1807">
        <v>0.28000000000000003</v>
      </c>
      <c r="M80" s="753">
        <v>2</v>
      </c>
      <c r="N80" s="536" t="s">
        <v>872</v>
      </c>
      <c r="O80" s="750">
        <v>0.2</v>
      </c>
    </row>
    <row r="81" spans="1:15">
      <c r="A81" s="3124"/>
      <c r="B81" s="3119"/>
      <c r="C81" s="3116"/>
      <c r="D81" s="190">
        <v>43270</v>
      </c>
      <c r="E81" s="1729">
        <v>0.35416666666666669</v>
      </c>
      <c r="F81" s="566">
        <v>8.33</v>
      </c>
      <c r="G81" s="567">
        <v>13.3</v>
      </c>
      <c r="H81" s="567">
        <v>18</v>
      </c>
      <c r="I81" s="566">
        <v>8.2100000000000009</v>
      </c>
      <c r="J81" s="757">
        <v>736</v>
      </c>
      <c r="K81" s="567">
        <v>0.38</v>
      </c>
      <c r="L81" s="1807">
        <v>0.05</v>
      </c>
      <c r="M81" s="753">
        <v>1</v>
      </c>
      <c r="N81" s="536" t="s">
        <v>871</v>
      </c>
      <c r="O81" s="750"/>
    </row>
    <row r="82" spans="1:15">
      <c r="A82" s="3124"/>
      <c r="B82" s="3119"/>
      <c r="C82" s="3116"/>
      <c r="D82" s="190">
        <v>43300</v>
      </c>
      <c r="E82" s="1729">
        <v>0.3611111111111111</v>
      </c>
      <c r="F82" s="566">
        <v>7.82</v>
      </c>
      <c r="G82" s="567">
        <v>13.5</v>
      </c>
      <c r="H82" s="567">
        <v>24.3</v>
      </c>
      <c r="I82" s="566">
        <v>8.57</v>
      </c>
      <c r="J82" s="757">
        <v>745</v>
      </c>
      <c r="K82" s="567">
        <v>0.1</v>
      </c>
      <c r="L82" s="1807">
        <v>0.15</v>
      </c>
      <c r="M82" s="753">
        <v>2</v>
      </c>
      <c r="N82" s="536" t="s">
        <v>871</v>
      </c>
      <c r="O82" s="750"/>
    </row>
    <row r="83" spans="1:15">
      <c r="A83" s="3124"/>
      <c r="B83" s="3119"/>
      <c r="C83" s="3116"/>
      <c r="D83" s="190">
        <v>43326</v>
      </c>
      <c r="E83" s="1729">
        <v>0.36805555555555558</v>
      </c>
      <c r="F83" s="566">
        <v>8.4700000000000006</v>
      </c>
      <c r="G83" s="567">
        <v>11.6</v>
      </c>
      <c r="H83" s="567">
        <v>22</v>
      </c>
      <c r="I83" s="566">
        <v>8.82</v>
      </c>
      <c r="J83" s="757">
        <v>761</v>
      </c>
      <c r="K83" s="567">
        <v>0.16</v>
      </c>
      <c r="L83" s="1807">
        <v>0.2</v>
      </c>
      <c r="M83" s="753">
        <v>2</v>
      </c>
      <c r="N83" s="536" t="s">
        <v>871</v>
      </c>
      <c r="O83" s="750"/>
    </row>
    <row r="84" spans="1:15">
      <c r="A84" s="3124"/>
      <c r="B84" s="3119"/>
      <c r="C84" s="3116"/>
      <c r="D84" s="190">
        <v>43371</v>
      </c>
      <c r="E84" s="1729">
        <v>0.34027777777777773</v>
      </c>
      <c r="F84" s="566">
        <v>8.01</v>
      </c>
      <c r="G84" s="567">
        <v>6.9</v>
      </c>
      <c r="H84" s="567">
        <v>11.4</v>
      </c>
      <c r="I84" s="566">
        <v>9.7200000000000006</v>
      </c>
      <c r="J84" s="757">
        <v>786</v>
      </c>
      <c r="K84" s="567">
        <v>0.11</v>
      </c>
      <c r="L84" s="1807">
        <v>0.03</v>
      </c>
      <c r="M84" s="753">
        <v>1.5</v>
      </c>
      <c r="N84" s="536" t="s">
        <v>871</v>
      </c>
      <c r="O84" s="750"/>
    </row>
    <row r="85" spans="1:15">
      <c r="A85" s="3124"/>
      <c r="B85" s="3120"/>
      <c r="C85" s="3117"/>
      <c r="D85" s="190">
        <v>43396</v>
      </c>
      <c r="E85" s="1729">
        <v>0.36805555555555558</v>
      </c>
      <c r="F85" s="566">
        <v>7.98</v>
      </c>
      <c r="G85" s="567">
        <v>6</v>
      </c>
      <c r="H85" s="567">
        <v>15.2</v>
      </c>
      <c r="I85" s="566">
        <v>11.32</v>
      </c>
      <c r="J85" s="757">
        <v>799</v>
      </c>
      <c r="K85" s="567">
        <v>0.22</v>
      </c>
      <c r="L85" s="1807">
        <v>0.08</v>
      </c>
      <c r="M85" s="753">
        <v>2</v>
      </c>
      <c r="N85" s="536" t="s">
        <v>871</v>
      </c>
      <c r="O85" s="750"/>
    </row>
    <row r="86" spans="1:15">
      <c r="A86" s="3124"/>
      <c r="B86" s="3118" t="s">
        <v>502</v>
      </c>
      <c r="C86" s="3115" t="s">
        <v>362</v>
      </c>
      <c r="D86" s="190">
        <v>43234</v>
      </c>
      <c r="E86" s="1729">
        <v>0.46527777777777773</v>
      </c>
      <c r="F86" s="566">
        <v>7.99</v>
      </c>
      <c r="G86" s="567">
        <v>11.4</v>
      </c>
      <c r="H86" s="567">
        <v>20.399999999999999</v>
      </c>
      <c r="I86" s="566">
        <v>10.48</v>
      </c>
      <c r="J86" s="757">
        <v>623.20000000000005</v>
      </c>
      <c r="K86" s="567">
        <v>4.55</v>
      </c>
      <c r="L86" s="1807">
        <v>0.35</v>
      </c>
      <c r="M86" s="753">
        <v>5</v>
      </c>
      <c r="N86" s="536" t="s">
        <v>872</v>
      </c>
      <c r="O86" s="750">
        <v>0.45</v>
      </c>
    </row>
    <row r="87" spans="1:15">
      <c r="A87" s="3124"/>
      <c r="B87" s="3119"/>
      <c r="C87" s="3116"/>
      <c r="D87" s="190">
        <v>43270</v>
      </c>
      <c r="E87" s="1729">
        <v>0.46180555555555558</v>
      </c>
      <c r="F87" s="566">
        <v>7.65</v>
      </c>
      <c r="G87" s="567">
        <v>14.5</v>
      </c>
      <c r="H87" s="567">
        <v>20.9</v>
      </c>
      <c r="I87" s="566">
        <v>7.97</v>
      </c>
      <c r="J87" s="757">
        <v>688</v>
      </c>
      <c r="K87" s="567">
        <v>2.9</v>
      </c>
      <c r="L87" s="1807">
        <v>0.08</v>
      </c>
      <c r="M87" s="753">
        <v>2</v>
      </c>
      <c r="N87" s="536" t="s">
        <v>872</v>
      </c>
      <c r="O87" s="750"/>
    </row>
    <row r="88" spans="1:15">
      <c r="A88" s="3124"/>
      <c r="B88" s="3119"/>
      <c r="C88" s="3116"/>
      <c r="D88" s="190">
        <v>43300</v>
      </c>
      <c r="E88" s="1729">
        <v>0.47916666666666669</v>
      </c>
      <c r="F88" s="566">
        <v>7.88</v>
      </c>
      <c r="G88" s="567">
        <v>16.600000000000001</v>
      </c>
      <c r="H88" s="567">
        <v>33.799999999999997</v>
      </c>
      <c r="I88" s="566">
        <v>8.41</v>
      </c>
      <c r="J88" s="757">
        <v>711</v>
      </c>
      <c r="K88" s="567">
        <v>1.2</v>
      </c>
      <c r="L88" s="1807">
        <v>0.08</v>
      </c>
      <c r="M88" s="753">
        <v>1</v>
      </c>
      <c r="N88" s="536" t="s">
        <v>872</v>
      </c>
      <c r="O88" s="750"/>
    </row>
    <row r="89" spans="1:15">
      <c r="A89" s="3124"/>
      <c r="B89" s="3119"/>
      <c r="C89" s="3116"/>
      <c r="D89" s="190">
        <v>43326</v>
      </c>
      <c r="E89" s="1729">
        <v>0.47569444444444442</v>
      </c>
      <c r="F89" s="566">
        <v>8.02</v>
      </c>
      <c r="G89" s="567">
        <v>14.6</v>
      </c>
      <c r="H89" s="567">
        <v>25.5</v>
      </c>
      <c r="I89" s="566">
        <v>9.75</v>
      </c>
      <c r="J89" s="757">
        <v>691</v>
      </c>
      <c r="K89" s="567">
        <v>0.27</v>
      </c>
      <c r="L89" s="1807">
        <v>0.5</v>
      </c>
      <c r="M89" s="753">
        <v>5</v>
      </c>
      <c r="N89" s="536" t="s">
        <v>871</v>
      </c>
      <c r="O89" s="750"/>
    </row>
    <row r="90" spans="1:15">
      <c r="A90" s="3124"/>
      <c r="B90" s="3119"/>
      <c r="C90" s="3116"/>
      <c r="D90" s="190">
        <v>43371</v>
      </c>
      <c r="E90" s="1729">
        <v>0.46180555555555558</v>
      </c>
      <c r="F90" s="566">
        <v>8.23</v>
      </c>
      <c r="G90" s="567">
        <v>8</v>
      </c>
      <c r="H90" s="567">
        <v>10.199999999999999</v>
      </c>
      <c r="I90" s="566">
        <v>10.6</v>
      </c>
      <c r="J90" s="757">
        <v>608</v>
      </c>
      <c r="K90" s="567">
        <v>0.43</v>
      </c>
      <c r="L90" s="1807">
        <v>0.7</v>
      </c>
      <c r="M90" s="753">
        <v>5</v>
      </c>
      <c r="N90" s="536" t="s">
        <v>871</v>
      </c>
      <c r="O90" s="750"/>
    </row>
    <row r="91" spans="1:15">
      <c r="A91" s="3125"/>
      <c r="B91" s="3120"/>
      <c r="C91" s="3117"/>
      <c r="D91" s="190">
        <v>43396</v>
      </c>
      <c r="E91" s="1729">
        <v>0.46180555555555558</v>
      </c>
      <c r="F91" s="566">
        <v>7.91</v>
      </c>
      <c r="G91" s="567">
        <v>7.2</v>
      </c>
      <c r="H91" s="567">
        <v>14</v>
      </c>
      <c r="I91" s="566">
        <v>10.75</v>
      </c>
      <c r="J91" s="757">
        <v>664.7</v>
      </c>
      <c r="K91" s="567">
        <v>1.6</v>
      </c>
      <c r="L91" s="1807">
        <v>0.3</v>
      </c>
      <c r="M91" s="753">
        <v>5</v>
      </c>
      <c r="N91" s="536" t="s">
        <v>871</v>
      </c>
      <c r="O91" s="750"/>
    </row>
    <row r="92" spans="1:15">
      <c r="A92" s="3123" t="s">
        <v>228</v>
      </c>
      <c r="B92" s="3118" t="s">
        <v>209</v>
      </c>
      <c r="C92" s="3115" t="s">
        <v>533</v>
      </c>
      <c r="D92" s="190">
        <v>43234</v>
      </c>
      <c r="E92" s="1729">
        <v>0.52777777777777779</v>
      </c>
      <c r="F92" s="566">
        <v>7.82</v>
      </c>
      <c r="G92" s="567">
        <v>10.4</v>
      </c>
      <c r="H92" s="567">
        <v>24.2</v>
      </c>
      <c r="I92" s="566">
        <v>7.1</v>
      </c>
      <c r="J92" s="757">
        <v>1008</v>
      </c>
      <c r="K92" s="567">
        <v>2.88</v>
      </c>
      <c r="L92" s="1807">
        <v>0.08</v>
      </c>
      <c r="M92" s="753">
        <v>2</v>
      </c>
      <c r="N92" s="536" t="s">
        <v>872</v>
      </c>
      <c r="O92" s="750">
        <v>0.15</v>
      </c>
    </row>
    <row r="93" spans="1:15">
      <c r="A93" s="3124"/>
      <c r="B93" s="3119"/>
      <c r="C93" s="3116"/>
      <c r="D93" s="190">
        <v>43270</v>
      </c>
      <c r="E93" s="1729">
        <v>0.53472222222222221</v>
      </c>
      <c r="F93" s="566">
        <v>7.89</v>
      </c>
      <c r="G93" s="567">
        <v>17.399999999999999</v>
      </c>
      <c r="H93" s="567">
        <v>19.399999999999999</v>
      </c>
      <c r="I93" s="566">
        <v>6.26</v>
      </c>
      <c r="J93" s="757">
        <v>1246</v>
      </c>
      <c r="K93" s="567">
        <v>0.4</v>
      </c>
      <c r="L93" s="1807">
        <v>0.4</v>
      </c>
      <c r="M93" s="753">
        <v>5</v>
      </c>
      <c r="N93" s="536" t="s">
        <v>872</v>
      </c>
      <c r="O93" s="750"/>
    </row>
    <row r="94" spans="1:15">
      <c r="A94" s="3124"/>
      <c r="B94" s="3119"/>
      <c r="C94" s="3116"/>
      <c r="D94" s="190">
        <v>43300</v>
      </c>
      <c r="E94" s="1729">
        <v>4.1666666666666664E-2</v>
      </c>
      <c r="F94" s="566">
        <v>7.95</v>
      </c>
      <c r="G94" s="567">
        <v>19.7</v>
      </c>
      <c r="H94" s="567">
        <v>35.799999999999997</v>
      </c>
      <c r="I94" s="566">
        <v>6.03</v>
      </c>
      <c r="J94" s="757">
        <v>1412</v>
      </c>
      <c r="K94" s="567">
        <v>0.03</v>
      </c>
      <c r="L94" s="1807">
        <v>0.4</v>
      </c>
      <c r="M94" s="753">
        <v>5</v>
      </c>
      <c r="N94" s="536" t="s">
        <v>871</v>
      </c>
      <c r="O94" s="750"/>
    </row>
    <row r="95" spans="1:15">
      <c r="A95" s="3124"/>
      <c r="B95" s="3119"/>
      <c r="C95" s="3116"/>
      <c r="D95" s="190">
        <v>43326</v>
      </c>
      <c r="E95" s="1729">
        <v>0.52777777777777779</v>
      </c>
      <c r="F95" s="566">
        <v>8.02</v>
      </c>
      <c r="G95" s="567">
        <v>16.8</v>
      </c>
      <c r="H95" s="567">
        <v>22.8</v>
      </c>
      <c r="I95" s="566">
        <v>4.5</v>
      </c>
      <c r="J95" s="757">
        <v>1403</v>
      </c>
      <c r="K95" s="567">
        <v>0.01</v>
      </c>
      <c r="L95" s="1807">
        <v>0.9</v>
      </c>
      <c r="M95" s="753">
        <v>5</v>
      </c>
      <c r="N95" s="536" t="s">
        <v>878</v>
      </c>
      <c r="O95" s="750"/>
    </row>
    <row r="96" spans="1:15">
      <c r="A96" s="3124"/>
      <c r="B96" s="3119"/>
      <c r="C96" s="3116"/>
      <c r="D96" s="190">
        <v>43371</v>
      </c>
      <c r="E96" s="1729">
        <v>0.51041666666666663</v>
      </c>
      <c r="F96" s="566">
        <v>7.9</v>
      </c>
      <c r="G96" s="567">
        <v>6.6</v>
      </c>
      <c r="H96" s="567">
        <v>10.199999999999999</v>
      </c>
      <c r="I96" s="566">
        <v>10.75</v>
      </c>
      <c r="J96" s="757">
        <v>1362</v>
      </c>
      <c r="K96" s="567">
        <v>0.1</v>
      </c>
      <c r="L96" s="1807">
        <v>1</v>
      </c>
      <c r="M96" s="753">
        <v>5</v>
      </c>
      <c r="N96" s="536" t="s">
        <v>872</v>
      </c>
      <c r="O96" s="750"/>
    </row>
    <row r="97" spans="1:15">
      <c r="A97" s="3125"/>
      <c r="B97" s="3120"/>
      <c r="C97" s="3117"/>
      <c r="D97" s="190">
        <v>43396</v>
      </c>
      <c r="E97" s="1729">
        <v>0.51388888888888895</v>
      </c>
      <c r="F97" s="566">
        <v>7.84</v>
      </c>
      <c r="G97" s="567">
        <v>5.8</v>
      </c>
      <c r="H97" s="567">
        <v>16.899999999999999</v>
      </c>
      <c r="I97" s="566">
        <v>12.11</v>
      </c>
      <c r="J97" s="757">
        <v>1874</v>
      </c>
      <c r="K97" s="567">
        <v>0.1</v>
      </c>
      <c r="L97" s="1807">
        <v>1</v>
      </c>
      <c r="M97" s="753">
        <v>5</v>
      </c>
      <c r="N97" s="536" t="s">
        <v>871</v>
      </c>
      <c r="O97" s="750"/>
    </row>
    <row r="98" spans="1:15">
      <c r="A98" s="3007" t="s">
        <v>879</v>
      </c>
      <c r="B98" s="2995" t="s">
        <v>210</v>
      </c>
      <c r="C98" s="2996" t="s">
        <v>534</v>
      </c>
      <c r="D98" s="190">
        <v>43234</v>
      </c>
      <c r="E98" s="1729">
        <v>0.53472222222222221</v>
      </c>
      <c r="F98" s="566">
        <v>7.93</v>
      </c>
      <c r="G98" s="567">
        <v>10.4</v>
      </c>
      <c r="H98" s="567">
        <v>24.2</v>
      </c>
      <c r="I98" s="566">
        <v>9.4</v>
      </c>
      <c r="J98" s="757">
        <v>316.3</v>
      </c>
      <c r="K98" s="567">
        <v>3</v>
      </c>
      <c r="L98" s="1807">
        <v>0.1</v>
      </c>
      <c r="M98" s="753">
        <v>2</v>
      </c>
      <c r="N98" s="536" t="s">
        <v>872</v>
      </c>
      <c r="O98" s="750">
        <v>0.45</v>
      </c>
    </row>
    <row r="99" spans="1:15">
      <c r="A99" s="3007"/>
      <c r="B99" s="2995"/>
      <c r="C99" s="2996"/>
      <c r="D99" s="190">
        <v>43270</v>
      </c>
      <c r="E99" s="1729">
        <v>4.5138888888888888E-2</v>
      </c>
      <c r="F99" s="566">
        <v>8.0399999999999991</v>
      </c>
      <c r="G99" s="567">
        <v>15.4</v>
      </c>
      <c r="H99" s="567">
        <v>20.5</v>
      </c>
      <c r="I99" s="566">
        <v>7.5</v>
      </c>
      <c r="J99" s="757">
        <v>344.8</v>
      </c>
      <c r="K99" s="567">
        <v>2.14</v>
      </c>
      <c r="L99" s="1807">
        <v>0.3</v>
      </c>
      <c r="M99" s="753">
        <v>5</v>
      </c>
      <c r="N99" s="536" t="s">
        <v>871</v>
      </c>
      <c r="O99" s="750"/>
    </row>
    <row r="100" spans="1:15">
      <c r="A100" s="3007"/>
      <c r="B100" s="2995"/>
      <c r="C100" s="2996"/>
      <c r="D100" s="190">
        <v>43300</v>
      </c>
      <c r="E100" s="1729">
        <v>5.5555555555555552E-2</v>
      </c>
      <c r="F100" s="566">
        <v>8.1199999999999992</v>
      </c>
      <c r="G100" s="567">
        <v>16.3</v>
      </c>
      <c r="H100" s="567">
        <v>30.3</v>
      </c>
      <c r="I100" s="566">
        <v>6.53</v>
      </c>
      <c r="J100" s="757">
        <v>808</v>
      </c>
      <c r="K100" s="567">
        <v>0.05</v>
      </c>
      <c r="L100" s="1807">
        <v>0.2</v>
      </c>
      <c r="M100" s="753">
        <v>2</v>
      </c>
      <c r="N100" s="536" t="s">
        <v>871</v>
      </c>
      <c r="O100" s="750"/>
    </row>
    <row r="101" spans="1:15">
      <c r="A101" s="3007"/>
      <c r="B101" s="2995"/>
      <c r="C101" s="2996"/>
      <c r="D101" s="190">
        <v>43326</v>
      </c>
      <c r="E101" s="1729">
        <v>4.5138888888888888E-2</v>
      </c>
      <c r="F101" s="566">
        <v>7.86</v>
      </c>
      <c r="G101" s="567">
        <v>13.1</v>
      </c>
      <c r="H101" s="567">
        <v>19.100000000000001</v>
      </c>
      <c r="I101" s="566">
        <v>7.51</v>
      </c>
      <c r="J101" s="757">
        <v>389.6</v>
      </c>
      <c r="K101" s="567">
        <v>0.08</v>
      </c>
      <c r="L101" s="1807">
        <v>0.12</v>
      </c>
      <c r="M101" s="753">
        <v>2</v>
      </c>
      <c r="N101" s="536" t="s">
        <v>871</v>
      </c>
      <c r="O101" s="750"/>
    </row>
    <row r="102" spans="1:15">
      <c r="A102" s="3007"/>
      <c r="B102" s="2995"/>
      <c r="C102" s="2996"/>
      <c r="D102" s="190">
        <v>43371</v>
      </c>
      <c r="E102" s="1729">
        <v>0.52083333333333337</v>
      </c>
      <c r="F102" s="566">
        <v>7.93</v>
      </c>
      <c r="G102" s="567">
        <v>6.2</v>
      </c>
      <c r="H102" s="567">
        <v>12.4</v>
      </c>
      <c r="I102" s="566">
        <v>7.08</v>
      </c>
      <c r="J102" s="757">
        <v>719</v>
      </c>
      <c r="K102" s="567">
        <v>0.13</v>
      </c>
      <c r="L102" s="1807">
        <v>1</v>
      </c>
      <c r="M102" s="753">
        <v>5</v>
      </c>
      <c r="N102" s="536" t="s">
        <v>871</v>
      </c>
      <c r="O102" s="750"/>
    </row>
    <row r="103" spans="1:15">
      <c r="A103" s="3007"/>
      <c r="B103" s="2995"/>
      <c r="C103" s="2996"/>
      <c r="D103" s="190">
        <v>43396</v>
      </c>
      <c r="E103" s="1729">
        <v>0.52083333333333337</v>
      </c>
      <c r="F103" s="566">
        <v>7.97</v>
      </c>
      <c r="G103" s="567">
        <v>4.9000000000000004</v>
      </c>
      <c r="H103" s="567">
        <v>16.3</v>
      </c>
      <c r="I103" s="566">
        <v>11.34</v>
      </c>
      <c r="J103" s="757">
        <v>709.9</v>
      </c>
      <c r="K103" s="567">
        <v>0.31</v>
      </c>
      <c r="L103" s="1807">
        <v>0.4</v>
      </c>
      <c r="M103" s="753">
        <v>5</v>
      </c>
      <c r="N103" s="536" t="s">
        <v>871</v>
      </c>
      <c r="O103" s="750"/>
    </row>
    <row r="105" spans="1:15" ht="25">
      <c r="A105" s="1808" t="s">
        <v>876</v>
      </c>
      <c r="B105" s="1809" t="s">
        <v>917</v>
      </c>
      <c r="C105" s="536" t="s">
        <v>916</v>
      </c>
      <c r="D105" s="536" t="s">
        <v>915</v>
      </c>
      <c r="E105" s="1809" t="s">
        <v>1381</v>
      </c>
      <c r="F105" s="425" t="s">
        <v>914</v>
      </c>
      <c r="G105" s="557" t="s">
        <v>1380</v>
      </c>
      <c r="H105" s="425" t="s">
        <v>738</v>
      </c>
      <c r="I105" s="425" t="s">
        <v>1382</v>
      </c>
    </row>
    <row r="106" spans="1:15">
      <c r="A106" s="190">
        <v>43234</v>
      </c>
      <c r="B106" s="2869">
        <v>3.4</v>
      </c>
      <c r="C106" s="1810">
        <v>2.5</v>
      </c>
      <c r="D106" s="1811">
        <v>0.3</v>
      </c>
      <c r="E106" s="1811">
        <v>0.2</v>
      </c>
      <c r="F106" s="1811">
        <v>1</v>
      </c>
      <c r="G106" s="1811">
        <v>32.5</v>
      </c>
      <c r="H106" s="1811">
        <v>12</v>
      </c>
      <c r="I106" s="1811">
        <v>1.9</v>
      </c>
    </row>
    <row r="107" spans="1:15">
      <c r="A107" s="190">
        <v>43270</v>
      </c>
      <c r="B107" s="2869">
        <v>3</v>
      </c>
      <c r="C107" s="1810">
        <v>0.75</v>
      </c>
      <c r="D107" s="1811">
        <v>0.25</v>
      </c>
      <c r="E107" s="1811">
        <v>0.25</v>
      </c>
      <c r="F107" s="1811">
        <v>1.5</v>
      </c>
      <c r="G107" s="1811">
        <v>26.5</v>
      </c>
      <c r="H107" s="1811">
        <v>5</v>
      </c>
      <c r="I107" s="1811">
        <v>1</v>
      </c>
    </row>
    <row r="108" spans="1:15">
      <c r="A108" s="190">
        <v>43300</v>
      </c>
      <c r="B108" s="2869">
        <v>0.75</v>
      </c>
      <c r="C108" s="1810">
        <v>0.5</v>
      </c>
      <c r="D108" s="1811">
        <v>0.05</v>
      </c>
      <c r="E108" s="1811">
        <v>0</v>
      </c>
      <c r="F108" s="1811">
        <v>0.1</v>
      </c>
      <c r="G108" s="1811">
        <v>10.4</v>
      </c>
      <c r="H108" s="1811">
        <v>0.95</v>
      </c>
      <c r="I108" s="1811">
        <v>1</v>
      </c>
    </row>
    <row r="109" spans="1:15">
      <c r="A109" s="190">
        <v>43326</v>
      </c>
      <c r="B109" s="2869">
        <v>1</v>
      </c>
      <c r="C109" s="1810">
        <v>0.25</v>
      </c>
      <c r="D109" s="1811">
        <v>0</v>
      </c>
      <c r="E109" s="1811">
        <v>0</v>
      </c>
      <c r="F109" s="1811">
        <v>0.2</v>
      </c>
      <c r="G109" s="1811">
        <v>6.67</v>
      </c>
      <c r="H109" s="1811">
        <v>0.35</v>
      </c>
      <c r="I109" s="1811">
        <v>0.5</v>
      </c>
    </row>
    <row r="110" spans="1:15">
      <c r="A110" s="190">
        <v>43371</v>
      </c>
      <c r="B110" s="2869">
        <v>1.2</v>
      </c>
      <c r="C110" s="1810">
        <v>0.2</v>
      </c>
      <c r="D110" s="1811">
        <v>0</v>
      </c>
      <c r="E110" s="1811">
        <v>0</v>
      </c>
      <c r="F110" s="1811">
        <v>0.2</v>
      </c>
      <c r="G110" s="1811">
        <v>8.8000000000000007</v>
      </c>
      <c r="H110" s="1811">
        <v>1.5</v>
      </c>
      <c r="I110" s="1811">
        <v>0.3</v>
      </c>
    </row>
    <row r="111" spans="1:15">
      <c r="A111" s="190">
        <v>43396</v>
      </c>
      <c r="B111" s="2869">
        <v>1.8</v>
      </c>
      <c r="C111" s="1810">
        <v>0.25</v>
      </c>
      <c r="D111" s="1811">
        <v>0</v>
      </c>
      <c r="E111" s="1811">
        <v>0</v>
      </c>
      <c r="F111" s="1811">
        <v>0.1</v>
      </c>
      <c r="G111" s="1811">
        <v>11</v>
      </c>
      <c r="H111" s="1811">
        <v>1.2</v>
      </c>
      <c r="I111" s="1811">
        <v>0.36</v>
      </c>
    </row>
  </sheetData>
  <mergeCells count="41">
    <mergeCell ref="C98:C103"/>
    <mergeCell ref="B86:B91"/>
    <mergeCell ref="C32:C37"/>
    <mergeCell ref="C50:C55"/>
    <mergeCell ref="B50:B55"/>
    <mergeCell ref="B56:B61"/>
    <mergeCell ref="C56:C61"/>
    <mergeCell ref="C86:C91"/>
    <mergeCell ref="C68:C73"/>
    <mergeCell ref="C62:C67"/>
    <mergeCell ref="C44:C49"/>
    <mergeCell ref="C38:C43"/>
    <mergeCell ref="C92:C97"/>
    <mergeCell ref="C74:C79"/>
    <mergeCell ref="C80:C85"/>
    <mergeCell ref="A98:A103"/>
    <mergeCell ref="B26:B31"/>
    <mergeCell ref="B98:B103"/>
    <mergeCell ref="B32:B37"/>
    <mergeCell ref="B62:B67"/>
    <mergeCell ref="B44:B49"/>
    <mergeCell ref="B68:B73"/>
    <mergeCell ref="B38:B43"/>
    <mergeCell ref="A92:A97"/>
    <mergeCell ref="B92:B97"/>
    <mergeCell ref="B74:B79"/>
    <mergeCell ref="B80:B85"/>
    <mergeCell ref="A74:A91"/>
    <mergeCell ref="A68:A73"/>
    <mergeCell ref="A62:A67"/>
    <mergeCell ref="A20:A61"/>
    <mergeCell ref="A2:A19"/>
    <mergeCell ref="B2:B7"/>
    <mergeCell ref="C2:C7"/>
    <mergeCell ref="C14:C19"/>
    <mergeCell ref="B14:B19"/>
    <mergeCell ref="C26:C31"/>
    <mergeCell ref="B20:B25"/>
    <mergeCell ref="C20:C25"/>
    <mergeCell ref="B8:B13"/>
    <mergeCell ref="C8:C1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83"/>
  <sheetViews>
    <sheetView topLeftCell="A145" workbookViewId="0">
      <selection activeCell="O115" sqref="O115"/>
    </sheetView>
  </sheetViews>
  <sheetFormatPr defaultRowHeight="14"/>
  <cols>
    <col min="1" max="1" width="24.36328125" style="14" customWidth="1"/>
    <col min="2" max="3" width="7.54296875" style="17" customWidth="1"/>
    <col min="5" max="5" width="18.6328125" customWidth="1"/>
    <col min="6" max="6" width="9.08984375" customWidth="1"/>
    <col min="8" max="8" width="20" customWidth="1"/>
    <col min="15" max="15" width="21.81640625" customWidth="1"/>
    <col min="19" max="19" width="12.7265625" customWidth="1"/>
    <col min="20" max="20" width="11.7265625" customWidth="1"/>
  </cols>
  <sheetData>
    <row r="1" spans="1:7" ht="15.5">
      <c r="A1" s="2928" t="s">
        <v>49</v>
      </c>
      <c r="B1" s="2928"/>
      <c r="C1" s="2928"/>
      <c r="D1" s="2928"/>
      <c r="E1" s="2928"/>
      <c r="F1" s="2928"/>
      <c r="G1" s="2928"/>
    </row>
    <row r="2" spans="1:7">
      <c r="A2" s="1" t="s">
        <v>9</v>
      </c>
      <c r="B2" s="93" t="s">
        <v>48</v>
      </c>
      <c r="C2" s="93" t="s">
        <v>15</v>
      </c>
      <c r="D2" s="1"/>
      <c r="E2" s="1"/>
      <c r="F2" s="93" t="s">
        <v>48</v>
      </c>
      <c r="G2" s="93" t="s">
        <v>15</v>
      </c>
    </row>
    <row r="3" spans="1:7">
      <c r="A3" s="12" t="s">
        <v>18</v>
      </c>
      <c r="B3" s="193">
        <v>1990</v>
      </c>
      <c r="C3" s="13">
        <v>773</v>
      </c>
      <c r="E3" s="39" t="s">
        <v>22</v>
      </c>
      <c r="F3" s="193">
        <v>1991</v>
      </c>
      <c r="G3" s="13">
        <v>442</v>
      </c>
    </row>
    <row r="4" spans="1:7">
      <c r="B4" s="193">
        <v>1991</v>
      </c>
      <c r="C4" s="13">
        <v>1078</v>
      </c>
      <c r="E4" s="14"/>
      <c r="F4" s="193">
        <v>1992</v>
      </c>
      <c r="G4" s="13">
        <v>288</v>
      </c>
    </row>
    <row r="5" spans="1:7">
      <c r="B5" s="193">
        <v>1992</v>
      </c>
      <c r="C5" s="13">
        <v>931</v>
      </c>
      <c r="E5" s="14"/>
      <c r="F5" s="193">
        <v>1993</v>
      </c>
      <c r="G5" s="15">
        <v>504</v>
      </c>
    </row>
    <row r="6" spans="1:7">
      <c r="B6" s="193">
        <v>1993</v>
      </c>
      <c r="C6" s="15">
        <v>1253</v>
      </c>
      <c r="E6" s="14"/>
      <c r="F6" s="193">
        <v>1994</v>
      </c>
      <c r="G6" s="15">
        <v>382</v>
      </c>
    </row>
    <row r="7" spans="1:7">
      <c r="B7" s="193">
        <v>1994</v>
      </c>
      <c r="C7" s="15">
        <v>1472</v>
      </c>
      <c r="E7" s="14"/>
      <c r="F7" s="193">
        <v>1995</v>
      </c>
      <c r="G7" s="15">
        <v>474</v>
      </c>
    </row>
    <row r="8" spans="1:7">
      <c r="B8" s="193">
        <v>1995</v>
      </c>
      <c r="C8" s="15">
        <v>1932</v>
      </c>
      <c r="E8" s="14"/>
      <c r="F8" s="193">
        <v>1996</v>
      </c>
      <c r="G8" s="16">
        <v>577.75</v>
      </c>
    </row>
    <row r="9" spans="1:7">
      <c r="B9" s="193">
        <v>1996</v>
      </c>
      <c r="C9" s="16">
        <v>1367.4375</v>
      </c>
      <c r="E9" s="14"/>
      <c r="F9" s="193">
        <v>1997</v>
      </c>
      <c r="G9" s="15">
        <v>392.83071428571424</v>
      </c>
    </row>
    <row r="10" spans="1:7">
      <c r="B10" s="193">
        <v>1997</v>
      </c>
      <c r="C10" s="15">
        <v>798.58375000000012</v>
      </c>
      <c r="E10" s="14"/>
      <c r="F10" s="193">
        <v>1998</v>
      </c>
      <c r="G10" s="15">
        <v>388</v>
      </c>
    </row>
    <row r="11" spans="1:7">
      <c r="B11" s="193">
        <v>1998</v>
      </c>
      <c r="C11" s="15">
        <v>525</v>
      </c>
      <c r="E11" s="14"/>
      <c r="F11" s="193">
        <v>1999</v>
      </c>
      <c r="G11" s="15">
        <v>224</v>
      </c>
    </row>
    <row r="12" spans="1:7">
      <c r="B12" s="193">
        <v>1999</v>
      </c>
      <c r="C12" s="15">
        <v>521</v>
      </c>
      <c r="E12" s="14"/>
      <c r="F12" s="193">
        <v>2000</v>
      </c>
      <c r="G12" s="15">
        <v>431</v>
      </c>
    </row>
    <row r="13" spans="1:7">
      <c r="B13" s="193">
        <v>2000</v>
      </c>
      <c r="C13" s="15">
        <v>1483</v>
      </c>
      <c r="E13" s="14"/>
      <c r="F13" s="193">
        <v>2001</v>
      </c>
      <c r="G13" s="15">
        <v>401</v>
      </c>
    </row>
    <row r="14" spans="1:7">
      <c r="B14" s="193">
        <v>2001</v>
      </c>
      <c r="C14" s="15">
        <v>974</v>
      </c>
      <c r="E14" s="14"/>
      <c r="F14" s="193">
        <v>2002</v>
      </c>
      <c r="G14" s="15">
        <v>289</v>
      </c>
    </row>
    <row r="15" spans="1:7">
      <c r="B15" s="193">
        <v>2002</v>
      </c>
      <c r="C15" s="15">
        <v>4314</v>
      </c>
      <c r="F15" s="193">
        <v>2003</v>
      </c>
      <c r="G15" s="15">
        <v>268</v>
      </c>
    </row>
    <row r="16" spans="1:7">
      <c r="B16" s="193">
        <v>2003</v>
      </c>
      <c r="C16" s="17">
        <v>1757</v>
      </c>
      <c r="F16" s="193">
        <v>2004</v>
      </c>
      <c r="G16" s="15">
        <v>268</v>
      </c>
    </row>
    <row r="17" spans="1:7">
      <c r="B17" s="193">
        <v>2004</v>
      </c>
      <c r="C17" s="17">
        <v>444</v>
      </c>
      <c r="F17" s="193">
        <v>2005</v>
      </c>
      <c r="G17" s="15">
        <v>186</v>
      </c>
    </row>
    <row r="18" spans="1:7">
      <c r="B18" s="193">
        <v>2005</v>
      </c>
      <c r="C18" s="17">
        <v>1100</v>
      </c>
      <c r="F18" s="193">
        <v>2006</v>
      </c>
      <c r="G18" s="15">
        <v>158</v>
      </c>
    </row>
    <row r="19" spans="1:7">
      <c r="B19" s="193">
        <v>2006</v>
      </c>
      <c r="C19" s="17">
        <v>1570</v>
      </c>
      <c r="F19" s="193">
        <v>2007</v>
      </c>
      <c r="G19" s="15">
        <v>222</v>
      </c>
    </row>
    <row r="20" spans="1:7">
      <c r="B20" s="193">
        <v>2007</v>
      </c>
      <c r="C20" s="17">
        <v>747</v>
      </c>
      <c r="F20" s="193">
        <v>2008</v>
      </c>
      <c r="G20" s="15">
        <v>233</v>
      </c>
    </row>
    <row r="21" spans="1:7">
      <c r="B21" s="193">
        <v>2008</v>
      </c>
      <c r="C21" s="17">
        <v>1093</v>
      </c>
      <c r="F21" s="193">
        <v>2009</v>
      </c>
      <c r="G21" s="15">
        <v>291</v>
      </c>
    </row>
    <row r="22" spans="1:7">
      <c r="B22" s="193">
        <v>2009</v>
      </c>
      <c r="C22" s="17">
        <v>322</v>
      </c>
      <c r="F22" s="193">
        <v>2010</v>
      </c>
      <c r="G22" s="15">
        <v>287</v>
      </c>
    </row>
    <row r="23" spans="1:7">
      <c r="B23" s="193">
        <v>2010</v>
      </c>
      <c r="C23" s="17">
        <v>1296</v>
      </c>
      <c r="F23" s="193">
        <v>2011</v>
      </c>
      <c r="G23" s="15">
        <v>158</v>
      </c>
    </row>
    <row r="24" spans="1:7">
      <c r="B24" s="193">
        <v>2011</v>
      </c>
      <c r="C24" s="17">
        <v>760</v>
      </c>
      <c r="F24" s="193">
        <v>2012</v>
      </c>
      <c r="G24" s="15">
        <v>165</v>
      </c>
    </row>
    <row r="25" spans="1:7">
      <c r="B25" s="193">
        <v>2012</v>
      </c>
      <c r="C25" s="17">
        <v>1024</v>
      </c>
      <c r="F25" s="193">
        <v>2013</v>
      </c>
      <c r="G25" s="15">
        <v>161</v>
      </c>
    </row>
    <row r="26" spans="1:7">
      <c r="B26" s="193">
        <v>2013</v>
      </c>
      <c r="C26" s="17">
        <v>800</v>
      </c>
      <c r="F26" s="193">
        <v>2014</v>
      </c>
      <c r="G26" s="15">
        <v>307</v>
      </c>
    </row>
    <row r="27" spans="1:7">
      <c r="B27" s="193">
        <v>2014</v>
      </c>
      <c r="C27" s="17">
        <v>384</v>
      </c>
      <c r="F27" s="193">
        <v>2015</v>
      </c>
      <c r="G27" s="15">
        <v>377</v>
      </c>
    </row>
    <row r="28" spans="1:7" s="306" customFormat="1">
      <c r="A28" s="14"/>
      <c r="B28" s="302">
        <v>2015</v>
      </c>
      <c r="C28" s="17">
        <v>557</v>
      </c>
      <c r="F28" s="302"/>
    </row>
    <row r="29" spans="1:7" s="358" customFormat="1">
      <c r="A29" s="14"/>
      <c r="B29" s="302"/>
      <c r="C29" s="17"/>
      <c r="F29" s="302"/>
    </row>
    <row r="30" spans="1:7">
      <c r="A30" s="12" t="s">
        <v>20</v>
      </c>
      <c r="B30" s="331">
        <v>1992</v>
      </c>
      <c r="C30" s="13">
        <v>423</v>
      </c>
      <c r="E30" s="39" t="s">
        <v>23</v>
      </c>
      <c r="F30" s="193">
        <v>1991</v>
      </c>
      <c r="G30" s="13">
        <v>381</v>
      </c>
    </row>
    <row r="31" spans="1:7">
      <c r="B31" s="331">
        <v>1993</v>
      </c>
      <c r="C31" s="16">
        <v>528</v>
      </c>
      <c r="E31" s="14"/>
      <c r="F31" s="193">
        <v>1992</v>
      </c>
      <c r="G31" s="13">
        <v>282</v>
      </c>
    </row>
    <row r="32" spans="1:7">
      <c r="B32" s="331">
        <v>1994</v>
      </c>
      <c r="C32" s="13">
        <v>505</v>
      </c>
      <c r="E32" s="14"/>
      <c r="F32" s="193">
        <v>1993</v>
      </c>
      <c r="G32" s="15">
        <v>451</v>
      </c>
    </row>
    <row r="33" spans="1:7">
      <c r="B33" s="331">
        <v>1995</v>
      </c>
      <c r="C33" s="15">
        <v>584</v>
      </c>
      <c r="E33" s="14"/>
      <c r="F33" s="193">
        <v>1994</v>
      </c>
      <c r="G33" s="15">
        <v>356</v>
      </c>
    </row>
    <row r="34" spans="1:7">
      <c r="B34" s="331">
        <v>1996</v>
      </c>
      <c r="C34" s="15">
        <v>807</v>
      </c>
      <c r="E34" s="14"/>
      <c r="F34" s="193">
        <v>1995</v>
      </c>
      <c r="G34" s="15">
        <v>502</v>
      </c>
    </row>
    <row r="35" spans="1:7">
      <c r="B35" s="331">
        <v>1997</v>
      </c>
      <c r="C35" s="15">
        <v>536</v>
      </c>
      <c r="E35" s="14"/>
      <c r="F35" s="193">
        <v>1996</v>
      </c>
      <c r="G35" s="16">
        <v>589.25</v>
      </c>
    </row>
    <row r="36" spans="1:7">
      <c r="B36" s="331">
        <v>1998</v>
      </c>
      <c r="C36" s="15">
        <v>452</v>
      </c>
      <c r="E36" s="14"/>
      <c r="F36" s="193">
        <v>1997</v>
      </c>
      <c r="G36" s="15">
        <v>365.20642857142866</v>
      </c>
    </row>
    <row r="37" spans="1:7">
      <c r="B37" s="331">
        <v>1999</v>
      </c>
      <c r="C37" s="15">
        <v>256</v>
      </c>
      <c r="E37" s="14"/>
      <c r="F37" s="193">
        <v>1998</v>
      </c>
      <c r="G37" s="15">
        <v>372</v>
      </c>
    </row>
    <row r="38" spans="1:7">
      <c r="B38" s="331">
        <v>2000</v>
      </c>
      <c r="C38" s="15">
        <v>536</v>
      </c>
      <c r="E38" s="14"/>
      <c r="F38" s="193">
        <v>1999</v>
      </c>
      <c r="G38" s="15">
        <v>220</v>
      </c>
    </row>
    <row r="39" spans="1:7">
      <c r="B39" s="331">
        <v>2001</v>
      </c>
      <c r="C39" s="15">
        <v>417</v>
      </c>
      <c r="E39" s="14"/>
      <c r="F39" s="193">
        <v>2000</v>
      </c>
      <c r="G39" s="15">
        <v>443</v>
      </c>
    </row>
    <row r="40" spans="1:7">
      <c r="B40" s="331">
        <v>2002</v>
      </c>
      <c r="C40" s="17">
        <v>371</v>
      </c>
      <c r="E40" s="14"/>
      <c r="F40" s="193">
        <v>2001</v>
      </c>
      <c r="G40" s="15">
        <v>395</v>
      </c>
    </row>
    <row r="41" spans="1:7">
      <c r="B41" s="331">
        <v>2003</v>
      </c>
      <c r="C41" s="17">
        <v>416</v>
      </c>
      <c r="E41" s="14"/>
      <c r="F41" s="193">
        <v>2002</v>
      </c>
      <c r="G41" s="15">
        <v>288</v>
      </c>
    </row>
    <row r="42" spans="1:7">
      <c r="B42" s="331">
        <v>2004</v>
      </c>
      <c r="C42" s="17">
        <v>259</v>
      </c>
      <c r="F42" s="193">
        <v>2003</v>
      </c>
      <c r="G42" s="15">
        <v>271</v>
      </c>
    </row>
    <row r="43" spans="1:7">
      <c r="A43" s="12" t="s">
        <v>120</v>
      </c>
      <c r="B43" s="331">
        <v>2005</v>
      </c>
      <c r="C43" s="17">
        <v>375</v>
      </c>
      <c r="F43" s="193">
        <v>2004</v>
      </c>
      <c r="G43" s="15">
        <v>249</v>
      </c>
    </row>
    <row r="44" spans="1:7">
      <c r="B44" s="331">
        <v>2006</v>
      </c>
      <c r="C44" s="17">
        <v>435</v>
      </c>
      <c r="F44" s="193">
        <v>2005</v>
      </c>
      <c r="G44" s="15">
        <v>198</v>
      </c>
    </row>
    <row r="45" spans="1:7">
      <c r="B45" s="331">
        <v>2007</v>
      </c>
      <c r="C45" s="17">
        <v>314</v>
      </c>
      <c r="F45" s="193">
        <v>2006</v>
      </c>
      <c r="G45" s="15">
        <v>150</v>
      </c>
    </row>
    <row r="46" spans="1:7">
      <c r="B46" s="331">
        <v>2008</v>
      </c>
      <c r="F46" s="193">
        <v>2007</v>
      </c>
      <c r="G46" s="15">
        <v>233</v>
      </c>
    </row>
    <row r="47" spans="1:7">
      <c r="B47" s="331">
        <v>2009</v>
      </c>
      <c r="F47" s="193"/>
    </row>
    <row r="48" spans="1:7">
      <c r="B48" s="331">
        <v>2010</v>
      </c>
      <c r="F48" s="193"/>
    </row>
    <row r="49" spans="1:7">
      <c r="B49"/>
      <c r="F49" s="193"/>
    </row>
    <row r="50" spans="1:7">
      <c r="B50"/>
      <c r="F50" s="49"/>
    </row>
    <row r="51" spans="1:7">
      <c r="A51" s="19" t="s">
        <v>17</v>
      </c>
      <c r="B51" s="193">
        <v>1990</v>
      </c>
      <c r="C51" s="13">
        <v>1121</v>
      </c>
      <c r="E51" s="39" t="s">
        <v>24</v>
      </c>
      <c r="F51" s="193">
        <v>1991</v>
      </c>
      <c r="G51" s="13">
        <v>341</v>
      </c>
    </row>
    <row r="52" spans="1:7">
      <c r="A52" s="18"/>
      <c r="B52" s="193">
        <v>1991</v>
      </c>
      <c r="C52" s="13">
        <v>1590</v>
      </c>
      <c r="E52" s="14"/>
      <c r="F52" s="193">
        <v>1992</v>
      </c>
      <c r="G52" s="13">
        <v>228</v>
      </c>
    </row>
    <row r="53" spans="1:7">
      <c r="A53" s="18"/>
      <c r="B53" s="193">
        <v>1992</v>
      </c>
      <c r="C53" s="13">
        <v>2941</v>
      </c>
      <c r="E53" s="14"/>
      <c r="F53" s="193">
        <v>1993</v>
      </c>
      <c r="G53" s="15">
        <v>332</v>
      </c>
    </row>
    <row r="54" spans="1:7">
      <c r="A54" s="18"/>
      <c r="B54" s="193">
        <v>1993</v>
      </c>
      <c r="C54" s="15">
        <v>1224</v>
      </c>
      <c r="E54" s="14"/>
      <c r="F54" s="193">
        <v>1994</v>
      </c>
      <c r="G54" s="15">
        <v>308</v>
      </c>
    </row>
    <row r="55" spans="1:7">
      <c r="A55" s="18"/>
      <c r="B55" s="193">
        <v>1994</v>
      </c>
      <c r="C55" s="15">
        <v>963</v>
      </c>
      <c r="E55" s="14"/>
      <c r="F55" s="193">
        <v>1995</v>
      </c>
      <c r="G55" s="15">
        <v>503</v>
      </c>
    </row>
    <row r="56" spans="1:7">
      <c r="A56" s="18"/>
      <c r="B56" s="193">
        <v>1995</v>
      </c>
      <c r="C56" s="15">
        <v>476</v>
      </c>
      <c r="E56" s="14"/>
      <c r="F56" s="193">
        <v>1996</v>
      </c>
      <c r="G56" s="16">
        <v>560.9375</v>
      </c>
    </row>
    <row r="57" spans="1:7">
      <c r="A57" s="18"/>
      <c r="B57" s="193">
        <v>1996</v>
      </c>
      <c r="C57" s="16">
        <v>618.3125</v>
      </c>
      <c r="E57" s="14"/>
      <c r="F57" s="193">
        <v>1997</v>
      </c>
      <c r="G57" s="15">
        <v>340.9935714285715</v>
      </c>
    </row>
    <row r="58" spans="1:7">
      <c r="A58" s="18"/>
      <c r="B58" s="193">
        <v>1997</v>
      </c>
      <c r="C58" s="15">
        <v>419.54062500000003</v>
      </c>
      <c r="E58" s="14"/>
      <c r="F58" s="193">
        <v>1998</v>
      </c>
      <c r="G58" s="15">
        <v>342</v>
      </c>
    </row>
    <row r="59" spans="1:7">
      <c r="A59" s="18"/>
      <c r="B59" s="193">
        <v>1998</v>
      </c>
      <c r="C59" s="15">
        <v>536</v>
      </c>
      <c r="E59" s="14"/>
      <c r="F59" s="193">
        <v>1999</v>
      </c>
      <c r="G59" s="15">
        <v>231</v>
      </c>
    </row>
    <row r="60" spans="1:7">
      <c r="A60" s="18"/>
      <c r="B60" s="193">
        <v>1999</v>
      </c>
      <c r="C60" s="15">
        <v>192</v>
      </c>
      <c r="E60" s="14"/>
      <c r="F60" s="193">
        <v>2000</v>
      </c>
      <c r="G60" s="15">
        <v>483</v>
      </c>
    </row>
    <row r="61" spans="1:7">
      <c r="A61" s="18"/>
      <c r="B61" s="193">
        <v>2000</v>
      </c>
      <c r="C61" s="15">
        <v>803</v>
      </c>
      <c r="E61" s="14"/>
      <c r="F61" s="193">
        <v>2001</v>
      </c>
      <c r="G61" s="15">
        <v>390</v>
      </c>
    </row>
    <row r="62" spans="1:7">
      <c r="A62" s="18"/>
      <c r="B62" s="193">
        <v>2001</v>
      </c>
      <c r="C62" s="15">
        <v>486</v>
      </c>
      <c r="E62" s="14"/>
      <c r="F62" s="193">
        <v>2002</v>
      </c>
      <c r="G62" s="15">
        <v>268</v>
      </c>
    </row>
    <row r="63" spans="1:7">
      <c r="A63" s="18"/>
      <c r="B63" s="193">
        <v>2002</v>
      </c>
      <c r="C63" s="15">
        <v>686</v>
      </c>
      <c r="F63" s="193">
        <v>2003</v>
      </c>
      <c r="G63" s="15">
        <v>259</v>
      </c>
    </row>
    <row r="64" spans="1:7">
      <c r="B64" s="193">
        <v>2003</v>
      </c>
      <c r="C64" s="17">
        <v>764</v>
      </c>
      <c r="F64" s="193">
        <v>2004</v>
      </c>
      <c r="G64" s="15">
        <v>224</v>
      </c>
    </row>
    <row r="65" spans="1:7">
      <c r="B65" s="193">
        <v>2004</v>
      </c>
      <c r="C65" s="17">
        <v>385</v>
      </c>
      <c r="F65" s="193">
        <v>2005</v>
      </c>
      <c r="G65" s="15">
        <v>210</v>
      </c>
    </row>
    <row r="66" spans="1:7">
      <c r="B66" s="193">
        <v>2005</v>
      </c>
      <c r="C66" s="17">
        <v>481</v>
      </c>
      <c r="F66" s="193">
        <v>2006</v>
      </c>
      <c r="G66" s="15">
        <v>151</v>
      </c>
    </row>
    <row r="67" spans="1:7">
      <c r="B67" s="193">
        <v>2006</v>
      </c>
      <c r="C67" s="17">
        <v>419</v>
      </c>
      <c r="F67" s="193">
        <v>2007</v>
      </c>
      <c r="G67" s="15">
        <v>232</v>
      </c>
    </row>
    <row r="68" spans="1:7">
      <c r="B68" s="193">
        <v>2007</v>
      </c>
      <c r="C68" s="17">
        <v>410</v>
      </c>
      <c r="F68" s="193">
        <v>2008</v>
      </c>
      <c r="G68" s="15">
        <v>230</v>
      </c>
    </row>
    <row r="69" spans="1:7">
      <c r="B69" s="193">
        <v>2008</v>
      </c>
      <c r="C69" s="17">
        <v>671</v>
      </c>
      <c r="F69" s="193">
        <v>2009</v>
      </c>
      <c r="G69" s="15">
        <v>244</v>
      </c>
    </row>
    <row r="70" spans="1:7">
      <c r="B70" s="193">
        <v>2009</v>
      </c>
      <c r="C70" s="17">
        <v>1018</v>
      </c>
      <c r="F70" s="193">
        <v>2010</v>
      </c>
      <c r="G70" s="15">
        <v>222</v>
      </c>
    </row>
    <row r="71" spans="1:7">
      <c r="B71" s="193">
        <v>2010</v>
      </c>
      <c r="C71" s="17">
        <v>569</v>
      </c>
      <c r="F71" s="193">
        <v>2011</v>
      </c>
      <c r="G71" s="15">
        <v>186</v>
      </c>
    </row>
    <row r="72" spans="1:7">
      <c r="B72" s="193">
        <v>2011</v>
      </c>
      <c r="C72" s="17">
        <v>433</v>
      </c>
      <c r="F72" s="193">
        <v>2012</v>
      </c>
      <c r="G72" s="15">
        <v>101.8</v>
      </c>
    </row>
    <row r="73" spans="1:7">
      <c r="B73" s="193">
        <v>2012</v>
      </c>
      <c r="C73" s="17">
        <v>445</v>
      </c>
      <c r="F73" s="227">
        <v>2013</v>
      </c>
      <c r="G73" s="15">
        <v>144</v>
      </c>
    </row>
    <row r="74" spans="1:7">
      <c r="B74" s="193">
        <v>2013</v>
      </c>
      <c r="C74" s="17">
        <v>443</v>
      </c>
      <c r="F74" s="332">
        <v>2014</v>
      </c>
      <c r="G74" s="15">
        <v>274</v>
      </c>
    </row>
    <row r="75" spans="1:7">
      <c r="B75" s="302">
        <v>2014</v>
      </c>
      <c r="C75" s="17">
        <v>318</v>
      </c>
      <c r="F75" s="332">
        <v>2015</v>
      </c>
      <c r="G75" s="15">
        <v>352</v>
      </c>
    </row>
    <row r="76" spans="1:7" s="306" customFormat="1">
      <c r="A76" s="14"/>
      <c r="B76" s="302">
        <v>2015</v>
      </c>
      <c r="C76" s="17">
        <v>608</v>
      </c>
    </row>
    <row r="77" spans="1:7" s="358" customFormat="1">
      <c r="A77" s="14"/>
      <c r="B77" s="302"/>
      <c r="C77" s="17"/>
    </row>
    <row r="78" spans="1:7" ht="15.5">
      <c r="A78" s="2928" t="s">
        <v>49</v>
      </c>
      <c r="B78" s="2928"/>
      <c r="C78" s="2928"/>
      <c r="D78" s="2928"/>
      <c r="E78" s="2928"/>
      <c r="F78" s="2928"/>
      <c r="G78" s="2928"/>
    </row>
    <row r="79" spans="1:7">
      <c r="B79" s="93" t="s">
        <v>48</v>
      </c>
      <c r="C79" s="93" t="s">
        <v>15</v>
      </c>
      <c r="F79" s="93" t="s">
        <v>48</v>
      </c>
      <c r="G79" s="93" t="s">
        <v>15</v>
      </c>
    </row>
    <row r="80" spans="1:7">
      <c r="A80" s="12" t="s">
        <v>16</v>
      </c>
      <c r="B80" s="193">
        <v>1990</v>
      </c>
      <c r="C80" s="15"/>
      <c r="E80" s="12" t="s">
        <v>26</v>
      </c>
      <c r="F80" s="193">
        <v>1991</v>
      </c>
      <c r="G80" s="13">
        <v>589</v>
      </c>
    </row>
    <row r="81" spans="2:10">
      <c r="B81" s="193">
        <v>1991</v>
      </c>
      <c r="C81" s="15">
        <f t="shared" ref="C81:C92" si="0">(G3+G30+G51)/3</f>
        <v>388</v>
      </c>
      <c r="E81" s="14"/>
      <c r="F81" s="193">
        <v>1992</v>
      </c>
      <c r="G81" s="13">
        <v>325</v>
      </c>
    </row>
    <row r="82" spans="2:10">
      <c r="B82" s="193">
        <v>1992</v>
      </c>
      <c r="C82" s="15">
        <f t="shared" si="0"/>
        <v>266</v>
      </c>
      <c r="E82" s="14"/>
      <c r="F82" s="193">
        <v>1993</v>
      </c>
      <c r="G82" s="15">
        <v>431</v>
      </c>
    </row>
    <row r="83" spans="2:10">
      <c r="B83" s="193">
        <v>1993</v>
      </c>
      <c r="C83" s="15">
        <f t="shared" si="0"/>
        <v>429</v>
      </c>
      <c r="E83" s="14"/>
      <c r="F83" s="193">
        <v>1994</v>
      </c>
      <c r="G83" s="15">
        <v>351</v>
      </c>
    </row>
    <row r="84" spans="2:10">
      <c r="B84" s="193">
        <v>1994</v>
      </c>
      <c r="C84" s="15">
        <f t="shared" si="0"/>
        <v>348.66666666666669</v>
      </c>
      <c r="E84" s="14"/>
      <c r="F84" s="193">
        <v>1995</v>
      </c>
      <c r="G84" s="15">
        <v>491</v>
      </c>
    </row>
    <row r="85" spans="2:10">
      <c r="B85" s="193">
        <v>1995</v>
      </c>
      <c r="C85" s="15">
        <f t="shared" si="0"/>
        <v>493</v>
      </c>
      <c r="E85" s="14"/>
      <c r="F85" s="193">
        <v>1996</v>
      </c>
      <c r="G85" s="16">
        <v>579.375</v>
      </c>
    </row>
    <row r="86" spans="2:10">
      <c r="B86" s="193">
        <v>1996</v>
      </c>
      <c r="C86" s="15">
        <f t="shared" si="0"/>
        <v>575.97916666666663</v>
      </c>
      <c r="E86" s="14"/>
      <c r="F86" s="193">
        <v>1997</v>
      </c>
      <c r="G86" s="15">
        <v>520.40125</v>
      </c>
    </row>
    <row r="87" spans="2:10">
      <c r="B87" s="193">
        <v>1997</v>
      </c>
      <c r="C87" s="15">
        <f t="shared" si="0"/>
        <v>366.34357142857152</v>
      </c>
      <c r="E87" s="14"/>
      <c r="F87" s="193">
        <v>1998</v>
      </c>
      <c r="G87" s="15">
        <v>405</v>
      </c>
    </row>
    <row r="88" spans="2:10">
      <c r="B88" s="193">
        <v>1998</v>
      </c>
      <c r="C88" s="15">
        <f t="shared" si="0"/>
        <v>367.33333333333331</v>
      </c>
      <c r="E88" s="14"/>
      <c r="F88" s="193">
        <v>1999</v>
      </c>
      <c r="G88" s="15">
        <v>226</v>
      </c>
    </row>
    <row r="89" spans="2:10">
      <c r="B89" s="193">
        <v>1999</v>
      </c>
      <c r="C89" s="15">
        <f t="shared" si="0"/>
        <v>225</v>
      </c>
      <c r="E89" s="14"/>
      <c r="F89" s="193">
        <v>2000</v>
      </c>
      <c r="G89" s="15">
        <v>437</v>
      </c>
    </row>
    <row r="90" spans="2:10">
      <c r="B90" s="193">
        <v>2000</v>
      </c>
      <c r="C90" s="15">
        <f t="shared" si="0"/>
        <v>452.33333333333331</v>
      </c>
      <c r="D90" s="20"/>
      <c r="E90" s="14"/>
      <c r="F90" s="193">
        <v>2001</v>
      </c>
      <c r="G90" s="15">
        <v>388</v>
      </c>
      <c r="H90" s="20"/>
      <c r="I90" s="20"/>
      <c r="J90" s="20"/>
    </row>
    <row r="91" spans="2:10">
      <c r="B91" s="193">
        <v>2001</v>
      </c>
      <c r="C91" s="15">
        <f t="shared" si="0"/>
        <v>395.33333333333331</v>
      </c>
      <c r="D91" s="20"/>
      <c r="E91" s="14"/>
      <c r="F91" s="193">
        <v>2002</v>
      </c>
      <c r="G91" s="15">
        <v>280</v>
      </c>
      <c r="H91" s="20"/>
      <c r="I91" s="20"/>
      <c r="J91" s="20"/>
    </row>
    <row r="92" spans="2:10">
      <c r="B92" s="193">
        <v>2002</v>
      </c>
      <c r="C92" s="15">
        <f t="shared" si="0"/>
        <v>281.66666666666669</v>
      </c>
      <c r="D92" s="20"/>
      <c r="E92" s="20"/>
      <c r="F92" s="193">
        <v>2003</v>
      </c>
      <c r="G92" s="15">
        <v>268</v>
      </c>
      <c r="H92" s="20"/>
      <c r="I92" s="20"/>
      <c r="J92" s="20"/>
    </row>
    <row r="93" spans="2:10">
      <c r="B93" s="193">
        <v>2003</v>
      </c>
      <c r="C93" s="17">
        <v>268</v>
      </c>
      <c r="D93" s="20"/>
      <c r="E93" s="20"/>
      <c r="F93" s="193">
        <v>2004</v>
      </c>
      <c r="G93" s="16">
        <v>247</v>
      </c>
      <c r="H93" s="20"/>
      <c r="I93" s="20"/>
      <c r="J93" s="20"/>
    </row>
    <row r="94" spans="2:10">
      <c r="B94" s="193">
        <v>2004</v>
      </c>
      <c r="C94" s="17">
        <v>247</v>
      </c>
      <c r="D94" s="20"/>
      <c r="E94" s="20"/>
      <c r="F94" s="193">
        <v>2005</v>
      </c>
      <c r="G94" s="16">
        <v>233</v>
      </c>
      <c r="H94" s="20"/>
      <c r="I94" s="20"/>
      <c r="J94" s="20"/>
    </row>
    <row r="95" spans="2:10">
      <c r="B95" s="193">
        <v>2005</v>
      </c>
      <c r="C95" s="17">
        <v>207</v>
      </c>
      <c r="D95" s="20"/>
      <c r="E95" s="20"/>
      <c r="F95" s="193">
        <v>2006</v>
      </c>
      <c r="G95" s="16">
        <v>196</v>
      </c>
      <c r="H95" s="20"/>
      <c r="I95" s="20"/>
      <c r="J95" s="20"/>
    </row>
    <row r="96" spans="2:10">
      <c r="B96" s="193">
        <v>2006</v>
      </c>
      <c r="C96" s="17">
        <v>153</v>
      </c>
      <c r="D96" s="20"/>
      <c r="E96" s="20"/>
      <c r="F96" s="193">
        <v>2007</v>
      </c>
      <c r="G96" s="16">
        <v>261</v>
      </c>
      <c r="H96" s="20"/>
      <c r="I96" s="20"/>
      <c r="J96" s="20"/>
    </row>
    <row r="97" spans="1:10">
      <c r="B97" s="193">
        <v>2007</v>
      </c>
      <c r="C97" s="17">
        <v>229</v>
      </c>
      <c r="D97" s="20"/>
      <c r="E97" s="20"/>
      <c r="F97" s="193">
        <v>2008</v>
      </c>
      <c r="G97" s="16">
        <v>220</v>
      </c>
      <c r="H97" s="20"/>
      <c r="I97" s="20"/>
      <c r="J97" s="20"/>
    </row>
    <row r="98" spans="1:10">
      <c r="B98" s="193">
        <v>2008</v>
      </c>
      <c r="C98" s="17">
        <v>232</v>
      </c>
      <c r="D98" s="20"/>
      <c r="E98" s="20"/>
      <c r="F98" s="193">
        <v>2009</v>
      </c>
      <c r="G98" s="16">
        <v>280</v>
      </c>
      <c r="H98" s="20"/>
      <c r="I98" s="20"/>
      <c r="J98" s="20"/>
    </row>
    <row r="99" spans="1:10">
      <c r="B99" s="193">
        <v>2009</v>
      </c>
      <c r="C99" s="17">
        <v>267</v>
      </c>
      <c r="D99" s="20"/>
      <c r="E99" s="20"/>
      <c r="F99" s="193">
        <v>2010</v>
      </c>
      <c r="G99" s="16">
        <v>278</v>
      </c>
      <c r="H99" s="20"/>
      <c r="I99" s="20"/>
      <c r="J99" s="20"/>
    </row>
    <row r="100" spans="1:10">
      <c r="B100" s="193">
        <v>2010</v>
      </c>
      <c r="C100" s="17">
        <v>254</v>
      </c>
      <c r="D100" s="20"/>
      <c r="E100" s="20"/>
      <c r="F100" s="193">
        <v>2011</v>
      </c>
      <c r="G100" s="16">
        <v>173</v>
      </c>
      <c r="H100" s="20"/>
      <c r="I100" s="20"/>
      <c r="J100" s="20"/>
    </row>
    <row r="101" spans="1:10">
      <c r="B101" s="193">
        <v>2011</v>
      </c>
      <c r="C101" s="17">
        <v>172</v>
      </c>
      <c r="D101" s="20"/>
      <c r="E101" s="20"/>
      <c r="F101" s="193">
        <v>2012</v>
      </c>
      <c r="G101" s="16">
        <v>167</v>
      </c>
      <c r="H101" s="20"/>
      <c r="I101" s="20"/>
      <c r="J101" s="20"/>
    </row>
    <row r="102" spans="1:10">
      <c r="B102" s="193">
        <v>2012</v>
      </c>
      <c r="C102" s="17">
        <v>133.5</v>
      </c>
      <c r="D102" s="20"/>
      <c r="E102" s="20"/>
      <c r="F102" s="227">
        <v>2013</v>
      </c>
      <c r="G102" s="16">
        <v>162</v>
      </c>
      <c r="H102" s="20"/>
      <c r="I102" s="20"/>
      <c r="J102" s="20"/>
    </row>
    <row r="103" spans="1:10">
      <c r="B103" s="193">
        <v>2013</v>
      </c>
      <c r="C103" s="17">
        <v>153</v>
      </c>
      <c r="D103" s="20"/>
      <c r="E103" s="20"/>
      <c r="F103" s="332">
        <v>2014</v>
      </c>
      <c r="G103" s="16">
        <v>302</v>
      </c>
      <c r="H103" s="20"/>
      <c r="I103" s="20"/>
      <c r="J103" s="20"/>
    </row>
    <row r="104" spans="1:10" s="306" customFormat="1">
      <c r="A104" s="14"/>
      <c r="B104" s="302">
        <v>2014</v>
      </c>
      <c r="C104" s="17">
        <v>291</v>
      </c>
      <c r="D104" s="20"/>
      <c r="E104" s="20"/>
      <c r="F104" s="178">
        <v>2015</v>
      </c>
      <c r="G104" s="16">
        <v>406</v>
      </c>
      <c r="H104" s="20"/>
      <c r="I104" s="20"/>
      <c r="J104" s="20"/>
    </row>
    <row r="105" spans="1:10" s="358" customFormat="1">
      <c r="A105" s="14"/>
      <c r="B105" s="302">
        <v>2015</v>
      </c>
      <c r="C105" s="17">
        <v>352</v>
      </c>
      <c r="D105" s="20"/>
      <c r="E105" s="20"/>
      <c r="F105" s="178"/>
      <c r="G105" s="20"/>
      <c r="H105" s="20"/>
      <c r="I105" s="20"/>
      <c r="J105" s="20"/>
    </row>
    <row r="106" spans="1:10" s="358" customFormat="1">
      <c r="A106" s="14"/>
      <c r="B106" s="302"/>
      <c r="C106" s="17"/>
      <c r="D106" s="20"/>
      <c r="E106" s="20"/>
      <c r="F106" s="178"/>
      <c r="G106" s="20"/>
      <c r="H106" s="20"/>
      <c r="I106" s="20"/>
      <c r="J106" s="20"/>
    </row>
    <row r="107" spans="1:10">
      <c r="B107" s="89"/>
      <c r="D107" s="20"/>
      <c r="E107" s="20"/>
      <c r="F107" s="20"/>
      <c r="G107" s="20"/>
      <c r="H107" s="20"/>
      <c r="I107" s="20"/>
      <c r="J107" s="20"/>
    </row>
    <row r="108" spans="1:10">
      <c r="A108" s="12" t="s">
        <v>51</v>
      </c>
      <c r="B108" s="193">
        <v>1990</v>
      </c>
      <c r="C108" s="15"/>
      <c r="D108" s="20"/>
      <c r="E108" s="12" t="s">
        <v>50</v>
      </c>
      <c r="F108" s="193">
        <v>1991</v>
      </c>
      <c r="G108" s="15">
        <f t="shared" ref="G108:G132" si="1">C109-G80</f>
        <v>745</v>
      </c>
      <c r="H108" s="20"/>
      <c r="I108" s="20"/>
      <c r="J108" s="20"/>
    </row>
    <row r="109" spans="1:10">
      <c r="B109" s="193">
        <v>1991</v>
      </c>
      <c r="C109" s="15">
        <f t="shared" ref="C109:C133" si="2">(C4+C52)/2</f>
        <v>1334</v>
      </c>
      <c r="D109" s="20"/>
      <c r="E109" s="14"/>
      <c r="F109" s="193">
        <v>1992</v>
      </c>
      <c r="G109" s="15">
        <f t="shared" si="1"/>
        <v>1611</v>
      </c>
      <c r="H109" s="20"/>
      <c r="I109" s="20"/>
      <c r="J109" s="20"/>
    </row>
    <row r="110" spans="1:10">
      <c r="B110" s="193">
        <v>1992</v>
      </c>
      <c r="C110" s="15">
        <f t="shared" si="2"/>
        <v>1936</v>
      </c>
      <c r="D110" s="20"/>
      <c r="E110" s="14"/>
      <c r="F110" s="193">
        <v>1993</v>
      </c>
      <c r="G110" s="15">
        <f t="shared" si="1"/>
        <v>807.5</v>
      </c>
      <c r="H110" s="20"/>
      <c r="I110" s="20"/>
      <c r="J110" s="20"/>
    </row>
    <row r="111" spans="1:10">
      <c r="B111" s="193">
        <v>1993</v>
      </c>
      <c r="C111" s="15">
        <f t="shared" si="2"/>
        <v>1238.5</v>
      </c>
      <c r="D111" s="20"/>
      <c r="E111" s="14"/>
      <c r="F111" s="193">
        <v>1994</v>
      </c>
      <c r="G111" s="15">
        <f t="shared" si="1"/>
        <v>866.5</v>
      </c>
      <c r="H111" s="20"/>
      <c r="I111" s="20"/>
      <c r="J111" s="20"/>
    </row>
    <row r="112" spans="1:10">
      <c r="B112" s="193">
        <v>1994</v>
      </c>
      <c r="C112" s="15">
        <f t="shared" si="2"/>
        <v>1217.5</v>
      </c>
      <c r="D112" s="20"/>
      <c r="E112" s="14"/>
      <c r="F112" s="193">
        <v>1995</v>
      </c>
      <c r="G112" s="15">
        <f t="shared" si="1"/>
        <v>713</v>
      </c>
      <c r="H112" s="20"/>
      <c r="I112" s="20"/>
      <c r="J112" s="20"/>
    </row>
    <row r="113" spans="2:20">
      <c r="B113" s="193">
        <v>1995</v>
      </c>
      <c r="C113" s="15">
        <f t="shared" si="2"/>
        <v>1204</v>
      </c>
      <c r="D113" s="20"/>
      <c r="E113" s="14"/>
      <c r="F113" s="193">
        <v>1996</v>
      </c>
      <c r="G113" s="15">
        <f t="shared" si="1"/>
        <v>413.5</v>
      </c>
      <c r="H113" s="20"/>
      <c r="I113" s="20"/>
      <c r="J113" s="20"/>
    </row>
    <row r="114" spans="2:20">
      <c r="B114" s="193">
        <v>1996</v>
      </c>
      <c r="C114" s="15">
        <f t="shared" si="2"/>
        <v>992.875</v>
      </c>
      <c r="D114" s="20"/>
      <c r="E114" s="14"/>
      <c r="F114" s="193">
        <v>1997</v>
      </c>
      <c r="G114" s="15">
        <f t="shared" si="1"/>
        <v>88.660937500000045</v>
      </c>
      <c r="H114" s="20"/>
      <c r="I114" s="20"/>
      <c r="J114" s="20"/>
    </row>
    <row r="115" spans="2:20">
      <c r="B115" s="193">
        <v>1997</v>
      </c>
      <c r="C115" s="15">
        <f t="shared" si="2"/>
        <v>609.06218750000005</v>
      </c>
      <c r="E115" s="14"/>
      <c r="F115" s="193">
        <v>1998</v>
      </c>
      <c r="G115" s="15">
        <f t="shared" si="1"/>
        <v>125.5</v>
      </c>
    </row>
    <row r="116" spans="2:20">
      <c r="B116" s="193">
        <v>1998</v>
      </c>
      <c r="C116" s="15">
        <f t="shared" si="2"/>
        <v>530.5</v>
      </c>
      <c r="E116" s="14"/>
      <c r="F116" s="193">
        <v>1999</v>
      </c>
      <c r="G116" s="15">
        <f t="shared" si="1"/>
        <v>130.5</v>
      </c>
    </row>
    <row r="117" spans="2:20">
      <c r="B117" s="193">
        <v>1999</v>
      </c>
      <c r="C117" s="15">
        <f t="shared" si="2"/>
        <v>356.5</v>
      </c>
      <c r="E117" s="14"/>
      <c r="F117" s="193">
        <v>2000</v>
      </c>
      <c r="G117" s="15">
        <f t="shared" si="1"/>
        <v>706</v>
      </c>
      <c r="I117" s="4">
        <v>2017</v>
      </c>
      <c r="O117" s="4">
        <v>2018</v>
      </c>
    </row>
    <row r="118" spans="2:20" ht="34.5">
      <c r="B118" s="193">
        <v>2000</v>
      </c>
      <c r="C118" s="15">
        <f t="shared" si="2"/>
        <v>1143</v>
      </c>
      <c r="E118" s="14"/>
      <c r="F118" s="193">
        <v>2001</v>
      </c>
      <c r="G118" s="15">
        <f t="shared" si="1"/>
        <v>342</v>
      </c>
      <c r="H118" s="691" t="s">
        <v>2</v>
      </c>
      <c r="I118" s="698" t="s">
        <v>85</v>
      </c>
      <c r="J118" s="691" t="s">
        <v>77</v>
      </c>
      <c r="K118" s="699" t="s">
        <v>86</v>
      </c>
      <c r="L118" s="699" t="s">
        <v>87</v>
      </c>
      <c r="M118" s="699" t="s">
        <v>88</v>
      </c>
      <c r="O118" s="2748" t="s">
        <v>2</v>
      </c>
      <c r="P118" s="2751" t="s">
        <v>85</v>
      </c>
      <c r="Q118" s="2751" t="s">
        <v>77</v>
      </c>
      <c r="R118" s="2751" t="s">
        <v>86</v>
      </c>
      <c r="S118" s="2751" t="s">
        <v>87</v>
      </c>
      <c r="T118" s="2751" t="s">
        <v>88</v>
      </c>
    </row>
    <row r="119" spans="2:20" ht="23">
      <c r="B119" s="193">
        <v>2001</v>
      </c>
      <c r="C119" s="15">
        <f t="shared" si="2"/>
        <v>730</v>
      </c>
      <c r="E119" s="14"/>
      <c r="F119" s="193">
        <v>2002</v>
      </c>
      <c r="G119" s="15">
        <f t="shared" si="1"/>
        <v>2220</v>
      </c>
      <c r="H119" s="2745" t="s">
        <v>311</v>
      </c>
      <c r="I119" s="700">
        <v>761.07142857142856</v>
      </c>
      <c r="J119" s="700">
        <v>1400</v>
      </c>
      <c r="K119" s="700">
        <v>892.16666666666663</v>
      </c>
      <c r="L119" s="701">
        <v>770.5</v>
      </c>
      <c r="M119" s="701">
        <v>668.66666666666663</v>
      </c>
      <c r="O119" s="2749" t="s">
        <v>311</v>
      </c>
      <c r="P119" s="40">
        <v>750.42857142857144</v>
      </c>
      <c r="Q119" s="40">
        <v>1759</v>
      </c>
      <c r="R119" s="40">
        <v>842.83333333333337</v>
      </c>
      <c r="S119" s="40">
        <v>809.82142857142856</v>
      </c>
      <c r="T119" s="40">
        <v>724.83333333333337</v>
      </c>
    </row>
    <row r="120" spans="2:20">
      <c r="B120" s="193">
        <v>2002</v>
      </c>
      <c r="C120" s="15">
        <f t="shared" si="2"/>
        <v>2500</v>
      </c>
      <c r="F120" s="193">
        <v>2003</v>
      </c>
      <c r="G120" s="15">
        <f t="shared" si="1"/>
        <v>992.5</v>
      </c>
      <c r="H120" s="2745" t="s">
        <v>310</v>
      </c>
      <c r="I120" s="700">
        <v>789.85714285714289</v>
      </c>
      <c r="J120" s="700">
        <v>1629</v>
      </c>
      <c r="K120" s="700">
        <v>525.16666666666663</v>
      </c>
      <c r="L120" s="702"/>
      <c r="M120" s="702"/>
      <c r="O120" s="2749" t="s">
        <v>310</v>
      </c>
      <c r="P120" s="40">
        <v>1046.6428571428571</v>
      </c>
      <c r="Q120" s="40">
        <v>1333</v>
      </c>
      <c r="R120" s="40">
        <v>1037</v>
      </c>
    </row>
    <row r="121" spans="2:20" ht="23">
      <c r="B121" s="193">
        <v>2003</v>
      </c>
      <c r="C121" s="15">
        <f t="shared" si="2"/>
        <v>1260.5</v>
      </c>
      <c r="F121" s="193">
        <v>2004</v>
      </c>
      <c r="G121" s="15">
        <f t="shared" si="1"/>
        <v>167.5</v>
      </c>
      <c r="H121" s="2746" t="s">
        <v>312</v>
      </c>
      <c r="I121" s="700">
        <v>730.42857142857144</v>
      </c>
      <c r="J121" s="700">
        <v>1178</v>
      </c>
      <c r="K121" s="700">
        <v>697.5</v>
      </c>
      <c r="L121" s="702"/>
      <c r="M121" s="702"/>
      <c r="O121" s="2750" t="s">
        <v>312</v>
      </c>
      <c r="P121" s="40">
        <v>691.78571428571433</v>
      </c>
      <c r="Q121" s="40">
        <v>1002</v>
      </c>
      <c r="R121" s="40">
        <v>589.83333333333337</v>
      </c>
    </row>
    <row r="122" spans="2:20">
      <c r="B122" s="193">
        <v>2004</v>
      </c>
      <c r="C122" s="15">
        <f t="shared" si="2"/>
        <v>414.5</v>
      </c>
      <c r="F122" s="193">
        <v>2005</v>
      </c>
      <c r="G122" s="15">
        <f t="shared" si="1"/>
        <v>557.5</v>
      </c>
      <c r="H122" s="2746" t="s">
        <v>972</v>
      </c>
      <c r="I122" s="700">
        <v>803.42857142857144</v>
      </c>
      <c r="J122" s="700">
        <v>1483</v>
      </c>
      <c r="K122" s="700">
        <v>674.5</v>
      </c>
      <c r="L122" s="702"/>
      <c r="M122" s="702"/>
      <c r="O122" s="2750" t="s">
        <v>972</v>
      </c>
      <c r="P122" s="40">
        <v>894.28571428571433</v>
      </c>
      <c r="Q122" s="40">
        <v>1130</v>
      </c>
      <c r="R122" s="40">
        <v>852.5</v>
      </c>
    </row>
    <row r="123" spans="2:20">
      <c r="B123" s="193">
        <v>2005</v>
      </c>
      <c r="C123" s="15">
        <f t="shared" si="2"/>
        <v>790.5</v>
      </c>
      <c r="F123" s="193">
        <v>2006</v>
      </c>
      <c r="G123" s="15">
        <f t="shared" si="1"/>
        <v>798.5</v>
      </c>
      <c r="H123" s="2746" t="s">
        <v>317</v>
      </c>
      <c r="I123" s="700">
        <v>746.28571428571433</v>
      </c>
      <c r="J123" s="700">
        <v>1390</v>
      </c>
      <c r="K123" s="700">
        <v>679.5</v>
      </c>
      <c r="L123" s="702"/>
      <c r="M123" s="702"/>
      <c r="O123" s="2750" t="s">
        <v>317</v>
      </c>
      <c r="P123" s="40">
        <v>799.57142857142856</v>
      </c>
      <c r="Q123" s="40">
        <v>1170</v>
      </c>
      <c r="R123" s="40">
        <v>729.83333333333337</v>
      </c>
    </row>
    <row r="124" spans="2:20">
      <c r="B124" s="193">
        <v>2006</v>
      </c>
      <c r="C124" s="15">
        <f t="shared" si="2"/>
        <v>994.5</v>
      </c>
      <c r="F124" s="193">
        <v>2007</v>
      </c>
      <c r="G124" s="15">
        <f t="shared" si="1"/>
        <v>317.5</v>
      </c>
      <c r="H124" s="2746" t="s">
        <v>319</v>
      </c>
      <c r="I124" s="700">
        <v>794.71428571428567</v>
      </c>
      <c r="J124" s="700">
        <v>1312</v>
      </c>
      <c r="K124" s="700">
        <v>657.83333333333337</v>
      </c>
      <c r="L124" s="702"/>
      <c r="M124" s="702"/>
      <c r="O124" s="2750" t="s">
        <v>319</v>
      </c>
      <c r="P124" s="40">
        <v>820.07142857142856</v>
      </c>
      <c r="Q124" s="40">
        <v>1267</v>
      </c>
      <c r="R124" s="40">
        <v>719.83333333333337</v>
      </c>
    </row>
    <row r="125" spans="2:20" ht="23">
      <c r="B125" s="193">
        <v>2007</v>
      </c>
      <c r="C125" s="15">
        <f t="shared" si="2"/>
        <v>578.5</v>
      </c>
      <c r="F125" s="193">
        <v>2008</v>
      </c>
      <c r="G125" s="15">
        <f t="shared" si="1"/>
        <v>662</v>
      </c>
      <c r="H125" s="2747" t="s">
        <v>318</v>
      </c>
      <c r="I125" s="700">
        <v>770.5</v>
      </c>
      <c r="J125" s="700">
        <v>1351</v>
      </c>
      <c r="K125" s="700">
        <v>668.66666666666663</v>
      </c>
      <c r="L125" s="703"/>
      <c r="M125" s="703"/>
      <c r="O125" s="2747" t="s">
        <v>318</v>
      </c>
      <c r="P125" s="40">
        <v>809.82142857142856</v>
      </c>
      <c r="Q125" s="40">
        <v>1218.5</v>
      </c>
      <c r="R125" s="40">
        <v>724.83333333333337</v>
      </c>
    </row>
    <row r="126" spans="2:20">
      <c r="B126" s="193">
        <v>2008</v>
      </c>
      <c r="C126" s="15">
        <f t="shared" si="2"/>
        <v>882</v>
      </c>
      <c r="F126" s="193">
        <v>2009</v>
      </c>
      <c r="G126" s="15">
        <f t="shared" si="1"/>
        <v>390</v>
      </c>
    </row>
    <row r="127" spans="2:20">
      <c r="B127" s="193">
        <v>2009</v>
      </c>
      <c r="C127" s="15">
        <f t="shared" si="2"/>
        <v>670</v>
      </c>
      <c r="F127" s="193">
        <v>2010</v>
      </c>
      <c r="G127" s="15">
        <f t="shared" si="1"/>
        <v>654.5</v>
      </c>
    </row>
    <row r="128" spans="2:20">
      <c r="B128" s="193">
        <v>2010</v>
      </c>
      <c r="C128" s="15">
        <f t="shared" si="2"/>
        <v>932.5</v>
      </c>
      <c r="F128" s="193">
        <v>2011</v>
      </c>
      <c r="G128" s="15">
        <f t="shared" si="1"/>
        <v>423.5</v>
      </c>
    </row>
    <row r="129" spans="1:16">
      <c r="B129" s="193">
        <v>2011</v>
      </c>
      <c r="C129" s="15">
        <f t="shared" si="2"/>
        <v>596.5</v>
      </c>
      <c r="F129" s="193">
        <v>2012</v>
      </c>
      <c r="G129" s="15">
        <f t="shared" si="1"/>
        <v>567.5</v>
      </c>
    </row>
    <row r="130" spans="1:16">
      <c r="B130" s="193">
        <v>2012</v>
      </c>
      <c r="C130" s="15">
        <f t="shared" si="2"/>
        <v>734.5</v>
      </c>
      <c r="F130" s="227">
        <v>2013</v>
      </c>
      <c r="G130" s="15">
        <f t="shared" si="1"/>
        <v>459.5</v>
      </c>
    </row>
    <row r="131" spans="1:16">
      <c r="B131" s="223">
        <v>2013</v>
      </c>
      <c r="C131" s="15">
        <f t="shared" si="2"/>
        <v>621.5</v>
      </c>
      <c r="F131" s="332">
        <v>2014</v>
      </c>
      <c r="G131" s="15">
        <f t="shared" si="1"/>
        <v>49</v>
      </c>
    </row>
    <row r="132" spans="1:16">
      <c r="B132" s="302">
        <v>2014</v>
      </c>
      <c r="C132" s="15">
        <f t="shared" si="2"/>
        <v>351</v>
      </c>
      <c r="F132" s="332">
        <v>2015</v>
      </c>
      <c r="G132" s="15">
        <f t="shared" si="1"/>
        <v>176.5</v>
      </c>
    </row>
    <row r="133" spans="1:16" s="358" customFormat="1">
      <c r="A133" s="14"/>
      <c r="B133" s="302">
        <v>2015</v>
      </c>
      <c r="C133" s="15">
        <f t="shared" si="2"/>
        <v>582.5</v>
      </c>
      <c r="F133" s="178">
        <v>2016</v>
      </c>
      <c r="G133" s="15"/>
    </row>
    <row r="134" spans="1:16" s="358" customFormat="1">
      <c r="A134" s="14"/>
      <c r="B134" s="302">
        <v>2016</v>
      </c>
      <c r="C134" s="15"/>
      <c r="F134" s="178"/>
      <c r="G134" s="15"/>
    </row>
    <row r="136" spans="1:16" ht="21">
      <c r="A136" s="370" t="s">
        <v>973</v>
      </c>
      <c r="B136" s="333" t="s">
        <v>85</v>
      </c>
      <c r="C136" s="334" t="s">
        <v>77</v>
      </c>
      <c r="D136" s="333" t="s">
        <v>103</v>
      </c>
      <c r="E136" s="333" t="s">
        <v>115</v>
      </c>
      <c r="F136" s="333" t="s">
        <v>116</v>
      </c>
      <c r="I136" s="331">
        <v>2011</v>
      </c>
      <c r="J136" s="331">
        <v>2012</v>
      </c>
      <c r="K136" s="331">
        <v>2013</v>
      </c>
      <c r="L136" s="331">
        <v>2014</v>
      </c>
      <c r="M136" s="331">
        <v>2015</v>
      </c>
      <c r="N136" s="331">
        <v>2016</v>
      </c>
      <c r="O136" s="331">
        <v>2017</v>
      </c>
      <c r="P136" s="331">
        <v>2018</v>
      </c>
    </row>
    <row r="137" spans="1:16">
      <c r="A137" s="335" t="s">
        <v>311</v>
      </c>
      <c r="B137">
        <v>980.66666666666663</v>
      </c>
      <c r="C137">
        <v>1552</v>
      </c>
      <c r="D137">
        <v>1041.8333333333333</v>
      </c>
      <c r="E137">
        <v>927.4666666666667</v>
      </c>
      <c r="F137">
        <v>798.66666666666663</v>
      </c>
      <c r="H137" t="s">
        <v>115</v>
      </c>
      <c r="I137">
        <v>630.45833333333337</v>
      </c>
      <c r="J137">
        <v>670.2</v>
      </c>
      <c r="K137">
        <v>751.66666666666663</v>
      </c>
      <c r="L137">
        <v>702.4</v>
      </c>
      <c r="M137">
        <v>927</v>
      </c>
      <c r="N137">
        <v>778</v>
      </c>
      <c r="O137">
        <v>771</v>
      </c>
      <c r="P137">
        <v>810</v>
      </c>
    </row>
    <row r="138" spans="1:16">
      <c r="A138" s="335" t="s">
        <v>310</v>
      </c>
      <c r="B138">
        <v>808.13333333333333</v>
      </c>
      <c r="C138">
        <v>1316</v>
      </c>
      <c r="D138">
        <v>654.33333333333337</v>
      </c>
      <c r="H138" t="s">
        <v>116</v>
      </c>
      <c r="I138">
        <v>651.5</v>
      </c>
      <c r="J138">
        <v>646.58333333333337</v>
      </c>
      <c r="K138">
        <v>868.91666666666663</v>
      </c>
      <c r="L138">
        <v>567.41666666666663</v>
      </c>
      <c r="M138">
        <v>799</v>
      </c>
      <c r="N138">
        <v>670</v>
      </c>
      <c r="O138">
        <v>669</v>
      </c>
      <c r="P138">
        <v>725</v>
      </c>
    </row>
    <row r="139" spans="1:16">
      <c r="A139" s="336" t="s">
        <v>312</v>
      </c>
      <c r="B139">
        <v>834.73333333333335</v>
      </c>
      <c r="C139">
        <v>1746</v>
      </c>
      <c r="D139">
        <v>608.66666666666663</v>
      </c>
      <c r="H139" s="335" t="s">
        <v>1009</v>
      </c>
      <c r="I139">
        <v>641</v>
      </c>
      <c r="J139">
        <v>698</v>
      </c>
      <c r="K139">
        <v>753</v>
      </c>
      <c r="L139">
        <v>594</v>
      </c>
      <c r="M139">
        <v>981</v>
      </c>
      <c r="N139">
        <v>881</v>
      </c>
      <c r="O139">
        <v>761</v>
      </c>
      <c r="P139">
        <v>750</v>
      </c>
    </row>
    <row r="140" spans="1:16">
      <c r="A140" s="337" t="s">
        <v>313</v>
      </c>
      <c r="B140">
        <v>925.93333333333328</v>
      </c>
      <c r="C140">
        <v>1308</v>
      </c>
      <c r="D140">
        <v>827.83333333333337</v>
      </c>
      <c r="H140" s="335" t="s">
        <v>1010</v>
      </c>
      <c r="I140">
        <v>1056</v>
      </c>
      <c r="J140">
        <v>1517</v>
      </c>
      <c r="K140">
        <v>1255</v>
      </c>
      <c r="L140">
        <v>695</v>
      </c>
      <c r="M140">
        <v>808</v>
      </c>
      <c r="N140">
        <v>895</v>
      </c>
      <c r="O140">
        <v>790</v>
      </c>
      <c r="P140">
        <v>1047</v>
      </c>
    </row>
    <row r="141" spans="1:16">
      <c r="A141" s="337" t="s">
        <v>314</v>
      </c>
      <c r="B141">
        <v>929</v>
      </c>
      <c r="C141">
        <v>1283</v>
      </c>
      <c r="D141">
        <v>769.5</v>
      </c>
    </row>
    <row r="142" spans="1:16">
      <c r="A142" s="336" t="s">
        <v>315</v>
      </c>
      <c r="B142">
        <v>927.4666666666667</v>
      </c>
      <c r="C142">
        <v>1276.5</v>
      </c>
      <c r="D142">
        <v>798.66666666666663</v>
      </c>
    </row>
    <row r="144" spans="1:16" ht="34.5">
      <c r="A144" s="60">
        <v>2016</v>
      </c>
      <c r="B144" s="698" t="s">
        <v>85</v>
      </c>
      <c r="C144" s="691" t="s">
        <v>77</v>
      </c>
      <c r="D144" s="699" t="s">
        <v>86</v>
      </c>
      <c r="E144" s="699" t="s">
        <v>87</v>
      </c>
      <c r="F144" s="699" t="s">
        <v>88</v>
      </c>
    </row>
    <row r="145" spans="1:6">
      <c r="A145" s="692" t="s">
        <v>311</v>
      </c>
      <c r="B145" s="700">
        <v>880.6</v>
      </c>
      <c r="C145" s="700">
        <v>1059</v>
      </c>
      <c r="D145" s="700">
        <v>948.16666666666663</v>
      </c>
      <c r="E145" s="701">
        <v>778.41379310344826</v>
      </c>
      <c r="F145" s="701">
        <v>670.08333333333337</v>
      </c>
    </row>
    <row r="146" spans="1:6">
      <c r="A146" s="692" t="s">
        <v>310</v>
      </c>
      <c r="B146" s="700">
        <v>894.73333333333335</v>
      </c>
      <c r="C146" s="700">
        <v>1390</v>
      </c>
      <c r="D146" s="700">
        <v>892.16666666666663</v>
      </c>
      <c r="E146" s="702"/>
      <c r="F146" s="702"/>
    </row>
    <row r="147" spans="1:6">
      <c r="A147" s="693" t="s">
        <v>312</v>
      </c>
      <c r="B147" s="700">
        <v>751.93333333333328</v>
      </c>
      <c r="C147" s="700">
        <v>1193</v>
      </c>
      <c r="D147" s="700">
        <v>679.83333333333337</v>
      </c>
      <c r="E147" s="702"/>
      <c r="F147" s="702"/>
    </row>
    <row r="148" spans="1:6">
      <c r="A148" s="693" t="s">
        <v>972</v>
      </c>
      <c r="B148" s="700">
        <v>907.8</v>
      </c>
      <c r="C148" s="700">
        <v>1296</v>
      </c>
      <c r="D148" s="700">
        <v>846.33333333333337</v>
      </c>
      <c r="E148" s="702"/>
      <c r="F148" s="702"/>
    </row>
    <row r="149" spans="1:6">
      <c r="A149" s="693" t="s">
        <v>317</v>
      </c>
      <c r="B149" s="700">
        <v>759</v>
      </c>
      <c r="C149" s="700">
        <v>1309</v>
      </c>
      <c r="D149" s="700">
        <v>669.33333333333337</v>
      </c>
      <c r="E149" s="702"/>
      <c r="F149" s="702"/>
    </row>
    <row r="150" spans="1:6">
      <c r="A150" s="693" t="s">
        <v>319</v>
      </c>
      <c r="B150" s="700">
        <v>799.21428571428567</v>
      </c>
      <c r="C150" s="700">
        <v>1271</v>
      </c>
      <c r="D150" s="700">
        <v>670.83333333333337</v>
      </c>
      <c r="E150" s="702"/>
      <c r="F150" s="702"/>
    </row>
    <row r="151" spans="1:6" ht="23">
      <c r="A151" s="694" t="s">
        <v>318</v>
      </c>
      <c r="B151" s="700">
        <v>784.1</v>
      </c>
      <c r="C151" s="700">
        <v>1245</v>
      </c>
      <c r="D151" s="700">
        <v>670.08333333333337</v>
      </c>
      <c r="E151" s="703"/>
      <c r="F151" s="703"/>
    </row>
    <row r="153" spans="1:6" ht="28">
      <c r="A153" s="14" t="s">
        <v>974</v>
      </c>
      <c r="B153" s="17" t="s">
        <v>85</v>
      </c>
      <c r="C153" s="17" t="s">
        <v>77</v>
      </c>
      <c r="D153" t="s">
        <v>103</v>
      </c>
      <c r="E153" t="s">
        <v>115</v>
      </c>
      <c r="F153" t="s">
        <v>116</v>
      </c>
    </row>
    <row r="154" spans="1:6" ht="25">
      <c r="A154" s="14" t="s">
        <v>311</v>
      </c>
      <c r="B154" s="17">
        <v>593.79999999999995</v>
      </c>
      <c r="C154" s="17">
        <v>896</v>
      </c>
      <c r="D154">
        <v>428.5</v>
      </c>
      <c r="E154">
        <v>702.4</v>
      </c>
      <c r="F154">
        <v>567.41666666666663</v>
      </c>
    </row>
    <row r="155" spans="1:6">
      <c r="A155" s="14" t="s">
        <v>310</v>
      </c>
      <c r="B155" s="17">
        <v>644.5333333333333</v>
      </c>
      <c r="C155" s="17">
        <v>1408</v>
      </c>
      <c r="D155" s="4">
        <v>471.33333333333331</v>
      </c>
    </row>
    <row r="156" spans="1:6">
      <c r="A156" s="14" t="s">
        <v>312</v>
      </c>
      <c r="B156" s="17">
        <v>646.13333333333333</v>
      </c>
      <c r="C156" s="17">
        <v>1134</v>
      </c>
      <c r="D156" s="4">
        <v>486.66666666666669</v>
      </c>
    </row>
    <row r="157" spans="1:6">
      <c r="A157" s="14" t="s">
        <v>313</v>
      </c>
      <c r="B157" s="17">
        <v>676.6</v>
      </c>
      <c r="C157" s="17">
        <v>1315</v>
      </c>
      <c r="D157" s="4">
        <v>543</v>
      </c>
    </row>
    <row r="158" spans="1:6">
      <c r="A158" s="14" t="s">
        <v>314</v>
      </c>
      <c r="B158" s="17">
        <v>728.2</v>
      </c>
      <c r="C158" s="17">
        <v>1300</v>
      </c>
      <c r="D158" s="4">
        <v>591.83333333333337</v>
      </c>
    </row>
    <row r="159" spans="1:6" ht="25">
      <c r="A159" s="14" t="s">
        <v>315</v>
      </c>
      <c r="B159" s="17">
        <v>702.4</v>
      </c>
      <c r="C159" s="17">
        <v>1307.5</v>
      </c>
      <c r="D159" s="4">
        <v>567.41666666666663</v>
      </c>
    </row>
    <row r="160" spans="1:6">
      <c r="D160" s="4"/>
    </row>
    <row r="161" spans="1:6" ht="28">
      <c r="A161" s="14" t="s">
        <v>975</v>
      </c>
      <c r="B161" s="17" t="s">
        <v>85</v>
      </c>
      <c r="C161" s="17" t="s">
        <v>77</v>
      </c>
      <c r="D161" s="4" t="s">
        <v>103</v>
      </c>
      <c r="E161" t="s">
        <v>115</v>
      </c>
      <c r="F161" t="s">
        <v>116</v>
      </c>
    </row>
    <row r="162" spans="1:6" ht="25">
      <c r="A162" s="14" t="s">
        <v>311</v>
      </c>
      <c r="B162" s="17">
        <v>752.57142857142856</v>
      </c>
      <c r="C162" s="17">
        <v>1250</v>
      </c>
      <c r="D162">
        <v>907.66666666666663</v>
      </c>
      <c r="E162">
        <v>751.66666666666663</v>
      </c>
      <c r="F162">
        <v>868.91666666666663</v>
      </c>
    </row>
    <row r="163" spans="1:6">
      <c r="A163" s="14" t="s">
        <v>310</v>
      </c>
      <c r="B163" s="17">
        <v>1254.5714285714287</v>
      </c>
      <c r="C163" s="17">
        <v>3154</v>
      </c>
      <c r="D163">
        <v>892.5</v>
      </c>
    </row>
    <row r="164" spans="1:6">
      <c r="A164" s="14" t="s">
        <v>312</v>
      </c>
      <c r="B164" s="17">
        <v>879.28571428571433</v>
      </c>
      <c r="C164" s="17">
        <v>2241</v>
      </c>
      <c r="D164">
        <v>1080.1666666666667</v>
      </c>
    </row>
    <row r="165" spans="1:6">
      <c r="A165" s="14" t="s">
        <v>313</v>
      </c>
      <c r="B165" s="17">
        <v>782</v>
      </c>
      <c r="C165" s="17">
        <v>1272</v>
      </c>
      <c r="D165">
        <v>949.5</v>
      </c>
    </row>
    <row r="166" spans="1:6">
      <c r="A166" s="14" t="s">
        <v>314</v>
      </c>
      <c r="B166" s="17">
        <v>721.33333333333337</v>
      </c>
      <c r="C166" s="17">
        <v>1049</v>
      </c>
      <c r="D166">
        <v>788.33333333333337</v>
      </c>
    </row>
    <row r="167" spans="1:6" ht="25">
      <c r="A167" s="14" t="s">
        <v>315</v>
      </c>
      <c r="B167" s="17">
        <v>751.66666666666663</v>
      </c>
      <c r="C167" s="17">
        <v>1125</v>
      </c>
      <c r="D167">
        <v>868.91666666666663</v>
      </c>
    </row>
    <row r="169" spans="1:6" ht="28">
      <c r="A169" s="14" t="s">
        <v>976</v>
      </c>
      <c r="B169" s="17" t="s">
        <v>85</v>
      </c>
      <c r="C169" s="17" t="s">
        <v>77</v>
      </c>
      <c r="D169" t="s">
        <v>103</v>
      </c>
      <c r="E169" t="s">
        <v>115</v>
      </c>
      <c r="F169" t="s">
        <v>116</v>
      </c>
    </row>
    <row r="170" spans="1:6" ht="25">
      <c r="A170" s="14" t="s">
        <v>311</v>
      </c>
      <c r="B170" s="17">
        <v>697.86666666666667</v>
      </c>
      <c r="C170" s="17">
        <v>1016</v>
      </c>
      <c r="D170">
        <v>746.83333333333337</v>
      </c>
      <c r="E170">
        <v>670.2</v>
      </c>
      <c r="F170">
        <v>646.58333333333337</v>
      </c>
    </row>
    <row r="171" spans="1:6">
      <c r="A171" s="14" t="s">
        <v>310</v>
      </c>
      <c r="B171" s="17">
        <v>1517.0666666666666</v>
      </c>
      <c r="C171" s="17">
        <v>3302</v>
      </c>
      <c r="D171">
        <v>1675.1666666666667</v>
      </c>
    </row>
    <row r="172" spans="1:6">
      <c r="A172" s="14" t="s">
        <v>312</v>
      </c>
      <c r="B172" s="17">
        <v>610.26666666666665</v>
      </c>
      <c r="C172" s="17">
        <v>884</v>
      </c>
      <c r="D172">
        <v>626.83333333333337</v>
      </c>
    </row>
    <row r="173" spans="1:6">
      <c r="A173" s="14" t="s">
        <v>313</v>
      </c>
      <c r="B173" s="17">
        <v>676.06666666666672</v>
      </c>
      <c r="C173" s="17">
        <v>944</v>
      </c>
      <c r="D173">
        <v>651.5</v>
      </c>
    </row>
    <row r="174" spans="1:6">
      <c r="A174" s="14" t="s">
        <v>314</v>
      </c>
      <c r="B174" s="17">
        <v>664.33333333333337</v>
      </c>
      <c r="C174" s="17">
        <v>931</v>
      </c>
      <c r="D174">
        <v>641.66666666666663</v>
      </c>
    </row>
    <row r="175" spans="1:6" ht="25">
      <c r="A175" s="14" t="s">
        <v>315</v>
      </c>
      <c r="B175" s="17">
        <v>670.2</v>
      </c>
      <c r="C175" s="17">
        <v>937.5</v>
      </c>
      <c r="D175">
        <v>646.58333333333326</v>
      </c>
    </row>
    <row r="177" spans="1:6" ht="28">
      <c r="A177" s="14" t="s">
        <v>977</v>
      </c>
      <c r="B177" s="17" t="s">
        <v>85</v>
      </c>
      <c r="C177" s="17" t="s">
        <v>77</v>
      </c>
      <c r="D177" t="s">
        <v>103</v>
      </c>
      <c r="E177" t="s">
        <v>115</v>
      </c>
      <c r="F177" t="s">
        <v>116</v>
      </c>
    </row>
    <row r="178" spans="1:6" ht="25">
      <c r="A178" s="14" t="s">
        <v>311</v>
      </c>
      <c r="B178" s="17">
        <v>640.86666666666667</v>
      </c>
      <c r="C178" s="17">
        <v>935</v>
      </c>
      <c r="D178">
        <v>621</v>
      </c>
      <c r="E178">
        <v>630.45833333333337</v>
      </c>
      <c r="F178">
        <v>651.5</v>
      </c>
    </row>
    <row r="179" spans="1:6">
      <c r="A179" s="14" t="s">
        <v>310</v>
      </c>
      <c r="B179" s="17">
        <v>1056.0666666666666</v>
      </c>
      <c r="C179" s="17">
        <v>2248</v>
      </c>
      <c r="D179">
        <v>787.5</v>
      </c>
    </row>
    <row r="180" spans="1:6">
      <c r="A180" s="14" t="s">
        <v>312</v>
      </c>
      <c r="B180" s="17">
        <v>611.33333333333337</v>
      </c>
      <c r="C180" s="17">
        <v>1012</v>
      </c>
      <c r="D180">
        <v>580.66666666666663</v>
      </c>
    </row>
    <row r="181" spans="1:6">
      <c r="A181" s="14" t="s">
        <v>313</v>
      </c>
      <c r="B181" s="17">
        <v>639.16666666666663</v>
      </c>
      <c r="C181" s="17">
        <v>799</v>
      </c>
      <c r="D181">
        <v>698.16666666666663</v>
      </c>
    </row>
    <row r="182" spans="1:6">
      <c r="A182" s="14" t="s">
        <v>314</v>
      </c>
      <c r="B182" s="17">
        <v>621.75</v>
      </c>
      <c r="C182" s="17">
        <v>1005</v>
      </c>
      <c r="D182">
        <v>604.83333333333337</v>
      </c>
    </row>
    <row r="183" spans="1:6" ht="25">
      <c r="A183" s="14" t="s">
        <v>315</v>
      </c>
      <c r="B183" s="17">
        <v>630.45833333333326</v>
      </c>
      <c r="C183" s="17">
        <v>902</v>
      </c>
      <c r="D183">
        <v>651.5</v>
      </c>
    </row>
  </sheetData>
  <mergeCells count="2">
    <mergeCell ref="A1:G1"/>
    <mergeCell ref="A78:G78"/>
  </mergeCells>
  <phoneticPr fontId="10" type="noConversion"/>
  <pageMargins left="0.75" right="0.75" top="1" bottom="1" header="0.5" footer="0.5"/>
  <pageSetup orientation="portrait" horizontalDpi="0" verticalDpi="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5" tint="0.59999389629810485"/>
    <pageSetUpPr fitToPage="1"/>
  </sheetPr>
  <dimension ref="A1:AR201"/>
  <sheetViews>
    <sheetView topLeftCell="I1" zoomScaleNormal="100" workbookViewId="0">
      <selection sqref="A1:R26"/>
    </sheetView>
  </sheetViews>
  <sheetFormatPr defaultRowHeight="14"/>
  <cols>
    <col min="1" max="1" width="7.36328125" customWidth="1"/>
    <col min="2" max="2" width="7.26953125" style="358" customWidth="1"/>
    <col min="3" max="3" width="7.08984375" bestFit="1" customWidth="1"/>
    <col min="4" max="4" width="34.90625" style="90" bestFit="1" customWidth="1"/>
    <col min="5" max="5" width="6.08984375" style="90" customWidth="1"/>
    <col min="6" max="6" width="7.453125" style="90" customWidth="1"/>
    <col min="7" max="7" width="5.7265625" style="90" customWidth="1"/>
    <col min="8" max="8" width="6.6328125" style="90" customWidth="1"/>
    <col min="9" max="9" width="5.90625" style="90" bestFit="1" customWidth="1"/>
    <col min="10" max="10" width="6.6328125" style="90" bestFit="1" customWidth="1"/>
    <col min="11" max="11" width="5.6328125" customWidth="1"/>
    <col min="12" max="12" width="5.90625" customWidth="1"/>
    <col min="13" max="14" width="6" customWidth="1"/>
    <col min="15" max="15" width="5.26953125" customWidth="1"/>
    <col min="16" max="16" width="6.26953125" bestFit="1" customWidth="1"/>
    <col min="17" max="17" width="5.36328125" bestFit="1" customWidth="1"/>
    <col min="18" max="18" width="6.7265625" customWidth="1"/>
    <col min="19" max="19" width="9.90625" bestFit="1" customWidth="1"/>
    <col min="20" max="28" width="8.81640625" bestFit="1" customWidth="1"/>
  </cols>
  <sheetData>
    <row r="1" spans="1:44" ht="24.5" customHeight="1">
      <c r="A1" s="358"/>
      <c r="C1" s="3095" t="s">
        <v>214</v>
      </c>
      <c r="D1" s="3097" t="s">
        <v>215</v>
      </c>
      <c r="E1" s="3155">
        <v>43235</v>
      </c>
      <c r="F1" s="3156"/>
      <c r="G1" s="3155">
        <v>43270</v>
      </c>
      <c r="H1" s="3156"/>
      <c r="I1" s="3155">
        <v>43300</v>
      </c>
      <c r="J1" s="3156"/>
      <c r="K1" s="3155">
        <v>43326</v>
      </c>
      <c r="L1" s="3156"/>
      <c r="M1" s="3155">
        <v>43371</v>
      </c>
      <c r="N1" s="3156"/>
      <c r="O1" s="3155">
        <v>43396</v>
      </c>
      <c r="P1" s="3156"/>
      <c r="Q1" s="3157" t="s">
        <v>103</v>
      </c>
      <c r="R1" s="3158"/>
    </row>
    <row r="2" spans="1:44" ht="24.75" customHeight="1">
      <c r="C2" s="3096"/>
      <c r="D2" s="3098"/>
      <c r="E2" s="1812" t="s">
        <v>231</v>
      </c>
      <c r="F2" s="1812" t="s">
        <v>230</v>
      </c>
      <c r="G2" s="1812" t="s">
        <v>231</v>
      </c>
      <c r="H2" s="1812" t="s">
        <v>230</v>
      </c>
      <c r="I2" s="1812" t="s">
        <v>231</v>
      </c>
      <c r="J2" s="1812" t="s">
        <v>230</v>
      </c>
      <c r="K2" s="1812" t="s">
        <v>231</v>
      </c>
      <c r="L2" s="1812" t="s">
        <v>230</v>
      </c>
      <c r="M2" s="1812" t="s">
        <v>231</v>
      </c>
      <c r="N2" s="1812" t="s">
        <v>230</v>
      </c>
      <c r="O2" s="1812" t="s">
        <v>231</v>
      </c>
      <c r="P2" s="1812" t="s">
        <v>230</v>
      </c>
      <c r="Q2" s="1812" t="s">
        <v>231</v>
      </c>
      <c r="R2" s="1812" t="s">
        <v>230</v>
      </c>
      <c r="S2" s="2854">
        <v>43234</v>
      </c>
    </row>
    <row r="3" spans="1:44" s="358" customFormat="1">
      <c r="A3" s="3150" t="s">
        <v>1236</v>
      </c>
      <c r="B3" s="3151" t="s">
        <v>1246</v>
      </c>
      <c r="C3" s="1035" t="s">
        <v>202</v>
      </c>
      <c r="D3" s="1037" t="s">
        <v>585</v>
      </c>
      <c r="E3" s="2862"/>
      <c r="F3" s="2862"/>
      <c r="G3" s="2862">
        <v>241</v>
      </c>
      <c r="H3" s="2862">
        <v>2</v>
      </c>
      <c r="I3" s="73">
        <v>133</v>
      </c>
      <c r="J3" s="73">
        <v>2</v>
      </c>
      <c r="K3" s="73">
        <v>180</v>
      </c>
      <c r="L3" s="73">
        <v>4</v>
      </c>
      <c r="M3" s="73">
        <v>211</v>
      </c>
      <c r="N3" s="73">
        <v>7</v>
      </c>
      <c r="O3" s="2862"/>
      <c r="P3" s="2862"/>
      <c r="Q3" s="1742">
        <f t="shared" ref="Q3:Q26" si="0">AVERAGE(E3,G3,I3,K3,M3,O3)</f>
        <v>191.25</v>
      </c>
      <c r="R3" s="1742">
        <f t="shared" ref="R3:R26" si="1">AVERAGE(F3,H3,J3,L3,N3,P3)</f>
        <v>3.75</v>
      </c>
      <c r="S3" s="2854">
        <v>43270</v>
      </c>
    </row>
    <row r="4" spans="1:44" s="358" customFormat="1">
      <c r="A4" s="3150"/>
      <c r="B4" s="3151"/>
      <c r="C4" s="1035" t="s">
        <v>203</v>
      </c>
      <c r="D4" s="1037" t="s">
        <v>1237</v>
      </c>
      <c r="E4" s="2860"/>
      <c r="F4" s="854"/>
      <c r="G4" s="854">
        <v>495</v>
      </c>
      <c r="H4" s="854">
        <v>8</v>
      </c>
      <c r="I4" s="73">
        <v>187</v>
      </c>
      <c r="J4" s="73">
        <v>5</v>
      </c>
      <c r="K4" s="73">
        <v>253</v>
      </c>
      <c r="L4" s="73">
        <v>9</v>
      </c>
      <c r="M4" s="73">
        <v>326</v>
      </c>
      <c r="N4" s="73">
        <v>12</v>
      </c>
      <c r="O4" s="2862"/>
      <c r="P4" s="2862"/>
      <c r="Q4" s="1742">
        <f t="shared" si="0"/>
        <v>315.25</v>
      </c>
      <c r="R4" s="1742">
        <f t="shared" si="1"/>
        <v>8.5</v>
      </c>
      <c r="S4" s="2854">
        <v>43300</v>
      </c>
    </row>
    <row r="5" spans="1:44" ht="15" customHeight="1">
      <c r="A5" s="3108" t="s">
        <v>1017</v>
      </c>
      <c r="B5" s="3101" t="s">
        <v>1247</v>
      </c>
      <c r="C5" s="367" t="s">
        <v>292</v>
      </c>
      <c r="D5" s="1038" t="s">
        <v>1376</v>
      </c>
      <c r="E5" s="2797">
        <v>341</v>
      </c>
      <c r="F5" s="854">
        <v>19</v>
      </c>
      <c r="G5" s="854">
        <v>195</v>
      </c>
      <c r="H5" s="854">
        <v>14</v>
      </c>
      <c r="I5" s="73">
        <v>144</v>
      </c>
      <c r="J5" s="73">
        <v>4</v>
      </c>
      <c r="K5" s="73">
        <v>139</v>
      </c>
      <c r="L5" s="73">
        <v>4</v>
      </c>
      <c r="M5" s="73">
        <v>150</v>
      </c>
      <c r="N5" s="73">
        <v>2</v>
      </c>
      <c r="O5" s="2862">
        <v>190</v>
      </c>
      <c r="P5" s="2862">
        <v>3</v>
      </c>
      <c r="Q5" s="1742">
        <f t="shared" si="0"/>
        <v>193.16666666666666</v>
      </c>
      <c r="R5" s="1742">
        <f t="shared" si="1"/>
        <v>7.666666666666667</v>
      </c>
      <c r="S5" s="2854">
        <v>43326</v>
      </c>
    </row>
    <row r="6" spans="1:44">
      <c r="A6" s="3109"/>
      <c r="B6" s="3111"/>
      <c r="C6" s="368" t="s">
        <v>291</v>
      </c>
      <c r="D6" s="1038" t="s">
        <v>316</v>
      </c>
      <c r="E6" s="2860">
        <v>209</v>
      </c>
      <c r="F6" s="854">
        <v>19</v>
      </c>
      <c r="G6" s="854">
        <v>218</v>
      </c>
      <c r="H6" s="854">
        <v>21</v>
      </c>
      <c r="I6" s="73">
        <v>170</v>
      </c>
      <c r="J6" s="73">
        <v>9</v>
      </c>
      <c r="K6" s="73">
        <v>111</v>
      </c>
      <c r="L6" s="73">
        <v>8</v>
      </c>
      <c r="M6" s="73">
        <v>148</v>
      </c>
      <c r="N6" s="73">
        <v>6</v>
      </c>
      <c r="O6" s="2862">
        <v>106</v>
      </c>
      <c r="P6" s="2862">
        <v>6</v>
      </c>
      <c r="Q6" s="1742">
        <f t="shared" si="0"/>
        <v>160.33333333333334</v>
      </c>
      <c r="R6" s="1742">
        <f t="shared" si="1"/>
        <v>11.5</v>
      </c>
      <c r="S6" s="2854">
        <v>43371</v>
      </c>
    </row>
    <row r="7" spans="1:44">
      <c r="A7" s="3110"/>
      <c r="B7" s="3102"/>
      <c r="C7" s="368" t="s">
        <v>217</v>
      </c>
      <c r="D7" s="904" t="s">
        <v>218</v>
      </c>
      <c r="E7" s="854">
        <v>258</v>
      </c>
      <c r="F7" s="854">
        <v>28</v>
      </c>
      <c r="G7" s="2799">
        <v>267</v>
      </c>
      <c r="H7" s="2799">
        <v>28</v>
      </c>
      <c r="I7" s="2863">
        <v>176</v>
      </c>
      <c r="J7" s="2863">
        <v>13</v>
      </c>
      <c r="K7" s="2863">
        <v>131</v>
      </c>
      <c r="L7" s="2863">
        <v>13</v>
      </c>
      <c r="M7" s="73">
        <v>121</v>
      </c>
      <c r="N7" s="73">
        <v>12</v>
      </c>
      <c r="O7" s="2862">
        <v>105</v>
      </c>
      <c r="P7" s="2862">
        <v>13</v>
      </c>
      <c r="Q7" s="1742">
        <f t="shared" si="0"/>
        <v>176.33333333333334</v>
      </c>
      <c r="R7" s="1742">
        <f t="shared" si="1"/>
        <v>17.833333333333332</v>
      </c>
      <c r="S7" s="2854">
        <v>43396</v>
      </c>
    </row>
    <row r="8" spans="1:44" s="358" customFormat="1">
      <c r="A8" s="2836" t="s">
        <v>1018</v>
      </c>
      <c r="B8" s="2837" t="s">
        <v>1248</v>
      </c>
      <c r="C8" s="368" t="s">
        <v>211</v>
      </c>
      <c r="D8" s="904" t="s">
        <v>225</v>
      </c>
      <c r="E8" s="2862">
        <v>181</v>
      </c>
      <c r="F8" s="2862">
        <v>37</v>
      </c>
      <c r="G8" s="2862">
        <v>144</v>
      </c>
      <c r="H8" s="2862">
        <v>54</v>
      </c>
      <c r="I8" s="73">
        <v>68</v>
      </c>
      <c r="J8" s="73">
        <v>7</v>
      </c>
      <c r="K8" s="73">
        <v>87</v>
      </c>
      <c r="L8" s="73">
        <v>7</v>
      </c>
      <c r="M8" s="73">
        <v>51</v>
      </c>
      <c r="N8" s="73">
        <v>8</v>
      </c>
      <c r="O8" s="2862">
        <v>41</v>
      </c>
      <c r="P8" s="2862">
        <v>11</v>
      </c>
      <c r="Q8" s="1742">
        <f t="shared" si="0"/>
        <v>95.333333333333329</v>
      </c>
      <c r="R8" s="1742">
        <f t="shared" si="1"/>
        <v>20.666666666666668</v>
      </c>
      <c r="S8" s="633"/>
    </row>
    <row r="9" spans="1:44" s="358" customFormat="1">
      <c r="A9" s="1036" t="s">
        <v>1238</v>
      </c>
      <c r="B9" s="901" t="s">
        <v>740</v>
      </c>
      <c r="C9" s="368" t="s">
        <v>1240</v>
      </c>
      <c r="D9" s="904" t="s">
        <v>1239</v>
      </c>
      <c r="E9" s="854">
        <v>227</v>
      </c>
      <c r="F9" s="854">
        <v>11</v>
      </c>
      <c r="G9" s="2799">
        <v>254</v>
      </c>
      <c r="H9" s="2799">
        <v>21</v>
      </c>
      <c r="I9" s="2863">
        <v>355</v>
      </c>
      <c r="J9" s="2863">
        <v>25</v>
      </c>
      <c r="K9" s="2863">
        <v>518</v>
      </c>
      <c r="L9" s="2863">
        <v>62</v>
      </c>
      <c r="M9" s="73">
        <v>363</v>
      </c>
      <c r="N9" s="73">
        <v>25</v>
      </c>
      <c r="O9" s="2862">
        <v>196</v>
      </c>
      <c r="P9" s="2862">
        <v>20</v>
      </c>
      <c r="Q9" s="1742">
        <f t="shared" si="0"/>
        <v>318.83333333333331</v>
      </c>
      <c r="R9" s="1742">
        <f t="shared" si="1"/>
        <v>27.333333333333332</v>
      </c>
      <c r="S9" s="725"/>
    </row>
    <row r="10" spans="1:44">
      <c r="A10" s="3108" t="s">
        <v>1019</v>
      </c>
      <c r="B10" s="3101" t="s">
        <v>1253</v>
      </c>
      <c r="C10" s="368" t="s">
        <v>166</v>
      </c>
      <c r="D10" s="904" t="s">
        <v>232</v>
      </c>
      <c r="E10" s="2862">
        <v>358</v>
      </c>
      <c r="F10" s="2862">
        <v>36</v>
      </c>
      <c r="G10" s="2862">
        <v>275</v>
      </c>
      <c r="H10" s="2862">
        <v>27</v>
      </c>
      <c r="I10" s="73">
        <v>298</v>
      </c>
      <c r="J10" s="73">
        <v>31</v>
      </c>
      <c r="K10" s="73">
        <v>329</v>
      </c>
      <c r="L10" s="73">
        <v>46</v>
      </c>
      <c r="M10" s="73">
        <v>274</v>
      </c>
      <c r="N10" s="73">
        <v>33</v>
      </c>
      <c r="O10" s="2862">
        <v>172</v>
      </c>
      <c r="P10" s="2862">
        <v>34</v>
      </c>
      <c r="Q10" s="1742">
        <f t="shared" si="0"/>
        <v>284.33333333333331</v>
      </c>
      <c r="R10" s="1742">
        <f t="shared" si="1"/>
        <v>34.5</v>
      </c>
      <c r="S10" s="633"/>
    </row>
    <row r="11" spans="1:44">
      <c r="A11" s="3109"/>
      <c r="B11" s="3111"/>
      <c r="C11" s="368" t="s">
        <v>204</v>
      </c>
      <c r="D11" s="904" t="s">
        <v>220</v>
      </c>
      <c r="E11" s="2862">
        <v>600</v>
      </c>
      <c r="F11" s="2862">
        <v>42</v>
      </c>
      <c r="G11" s="2862">
        <v>431</v>
      </c>
      <c r="H11" s="2862">
        <v>32</v>
      </c>
      <c r="I11" s="73">
        <v>663</v>
      </c>
      <c r="J11" s="73">
        <v>37</v>
      </c>
      <c r="K11" s="73">
        <v>912</v>
      </c>
      <c r="L11" s="73">
        <v>62</v>
      </c>
      <c r="M11" s="73">
        <v>851</v>
      </c>
      <c r="N11" s="73">
        <v>151</v>
      </c>
      <c r="O11" s="2862">
        <v>520</v>
      </c>
      <c r="P11" s="2862">
        <v>27</v>
      </c>
      <c r="Q11" s="1742">
        <f t="shared" si="0"/>
        <v>662.83333333333337</v>
      </c>
      <c r="R11" s="1742">
        <f t="shared" si="1"/>
        <v>58.5</v>
      </c>
      <c r="S11" s="633"/>
    </row>
    <row r="12" spans="1:44">
      <c r="A12" s="3109"/>
      <c r="B12" s="3111"/>
      <c r="C12" s="368" t="s">
        <v>205</v>
      </c>
      <c r="D12" s="904" t="s">
        <v>221</v>
      </c>
      <c r="E12" s="2862">
        <v>603</v>
      </c>
      <c r="F12" s="2862">
        <v>52</v>
      </c>
      <c r="G12" s="2862">
        <v>424</v>
      </c>
      <c r="H12" s="2862">
        <v>35</v>
      </c>
      <c r="I12" s="73">
        <v>402</v>
      </c>
      <c r="J12" s="73">
        <v>48</v>
      </c>
      <c r="K12" s="73">
        <v>667</v>
      </c>
      <c r="L12" s="73">
        <v>31</v>
      </c>
      <c r="M12" s="73">
        <v>382</v>
      </c>
      <c r="N12" s="73">
        <v>39</v>
      </c>
      <c r="O12" s="2862">
        <v>370</v>
      </c>
      <c r="P12" s="2862">
        <v>23</v>
      </c>
      <c r="Q12" s="1742">
        <f t="shared" si="0"/>
        <v>474.66666666666669</v>
      </c>
      <c r="R12" s="1742">
        <f t="shared" si="1"/>
        <v>38</v>
      </c>
      <c r="S12" s="633"/>
    </row>
    <row r="13" spans="1:44" ht="15" customHeight="1">
      <c r="A13" s="3109"/>
      <c r="B13" s="3111"/>
      <c r="C13" s="368" t="s">
        <v>206</v>
      </c>
      <c r="D13" s="904" t="s">
        <v>222</v>
      </c>
      <c r="E13" s="2862">
        <v>582</v>
      </c>
      <c r="F13" s="2862">
        <v>44</v>
      </c>
      <c r="G13" s="2862">
        <v>557</v>
      </c>
      <c r="H13" s="2862">
        <v>57</v>
      </c>
      <c r="I13" s="2863">
        <v>913</v>
      </c>
      <c r="J13" s="2863">
        <v>50</v>
      </c>
      <c r="K13" s="2863">
        <v>1182</v>
      </c>
      <c r="L13" s="2863">
        <v>43</v>
      </c>
      <c r="M13" s="73">
        <v>1272</v>
      </c>
      <c r="N13" s="73">
        <v>40</v>
      </c>
      <c r="O13" s="2862">
        <v>580</v>
      </c>
      <c r="P13" s="2862">
        <v>24</v>
      </c>
      <c r="Q13" s="1742">
        <f t="shared" si="0"/>
        <v>847.66666666666663</v>
      </c>
      <c r="R13" s="1742">
        <f t="shared" si="1"/>
        <v>43</v>
      </c>
      <c r="S13" s="633"/>
    </row>
    <row r="14" spans="1:44">
      <c r="A14" s="3109"/>
      <c r="B14" s="3111"/>
      <c r="C14" s="368" t="s">
        <v>207</v>
      </c>
      <c r="D14" s="904" t="s">
        <v>223</v>
      </c>
      <c r="E14" s="2862">
        <v>647</v>
      </c>
      <c r="F14" s="2862">
        <v>47</v>
      </c>
      <c r="G14" s="2862">
        <v>470</v>
      </c>
      <c r="H14" s="2862">
        <v>42</v>
      </c>
      <c r="I14" s="2863">
        <v>640</v>
      </c>
      <c r="J14" s="2863">
        <v>44</v>
      </c>
      <c r="K14" s="2863">
        <v>559</v>
      </c>
      <c r="L14" s="2863">
        <v>26</v>
      </c>
      <c r="M14" s="73">
        <v>725</v>
      </c>
      <c r="N14" s="73">
        <v>56</v>
      </c>
      <c r="O14" s="2862">
        <v>491</v>
      </c>
      <c r="P14" s="2862">
        <v>72</v>
      </c>
      <c r="Q14" s="1742">
        <f t="shared" si="0"/>
        <v>588.66666666666663</v>
      </c>
      <c r="R14" s="1742">
        <f t="shared" si="1"/>
        <v>47.833333333333336</v>
      </c>
      <c r="S14" s="633"/>
    </row>
    <row r="15" spans="1:44" ht="15" customHeight="1">
      <c r="A15" s="3110"/>
      <c r="B15" s="3102"/>
      <c r="C15" s="368" t="s">
        <v>208</v>
      </c>
      <c r="D15" s="904" t="s">
        <v>233</v>
      </c>
      <c r="E15" s="2862">
        <v>727</v>
      </c>
      <c r="F15" s="2862">
        <v>33</v>
      </c>
      <c r="G15" s="2862">
        <v>566</v>
      </c>
      <c r="H15" s="2862">
        <v>65</v>
      </c>
      <c r="I15" s="2863">
        <v>708</v>
      </c>
      <c r="J15" s="2863">
        <v>46</v>
      </c>
      <c r="K15" s="2863">
        <v>517</v>
      </c>
      <c r="L15" s="2863">
        <v>126</v>
      </c>
      <c r="M15" s="73">
        <v>728</v>
      </c>
      <c r="N15" s="73">
        <v>84</v>
      </c>
      <c r="O15" s="2862">
        <v>617</v>
      </c>
      <c r="P15" s="2862">
        <v>18</v>
      </c>
      <c r="Q15" s="1742">
        <f t="shared" si="0"/>
        <v>643.83333333333337</v>
      </c>
      <c r="R15" s="1742">
        <f t="shared" si="1"/>
        <v>62</v>
      </c>
      <c r="S15" s="633"/>
    </row>
    <row r="16" spans="1:44" s="358" customFormat="1" ht="14" customHeight="1">
      <c r="A16" s="1732" t="s">
        <v>1021</v>
      </c>
      <c r="B16" s="3101" t="s">
        <v>1377</v>
      </c>
      <c r="C16" s="368" t="s">
        <v>1372</v>
      </c>
      <c r="D16" s="904" t="s">
        <v>1375</v>
      </c>
      <c r="E16" s="2862">
        <v>751</v>
      </c>
      <c r="F16" s="2862">
        <v>59</v>
      </c>
      <c r="G16" s="2862">
        <v>392</v>
      </c>
      <c r="H16" s="2862">
        <v>36</v>
      </c>
      <c r="I16" s="2863">
        <v>298</v>
      </c>
      <c r="J16" s="2863">
        <v>30</v>
      </c>
      <c r="K16" s="2863">
        <v>250</v>
      </c>
      <c r="L16" s="2863">
        <v>71</v>
      </c>
      <c r="M16" s="73">
        <v>235</v>
      </c>
      <c r="N16" s="73">
        <v>17</v>
      </c>
      <c r="O16" s="2862">
        <v>109</v>
      </c>
      <c r="P16" s="2862">
        <v>12</v>
      </c>
      <c r="Q16" s="1742">
        <f t="shared" si="0"/>
        <v>339.16666666666669</v>
      </c>
      <c r="R16" s="1742">
        <f t="shared" si="1"/>
        <v>37.5</v>
      </c>
      <c r="S16" s="1724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s="358" customFormat="1">
      <c r="A17" s="1733"/>
      <c r="B17" s="3111"/>
      <c r="C17" s="369" t="s">
        <v>361</v>
      </c>
      <c r="D17" s="1039" t="s">
        <v>363</v>
      </c>
      <c r="E17" s="2862">
        <v>763</v>
      </c>
      <c r="F17" s="2862">
        <v>170</v>
      </c>
      <c r="G17" s="2862">
        <v>598</v>
      </c>
      <c r="H17" s="2862">
        <v>70</v>
      </c>
      <c r="I17" s="2863">
        <v>495</v>
      </c>
      <c r="J17" s="2863">
        <v>76</v>
      </c>
      <c r="K17" s="2863">
        <v>249</v>
      </c>
      <c r="L17" s="2863">
        <v>28</v>
      </c>
      <c r="M17" s="73">
        <v>335</v>
      </c>
      <c r="N17" s="73">
        <v>25</v>
      </c>
      <c r="O17" s="2862">
        <v>675</v>
      </c>
      <c r="P17" s="2862">
        <v>30</v>
      </c>
      <c r="Q17" s="1742">
        <f t="shared" si="0"/>
        <v>519.16666666666663</v>
      </c>
      <c r="R17" s="1742">
        <f t="shared" si="1"/>
        <v>66.5</v>
      </c>
      <c r="S17" s="1724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s="358" customFormat="1">
      <c r="A18" s="1734"/>
      <c r="B18" s="3102"/>
      <c r="C18" s="367" t="s">
        <v>502</v>
      </c>
      <c r="D18" s="1038" t="s">
        <v>362</v>
      </c>
      <c r="E18" s="2862">
        <v>1465</v>
      </c>
      <c r="F18" s="2862">
        <v>147</v>
      </c>
      <c r="G18" s="2862">
        <v>1071</v>
      </c>
      <c r="H18" s="2862">
        <v>155</v>
      </c>
      <c r="I18" s="2863">
        <v>956</v>
      </c>
      <c r="J18" s="2863">
        <v>136</v>
      </c>
      <c r="K18" s="2863">
        <v>731</v>
      </c>
      <c r="L18" s="2863">
        <v>97</v>
      </c>
      <c r="M18" s="73">
        <v>849</v>
      </c>
      <c r="N18" s="73">
        <v>136</v>
      </c>
      <c r="O18" s="2862">
        <v>1400</v>
      </c>
      <c r="P18" s="2862">
        <v>113</v>
      </c>
      <c r="Q18" s="1742">
        <f t="shared" si="0"/>
        <v>1078.6666666666667</v>
      </c>
      <c r="R18" s="1742">
        <f t="shared" si="1"/>
        <v>130.66666666666666</v>
      </c>
      <c r="S18" s="1724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s="358" customFormat="1">
      <c r="A19" s="1036" t="s">
        <v>1020</v>
      </c>
      <c r="B19" s="1746" t="s">
        <v>1378</v>
      </c>
      <c r="C19" s="367" t="s">
        <v>1374</v>
      </c>
      <c r="D19" s="1038" t="s">
        <v>364</v>
      </c>
      <c r="E19" s="2862">
        <v>1212</v>
      </c>
      <c r="F19" s="2862">
        <v>6</v>
      </c>
      <c r="G19" s="2862">
        <v>1201</v>
      </c>
      <c r="H19" s="2862">
        <v>51</v>
      </c>
      <c r="I19" s="2863">
        <v>621</v>
      </c>
      <c r="J19" s="2863">
        <v>25</v>
      </c>
      <c r="K19" s="2863">
        <v>542</v>
      </c>
      <c r="L19" s="2863">
        <v>6</v>
      </c>
      <c r="M19" s="73">
        <v>528</v>
      </c>
      <c r="N19" s="73">
        <v>5</v>
      </c>
      <c r="O19" s="2862">
        <v>469</v>
      </c>
      <c r="P19" s="2862">
        <v>2</v>
      </c>
      <c r="Q19" s="1742">
        <f>AVERAGE(E19,G19,I19,K19,M19,O19)</f>
        <v>762.16666666666663</v>
      </c>
      <c r="R19" s="1742">
        <f>AVERAGE(F19,H19,J19,L19,N19,P19)</f>
        <v>15.833333333333334</v>
      </c>
      <c r="S19" s="1724"/>
    </row>
    <row r="20" spans="1:44" s="358" customFormat="1">
      <c r="A20" s="1613" t="s">
        <v>1249</v>
      </c>
      <c r="B20" s="1614" t="s">
        <v>1254</v>
      </c>
      <c r="C20" s="367" t="s">
        <v>325</v>
      </c>
      <c r="D20" s="1038" t="s">
        <v>1243</v>
      </c>
      <c r="E20" s="2862">
        <v>769</v>
      </c>
      <c r="F20" s="2862">
        <v>30</v>
      </c>
      <c r="G20" s="2862">
        <v>833</v>
      </c>
      <c r="H20" s="2862">
        <v>62</v>
      </c>
      <c r="I20" s="73">
        <v>1209</v>
      </c>
      <c r="J20" s="73">
        <v>110</v>
      </c>
      <c r="K20" s="73">
        <v>1271</v>
      </c>
      <c r="L20" s="73">
        <v>32</v>
      </c>
      <c r="M20" s="73">
        <v>903</v>
      </c>
      <c r="N20" s="73">
        <v>24</v>
      </c>
      <c r="O20" s="2862">
        <v>790</v>
      </c>
      <c r="P20" s="2862">
        <v>79</v>
      </c>
      <c r="Q20" s="1742">
        <f t="shared" si="0"/>
        <v>962.5</v>
      </c>
      <c r="R20" s="1742">
        <f t="shared" si="1"/>
        <v>56.166666666666664</v>
      </c>
      <c r="S20" s="1724"/>
    </row>
    <row r="21" spans="1:44" s="358" customFormat="1">
      <c r="A21" s="1614" t="s">
        <v>1023</v>
      </c>
      <c r="B21" s="1617" t="s">
        <v>870</v>
      </c>
      <c r="C21" s="1043" t="s">
        <v>210</v>
      </c>
      <c r="D21" s="904" t="s">
        <v>229</v>
      </c>
      <c r="E21" s="2862">
        <v>564</v>
      </c>
      <c r="F21" s="2862">
        <v>30</v>
      </c>
      <c r="G21" s="2862">
        <v>392</v>
      </c>
      <c r="H21" s="2862">
        <v>41</v>
      </c>
      <c r="I21" s="73">
        <v>314</v>
      </c>
      <c r="J21" s="73">
        <v>87</v>
      </c>
      <c r="K21" s="73">
        <v>558</v>
      </c>
      <c r="L21" s="73">
        <v>262</v>
      </c>
      <c r="M21" s="73">
        <v>139</v>
      </c>
      <c r="N21" s="73">
        <v>25</v>
      </c>
      <c r="O21" s="2862">
        <v>151</v>
      </c>
      <c r="P21" s="2862">
        <v>11</v>
      </c>
      <c r="Q21" s="1742">
        <f t="shared" si="0"/>
        <v>353</v>
      </c>
      <c r="R21" s="1742">
        <f t="shared" si="1"/>
        <v>76</v>
      </c>
      <c r="S21" s="1724"/>
    </row>
    <row r="22" spans="1:44" ht="15" customHeight="1">
      <c r="A22" s="3099" t="s">
        <v>1022</v>
      </c>
      <c r="B22" s="3101" t="s">
        <v>870</v>
      </c>
      <c r="C22" s="1043" t="s">
        <v>209</v>
      </c>
      <c r="D22" s="904" t="s">
        <v>700</v>
      </c>
      <c r="E22" s="2862">
        <v>537</v>
      </c>
      <c r="F22" s="2862">
        <v>38</v>
      </c>
      <c r="G22" s="2862">
        <v>603</v>
      </c>
      <c r="H22" s="2862">
        <v>47</v>
      </c>
      <c r="I22" s="73">
        <v>516</v>
      </c>
      <c r="J22" s="73">
        <v>36</v>
      </c>
      <c r="K22" s="73">
        <v>477</v>
      </c>
      <c r="L22" s="73">
        <v>57</v>
      </c>
      <c r="M22" s="73">
        <v>388</v>
      </c>
      <c r="N22" s="73">
        <v>53</v>
      </c>
      <c r="O22" s="2862">
        <v>275</v>
      </c>
      <c r="P22" s="2862">
        <v>44</v>
      </c>
      <c r="Q22" s="1742">
        <f t="shared" si="0"/>
        <v>466</v>
      </c>
      <c r="R22" s="1742">
        <f t="shared" si="1"/>
        <v>45.833333333333336</v>
      </c>
      <c r="S22" s="633"/>
    </row>
    <row r="23" spans="1:44" s="358" customFormat="1" ht="15" customHeight="1">
      <c r="A23" s="3100"/>
      <c r="B23" s="3102"/>
      <c r="C23" s="569" t="s">
        <v>338</v>
      </c>
      <c r="D23" s="1739" t="s">
        <v>1255</v>
      </c>
      <c r="E23" s="2862">
        <v>554</v>
      </c>
      <c r="F23" s="2862">
        <v>18</v>
      </c>
      <c r="G23" s="2863">
        <v>617</v>
      </c>
      <c r="H23" s="2863">
        <v>53</v>
      </c>
      <c r="I23" s="2863">
        <v>539</v>
      </c>
      <c r="J23" s="2863">
        <v>24</v>
      </c>
      <c r="K23" s="73">
        <v>744</v>
      </c>
      <c r="L23" s="73">
        <v>87</v>
      </c>
      <c r="M23" s="73">
        <v>568</v>
      </c>
      <c r="N23" s="73">
        <v>29</v>
      </c>
      <c r="O23" s="2862">
        <v>672</v>
      </c>
      <c r="P23" s="2862">
        <v>10</v>
      </c>
      <c r="Q23" s="1742">
        <f t="shared" si="0"/>
        <v>615.66666666666663</v>
      </c>
      <c r="R23" s="1742">
        <f t="shared" si="1"/>
        <v>36.833333333333336</v>
      </c>
      <c r="S23" s="725"/>
    </row>
    <row r="24" spans="1:44" s="358" customFormat="1" ht="15" customHeight="1">
      <c r="A24" s="1036" t="s">
        <v>1250</v>
      </c>
      <c r="B24" s="901" t="s">
        <v>882</v>
      </c>
      <c r="C24" s="367" t="s">
        <v>1241</v>
      </c>
      <c r="D24" s="1038" t="s">
        <v>1242</v>
      </c>
      <c r="E24" s="2862">
        <v>679</v>
      </c>
      <c r="F24" s="2862">
        <v>16</v>
      </c>
      <c r="G24" s="2862">
        <v>627</v>
      </c>
      <c r="H24" s="2862">
        <v>39</v>
      </c>
      <c r="I24" s="73">
        <v>865</v>
      </c>
      <c r="J24" s="73">
        <v>35</v>
      </c>
      <c r="K24" s="73">
        <v>606</v>
      </c>
      <c r="L24" s="73">
        <v>48</v>
      </c>
      <c r="M24" s="73">
        <v>542</v>
      </c>
      <c r="N24" s="73">
        <v>48</v>
      </c>
      <c r="O24" s="2862">
        <v>676</v>
      </c>
      <c r="P24" s="2862">
        <v>48</v>
      </c>
      <c r="Q24" s="1742">
        <f t="shared" si="0"/>
        <v>665.83333333333337</v>
      </c>
      <c r="R24" s="1742">
        <f t="shared" si="1"/>
        <v>39</v>
      </c>
      <c r="S24" s="725"/>
    </row>
    <row r="25" spans="1:44" ht="15" customHeight="1">
      <c r="A25" s="3150" t="s">
        <v>1252</v>
      </c>
      <c r="B25" s="3101" t="s">
        <v>1251</v>
      </c>
      <c r="C25" s="1040" t="s">
        <v>331</v>
      </c>
      <c r="D25" s="1740" t="s">
        <v>1245</v>
      </c>
      <c r="E25" s="2862">
        <v>930</v>
      </c>
      <c r="F25" s="2862">
        <v>14</v>
      </c>
      <c r="G25" s="2862">
        <v>758</v>
      </c>
      <c r="H25" s="2862">
        <v>44</v>
      </c>
      <c r="I25" s="2862">
        <v>868</v>
      </c>
      <c r="J25" s="2862">
        <v>33</v>
      </c>
      <c r="K25" s="2862">
        <v>650</v>
      </c>
      <c r="L25" s="2862">
        <v>46</v>
      </c>
      <c r="M25" s="2862">
        <v>757</v>
      </c>
      <c r="N25" s="2862">
        <v>62</v>
      </c>
      <c r="O25" s="2862">
        <v>550</v>
      </c>
      <c r="P25" s="2862">
        <v>48</v>
      </c>
      <c r="Q25" s="1742">
        <f t="shared" si="0"/>
        <v>752.16666666666663</v>
      </c>
      <c r="R25" s="1742">
        <f t="shared" si="1"/>
        <v>41.166666666666664</v>
      </c>
      <c r="S25" s="633"/>
    </row>
    <row r="26" spans="1:44" ht="17.5" customHeight="1">
      <c r="A26" s="3150"/>
      <c r="B26" s="3102"/>
      <c r="C26" s="1042" t="s">
        <v>815</v>
      </c>
      <c r="D26" s="1741" t="s">
        <v>1244</v>
      </c>
      <c r="E26" s="2862">
        <v>823</v>
      </c>
      <c r="F26" s="2862">
        <v>30</v>
      </c>
      <c r="G26" s="2862">
        <v>811</v>
      </c>
      <c r="H26" s="2862">
        <v>46</v>
      </c>
      <c r="I26" s="2862">
        <v>1130</v>
      </c>
      <c r="J26" s="2862">
        <v>41</v>
      </c>
      <c r="K26" s="2862">
        <v>864</v>
      </c>
      <c r="L26" s="2862">
        <v>26</v>
      </c>
      <c r="M26" s="2862">
        <v>868</v>
      </c>
      <c r="N26" s="2862">
        <v>17</v>
      </c>
      <c r="O26" s="2862">
        <v>896</v>
      </c>
      <c r="P26" s="2862">
        <v>26</v>
      </c>
      <c r="Q26" s="1742">
        <f t="shared" si="0"/>
        <v>898.66666666666663</v>
      </c>
      <c r="R26" s="1742">
        <f t="shared" si="1"/>
        <v>31</v>
      </c>
      <c r="S26" s="633"/>
    </row>
    <row r="27" spans="1:44" ht="18" customHeight="1">
      <c r="A27" s="256"/>
      <c r="B27" s="256"/>
      <c r="C27" s="72"/>
      <c r="L27" s="14"/>
      <c r="M27" s="59"/>
      <c r="R27" s="632"/>
      <c r="S27" s="633"/>
    </row>
    <row r="28" spans="1:44">
      <c r="A28" s="256"/>
      <c r="B28" s="256"/>
      <c r="C28" s="72"/>
      <c r="D28" s="109"/>
      <c r="E28" s="109"/>
      <c r="F28" s="109"/>
      <c r="G28" s="109"/>
      <c r="H28" s="109"/>
      <c r="I28" s="109"/>
      <c r="J28" s="109"/>
      <c r="K28" s="109"/>
      <c r="L28" s="61"/>
      <c r="M28" s="59"/>
      <c r="R28" s="632"/>
      <c r="S28" s="633"/>
    </row>
    <row r="29" spans="1:44">
      <c r="A29" s="256"/>
      <c r="B29" s="256"/>
      <c r="C29" s="72"/>
      <c r="D29" s="109"/>
      <c r="E29" s="109"/>
      <c r="F29" s="109"/>
      <c r="G29" s="109"/>
      <c r="H29" s="109"/>
      <c r="I29" s="109"/>
      <c r="J29" s="109"/>
      <c r="K29" s="109"/>
      <c r="L29" s="14"/>
      <c r="M29" s="59"/>
      <c r="R29" s="632"/>
      <c r="S29" s="633"/>
    </row>
    <row r="30" spans="1:44">
      <c r="A30" s="256"/>
      <c r="B30" s="256"/>
      <c r="C30" s="72"/>
      <c r="D30" s="109"/>
      <c r="E30" s="109"/>
      <c r="F30" s="109"/>
      <c r="G30" s="109"/>
      <c r="H30" s="109"/>
      <c r="I30" s="109"/>
      <c r="J30" s="109"/>
      <c r="K30" s="109"/>
      <c r="L30" s="14"/>
      <c r="M30" s="59"/>
      <c r="R30" s="632"/>
      <c r="S30" s="633"/>
    </row>
    <row r="31" spans="1:44">
      <c r="A31" s="256"/>
      <c r="B31" s="256"/>
      <c r="C31" s="72"/>
      <c r="D31" s="109"/>
      <c r="E31" s="109"/>
      <c r="F31" s="109"/>
      <c r="G31" s="109"/>
      <c r="H31" s="109"/>
      <c r="I31" s="109"/>
      <c r="J31" s="109"/>
      <c r="K31" s="109"/>
      <c r="L31" s="61"/>
      <c r="M31" s="59"/>
      <c r="R31" s="632"/>
      <c r="S31" s="633"/>
    </row>
    <row r="32" spans="1:44">
      <c r="A32" s="256"/>
      <c r="B32" s="256"/>
      <c r="C32" s="72"/>
      <c r="D32" s="109"/>
      <c r="E32" s="109"/>
      <c r="F32" s="109"/>
      <c r="G32" s="109"/>
      <c r="H32" s="109"/>
      <c r="I32" s="109"/>
      <c r="J32" s="109"/>
      <c r="K32" s="109"/>
      <c r="L32" s="14"/>
      <c r="M32" s="59"/>
      <c r="R32" s="632"/>
      <c r="S32" s="633"/>
    </row>
    <row r="33" spans="3:19">
      <c r="C33" s="72"/>
      <c r="D33" s="109"/>
      <c r="E33" s="109"/>
      <c r="F33" s="109"/>
      <c r="G33" s="109"/>
      <c r="H33" s="109"/>
      <c r="I33" s="109"/>
      <c r="J33" s="109"/>
      <c r="K33" s="109"/>
      <c r="L33" s="61"/>
      <c r="M33" s="59"/>
      <c r="R33" s="632"/>
      <c r="S33" s="633"/>
    </row>
    <row r="34" spans="3:19">
      <c r="C34" s="72"/>
      <c r="D34" s="109"/>
      <c r="E34" s="109"/>
      <c r="F34" s="109"/>
      <c r="G34" s="109"/>
      <c r="H34" s="109"/>
      <c r="I34" s="109"/>
      <c r="J34" s="109"/>
      <c r="K34" s="109"/>
      <c r="L34" s="14"/>
      <c r="M34" s="59"/>
      <c r="R34" s="632"/>
      <c r="S34" s="633"/>
    </row>
    <row r="35" spans="3:19">
      <c r="C35" s="72"/>
      <c r="D35" s="109"/>
      <c r="E35" s="109"/>
      <c r="F35" s="109"/>
      <c r="G35" s="109"/>
      <c r="H35" s="109"/>
      <c r="I35" s="109"/>
      <c r="J35" s="109"/>
      <c r="K35" s="109"/>
      <c r="L35" s="14"/>
      <c r="M35" s="59"/>
      <c r="R35" s="632"/>
      <c r="S35" s="633"/>
    </row>
    <row r="36" spans="3:19" ht="14" customHeight="1">
      <c r="C36" s="72"/>
      <c r="D36" s="109"/>
      <c r="E36" s="109"/>
      <c r="F36" s="109"/>
      <c r="G36" s="109"/>
      <c r="H36" s="109"/>
      <c r="I36" s="109"/>
      <c r="J36" s="109"/>
      <c r="K36" s="109"/>
      <c r="L36" s="61"/>
      <c r="M36" s="59"/>
      <c r="R36" s="632"/>
      <c r="S36" s="633"/>
    </row>
    <row r="37" spans="3:19">
      <c r="C37" s="72"/>
      <c r="D37" s="109"/>
      <c r="E37" s="109"/>
      <c r="F37" s="109"/>
      <c r="G37" s="109"/>
      <c r="H37" s="109"/>
      <c r="I37" s="109"/>
      <c r="J37" s="109"/>
      <c r="K37" s="109"/>
      <c r="L37" s="14"/>
      <c r="M37" s="59"/>
      <c r="R37" s="632"/>
      <c r="S37" s="633"/>
    </row>
    <row r="38" spans="3:19">
      <c r="C38" s="72"/>
      <c r="D38" s="109"/>
      <c r="E38" s="109"/>
      <c r="F38" s="109"/>
      <c r="G38" s="109"/>
      <c r="H38" s="109"/>
      <c r="I38" s="109"/>
      <c r="J38" s="109"/>
      <c r="K38" s="109"/>
      <c r="L38" s="14"/>
      <c r="M38" s="59"/>
      <c r="R38" s="632"/>
      <c r="S38" s="633"/>
    </row>
    <row r="39" spans="3:19">
      <c r="C39" s="72"/>
      <c r="D39" s="109"/>
      <c r="E39" s="109"/>
      <c r="F39" s="109"/>
      <c r="G39" s="109"/>
      <c r="H39" s="109"/>
      <c r="I39" s="109"/>
      <c r="J39" s="109"/>
      <c r="K39" s="109"/>
      <c r="L39" s="61"/>
      <c r="M39" s="59"/>
      <c r="R39" s="632"/>
      <c r="S39" s="633"/>
    </row>
    <row r="40" spans="3:19">
      <c r="C40" s="72"/>
      <c r="D40" s="109"/>
      <c r="E40" s="109"/>
      <c r="F40" s="109"/>
      <c r="G40" s="109"/>
      <c r="H40" s="109"/>
      <c r="I40" s="109"/>
      <c r="J40" s="109"/>
      <c r="K40" s="109"/>
      <c r="L40" s="14"/>
      <c r="M40" s="59"/>
      <c r="R40" s="632"/>
      <c r="S40" s="633"/>
    </row>
    <row r="41" spans="3:19">
      <c r="C41" s="72"/>
      <c r="D41" s="109"/>
      <c r="E41" s="109"/>
      <c r="F41" s="109"/>
      <c r="G41" s="109"/>
      <c r="H41" s="109"/>
      <c r="I41" s="109"/>
      <c r="J41" s="109"/>
      <c r="K41" s="109"/>
      <c r="L41" s="14"/>
      <c r="M41" s="59"/>
      <c r="R41" s="632"/>
      <c r="S41" s="633"/>
    </row>
    <row r="42" spans="3:19">
      <c r="C42" s="72"/>
      <c r="D42" s="109"/>
      <c r="E42" s="109"/>
      <c r="F42" s="109"/>
      <c r="G42" s="109"/>
      <c r="H42" s="109"/>
      <c r="I42" s="109"/>
      <c r="J42" s="109"/>
      <c r="K42" s="109"/>
      <c r="L42" s="61"/>
      <c r="M42" s="59"/>
      <c r="R42" s="632"/>
      <c r="S42" s="633"/>
    </row>
    <row r="43" spans="3:19">
      <c r="C43" s="72"/>
      <c r="D43" s="109"/>
      <c r="E43" s="109"/>
      <c r="F43" s="109"/>
      <c r="G43" s="109"/>
      <c r="H43" s="109"/>
      <c r="I43" s="109"/>
      <c r="J43" s="109"/>
      <c r="K43" s="109"/>
      <c r="L43" s="14"/>
      <c r="M43" s="59"/>
    </row>
    <row r="44" spans="3:19">
      <c r="C44" s="72"/>
      <c r="D44" s="109"/>
      <c r="E44" s="109"/>
      <c r="F44" s="109"/>
      <c r="G44" s="109"/>
      <c r="H44" s="109"/>
      <c r="I44" s="109"/>
      <c r="J44" s="109"/>
      <c r="K44" s="109"/>
      <c r="L44" s="14"/>
      <c r="M44" s="59"/>
    </row>
    <row r="45" spans="3:19" ht="14" customHeight="1">
      <c r="C45" s="72"/>
      <c r="D45" s="109"/>
      <c r="E45" s="109"/>
      <c r="F45" s="109"/>
      <c r="G45" s="109"/>
      <c r="H45" s="109"/>
      <c r="I45" s="109"/>
      <c r="J45" s="109"/>
      <c r="K45" s="109"/>
      <c r="L45" s="61"/>
      <c r="M45" s="59"/>
    </row>
    <row r="46" spans="3:19">
      <c r="C46" s="72"/>
      <c r="D46" s="109"/>
      <c r="E46" s="109"/>
      <c r="F46" s="109"/>
      <c r="G46" s="109"/>
      <c r="H46" s="109"/>
      <c r="I46" s="109"/>
      <c r="J46" s="109"/>
      <c r="K46" s="109"/>
      <c r="L46" s="14"/>
      <c r="M46" s="59"/>
    </row>
    <row r="47" spans="3:19">
      <c r="C47" s="72"/>
      <c r="D47" s="109"/>
      <c r="E47" s="109"/>
      <c r="F47" s="109"/>
      <c r="G47" s="109"/>
      <c r="H47" s="109"/>
      <c r="I47" s="109"/>
      <c r="J47" s="109"/>
      <c r="K47" s="109"/>
      <c r="L47" s="14"/>
      <c r="M47" s="59"/>
    </row>
    <row r="48" spans="3:19">
      <c r="C48" s="72"/>
      <c r="D48" s="109"/>
      <c r="E48" s="109"/>
      <c r="F48" s="109"/>
      <c r="G48" s="109"/>
      <c r="H48" s="109"/>
      <c r="I48" s="109"/>
      <c r="J48" s="109"/>
      <c r="K48" s="109"/>
      <c r="L48" s="61"/>
      <c r="M48" s="59"/>
    </row>
    <row r="49" spans="3:13">
      <c r="C49" s="72"/>
      <c r="D49" s="109"/>
      <c r="E49" s="109"/>
      <c r="F49" s="109"/>
      <c r="G49" s="109"/>
      <c r="H49" s="109"/>
      <c r="I49" s="109"/>
      <c r="J49" s="109"/>
      <c r="K49" s="109"/>
      <c r="L49" s="14"/>
      <c r="M49" s="59"/>
    </row>
    <row r="50" spans="3:13">
      <c r="C50" s="72"/>
      <c r="D50" s="109"/>
      <c r="E50" s="109"/>
      <c r="F50" s="109"/>
      <c r="G50" s="109"/>
      <c r="H50" s="109"/>
      <c r="I50" s="109"/>
      <c r="J50" s="109"/>
      <c r="K50" s="109"/>
      <c r="L50" s="14"/>
      <c r="M50" s="59"/>
    </row>
    <row r="51" spans="3:13">
      <c r="C51" s="72"/>
      <c r="D51" s="109"/>
      <c r="E51" s="109"/>
      <c r="F51" s="109"/>
      <c r="G51" s="109"/>
      <c r="H51" s="109"/>
      <c r="I51" s="109"/>
      <c r="J51" s="109"/>
      <c r="K51" s="109"/>
      <c r="L51" s="61"/>
      <c r="M51" s="59"/>
    </row>
    <row r="52" spans="3:13">
      <c r="C52" s="72"/>
      <c r="D52" s="109"/>
      <c r="E52" s="109"/>
      <c r="F52" s="109"/>
      <c r="G52" s="109"/>
      <c r="H52" s="109"/>
      <c r="I52" s="109"/>
      <c r="J52" s="109"/>
      <c r="K52" s="109"/>
      <c r="L52" s="14"/>
      <c r="M52" s="59"/>
    </row>
    <row r="53" spans="3:13">
      <c r="C53" s="72"/>
      <c r="D53" s="109"/>
      <c r="E53" s="109"/>
      <c r="F53" s="109"/>
      <c r="G53" s="109"/>
      <c r="H53" s="109"/>
      <c r="I53" s="109"/>
      <c r="J53" s="109"/>
      <c r="K53" s="109"/>
      <c r="L53" s="14"/>
      <c r="M53" s="59"/>
    </row>
    <row r="54" spans="3:13">
      <c r="C54" s="72"/>
      <c r="D54" s="109"/>
      <c r="E54" s="109"/>
      <c r="F54" s="109"/>
      <c r="G54" s="109"/>
      <c r="H54" s="109"/>
      <c r="I54" s="109"/>
      <c r="J54" s="109"/>
      <c r="K54" s="109"/>
      <c r="L54" s="61"/>
      <c r="M54" s="59"/>
    </row>
    <row r="55" spans="3:13">
      <c r="C55" s="72"/>
      <c r="D55" s="109"/>
      <c r="E55" s="109"/>
      <c r="F55" s="109"/>
      <c r="G55" s="109"/>
      <c r="H55" s="109"/>
      <c r="I55" s="109"/>
      <c r="J55" s="109"/>
      <c r="K55" s="109"/>
      <c r="L55" s="14"/>
      <c r="M55" s="59"/>
    </row>
    <row r="56" spans="3:13" ht="14" customHeight="1">
      <c r="C56" s="72"/>
      <c r="D56" s="109"/>
      <c r="E56" s="109"/>
      <c r="F56" s="109"/>
      <c r="G56" s="109"/>
      <c r="H56" s="109"/>
      <c r="I56" s="109"/>
      <c r="J56" s="109"/>
      <c r="K56" s="109"/>
      <c r="L56" s="14"/>
      <c r="M56" s="59"/>
    </row>
    <row r="57" spans="3:13">
      <c r="C57" s="72"/>
      <c r="D57" s="109"/>
      <c r="E57" s="109"/>
      <c r="F57" s="109"/>
      <c r="G57" s="109"/>
      <c r="H57" s="109"/>
      <c r="I57" s="109"/>
      <c r="J57" s="109"/>
      <c r="K57" s="109"/>
      <c r="L57" s="61"/>
      <c r="M57" s="59"/>
    </row>
    <row r="58" spans="3:13" ht="14" customHeight="1">
      <c r="C58" s="72"/>
      <c r="D58" s="109"/>
      <c r="E58" s="109"/>
      <c r="F58" s="109"/>
      <c r="G58" s="109"/>
      <c r="H58" s="109"/>
      <c r="I58" s="109"/>
      <c r="J58" s="109"/>
      <c r="K58" s="109"/>
      <c r="L58" s="14"/>
      <c r="M58" s="59"/>
    </row>
    <row r="59" spans="3:13" ht="12.75" customHeight="1">
      <c r="C59" s="72"/>
      <c r="D59" s="109"/>
      <c r="E59" s="109"/>
      <c r="F59" s="109"/>
      <c r="G59" s="109"/>
      <c r="H59" s="109"/>
      <c r="I59" s="109"/>
      <c r="J59" s="109"/>
      <c r="K59" s="109"/>
      <c r="L59" s="14"/>
      <c r="M59" s="59"/>
    </row>
    <row r="60" spans="3:13">
      <c r="C60" s="72"/>
      <c r="D60" s="109"/>
      <c r="E60" s="109"/>
      <c r="F60" s="109"/>
      <c r="G60" s="109"/>
      <c r="H60" s="109"/>
      <c r="I60" s="109"/>
      <c r="J60" s="109"/>
      <c r="K60" s="109"/>
      <c r="L60" s="61"/>
      <c r="M60" s="59"/>
    </row>
    <row r="61" spans="3:13">
      <c r="C61" s="72"/>
      <c r="D61" s="109"/>
      <c r="E61" s="109"/>
      <c r="F61" s="109"/>
      <c r="G61" s="109"/>
      <c r="H61" s="109"/>
      <c r="I61" s="109"/>
      <c r="J61" s="109"/>
      <c r="K61" s="109"/>
      <c r="L61" s="61"/>
      <c r="M61" s="59"/>
    </row>
    <row r="62" spans="3:13">
      <c r="C62" s="72"/>
      <c r="D62" s="109"/>
      <c r="E62" s="109"/>
      <c r="F62" s="109"/>
      <c r="G62" s="109"/>
      <c r="H62" s="109"/>
      <c r="I62" s="109"/>
      <c r="J62" s="109"/>
      <c r="K62" s="109"/>
      <c r="L62" s="61"/>
      <c r="M62" s="59"/>
    </row>
    <row r="63" spans="3:13">
      <c r="C63" s="72"/>
      <c r="D63" s="109"/>
      <c r="E63" s="109"/>
      <c r="F63" s="109"/>
      <c r="G63" s="109"/>
      <c r="H63" s="109"/>
      <c r="I63" s="109"/>
      <c r="J63" s="109"/>
      <c r="K63" s="109"/>
      <c r="L63" s="61"/>
      <c r="M63" s="59"/>
    </row>
    <row r="64" spans="3:13">
      <c r="C64" s="72"/>
      <c r="D64" s="109"/>
      <c r="E64" s="109"/>
      <c r="F64" s="109"/>
      <c r="G64" s="109"/>
      <c r="H64" s="109"/>
      <c r="I64" s="109"/>
      <c r="J64" s="109"/>
      <c r="K64" s="109"/>
      <c r="L64" s="14"/>
      <c r="M64" s="59"/>
    </row>
    <row r="65" spans="3:18">
      <c r="C65" s="72"/>
      <c r="D65" s="109"/>
      <c r="E65" s="109"/>
      <c r="F65" s="109"/>
      <c r="G65" s="109"/>
      <c r="H65" s="109"/>
      <c r="I65" s="109"/>
      <c r="J65" s="109"/>
      <c r="K65" s="109"/>
      <c r="L65" s="14"/>
      <c r="M65" s="59"/>
    </row>
    <row r="66" spans="3:18" ht="14.25" customHeight="1">
      <c r="C66" s="72"/>
      <c r="D66" s="109"/>
      <c r="E66" s="109"/>
      <c r="F66" s="109"/>
      <c r="G66" s="109"/>
      <c r="H66" s="109"/>
      <c r="I66" s="109"/>
      <c r="J66" s="109"/>
      <c r="K66" s="109"/>
      <c r="L66" s="61"/>
      <c r="M66" s="59"/>
    </row>
    <row r="67" spans="3:18" ht="14" customHeight="1">
      <c r="C67" s="72"/>
      <c r="D67" s="109"/>
      <c r="E67" s="109"/>
      <c r="F67" s="109"/>
      <c r="G67" s="109"/>
      <c r="H67" s="109"/>
      <c r="I67" s="109"/>
      <c r="J67" s="109"/>
      <c r="K67" s="109"/>
      <c r="L67" s="14"/>
      <c r="M67" s="59"/>
    </row>
    <row r="68" spans="3:18">
      <c r="C68" s="110"/>
      <c r="D68" s="109"/>
      <c r="E68" s="109"/>
      <c r="F68" s="109"/>
      <c r="G68" s="109"/>
      <c r="H68" s="109"/>
      <c r="I68" s="109"/>
      <c r="J68" s="109"/>
      <c r="K68" s="109"/>
      <c r="L68" s="14"/>
      <c r="M68" s="59"/>
    </row>
    <row r="69" spans="3:18" ht="13.75" customHeight="1">
      <c r="C69" s="110"/>
      <c r="D69" s="109"/>
      <c r="E69" s="109"/>
      <c r="F69" s="109"/>
      <c r="G69" s="109"/>
      <c r="H69" s="109"/>
      <c r="I69" s="109"/>
      <c r="J69" s="109"/>
      <c r="K69" s="109"/>
      <c r="L69" s="61"/>
      <c r="M69" s="59"/>
    </row>
    <row r="70" spans="3:18">
      <c r="C70" s="110"/>
      <c r="D70" s="109"/>
      <c r="E70" s="109"/>
      <c r="F70" s="109"/>
      <c r="G70" s="109"/>
      <c r="H70" s="109"/>
      <c r="I70" s="109"/>
      <c r="J70" s="109"/>
      <c r="K70" s="109"/>
      <c r="L70" s="14"/>
      <c r="M70" s="24"/>
    </row>
    <row r="71" spans="3:18">
      <c r="C71" s="110"/>
      <c r="D71" s="109"/>
      <c r="E71" s="109"/>
      <c r="F71" s="109"/>
      <c r="G71" s="109"/>
      <c r="H71" s="109"/>
      <c r="I71" s="109"/>
      <c r="J71" s="109"/>
      <c r="K71" s="109"/>
      <c r="L71" s="61"/>
      <c r="M71" s="59"/>
    </row>
    <row r="72" spans="3:18">
      <c r="C72" s="110"/>
      <c r="D72" s="1795"/>
      <c r="E72" s="3159"/>
      <c r="F72" s="3159"/>
      <c r="G72" s="3159"/>
      <c r="H72" s="3159"/>
      <c r="I72" s="3159"/>
      <c r="J72" s="3159"/>
      <c r="K72" s="3159"/>
      <c r="L72" s="3159"/>
      <c r="M72" s="3159"/>
      <c r="N72" s="3159"/>
      <c r="O72" s="3159"/>
      <c r="P72" s="3159"/>
      <c r="Q72" s="3152"/>
      <c r="R72" s="3152"/>
    </row>
    <row r="73" spans="3:18">
      <c r="C73" s="110"/>
      <c r="D73" s="1795"/>
      <c r="E73" s="1796"/>
      <c r="F73" s="1796"/>
      <c r="G73" s="1796"/>
      <c r="H73" s="1796"/>
      <c r="I73" s="1796"/>
      <c r="J73" s="1796"/>
      <c r="K73" s="1796"/>
      <c r="L73" s="1796"/>
      <c r="M73" s="1796"/>
      <c r="N73" s="1796"/>
      <c r="O73" s="1796"/>
      <c r="P73" s="1796"/>
      <c r="Q73" s="1796"/>
      <c r="R73" s="1796"/>
    </row>
    <row r="74" spans="3:18">
      <c r="C74" s="110"/>
      <c r="D74" s="1797"/>
      <c r="E74" s="674"/>
      <c r="F74" s="674"/>
      <c r="G74" s="674"/>
      <c r="H74" s="674"/>
      <c r="I74" s="674"/>
      <c r="J74" s="674"/>
      <c r="K74" s="674"/>
      <c r="L74" s="674"/>
      <c r="M74" s="674"/>
      <c r="N74" s="674"/>
      <c r="O74" s="674"/>
      <c r="P74" s="674"/>
      <c r="Q74" s="1798"/>
      <c r="R74" s="1798"/>
    </row>
    <row r="75" spans="3:18">
      <c r="C75" s="110"/>
      <c r="D75" s="1797"/>
      <c r="E75" s="674"/>
      <c r="F75" s="674"/>
      <c r="G75" s="674"/>
      <c r="H75" s="674"/>
      <c r="I75" s="674"/>
      <c r="J75" s="674"/>
      <c r="K75" s="674"/>
      <c r="L75" s="674"/>
      <c r="M75" s="674"/>
      <c r="N75" s="674"/>
      <c r="O75" s="674"/>
      <c r="P75" s="674"/>
      <c r="Q75" s="1798"/>
      <c r="R75" s="1798"/>
    </row>
    <row r="76" spans="3:18">
      <c r="C76" s="110"/>
      <c r="D76" s="1795"/>
      <c r="E76" s="1799"/>
      <c r="F76" s="1799"/>
      <c r="G76" s="1799"/>
      <c r="H76" s="1799"/>
      <c r="I76" s="1799"/>
      <c r="J76" s="1799"/>
      <c r="K76" s="1795"/>
      <c r="L76" s="61"/>
      <c r="M76" s="1800"/>
      <c r="N76" s="41"/>
      <c r="O76" s="41"/>
      <c r="P76" s="41"/>
      <c r="Q76" s="41"/>
      <c r="R76" s="41"/>
    </row>
    <row r="77" spans="3:18" s="358" customFormat="1">
      <c r="C77" s="110"/>
      <c r="D77" s="1795"/>
      <c r="E77" s="1799"/>
      <c r="F77" s="1799"/>
      <c r="G77" s="1799"/>
      <c r="H77" s="1799"/>
      <c r="I77" s="1799"/>
      <c r="J77" s="1799"/>
      <c r="K77" s="1795"/>
      <c r="L77" s="61"/>
      <c r="M77" s="1800"/>
      <c r="N77" s="41"/>
      <c r="O77" s="41"/>
      <c r="P77" s="41"/>
      <c r="Q77" s="41"/>
      <c r="R77" s="41"/>
    </row>
    <row r="78" spans="3:18">
      <c r="C78" s="110"/>
      <c r="D78" s="1795"/>
      <c r="E78" s="1801"/>
      <c r="F78" s="1801"/>
      <c r="G78" s="1801"/>
      <c r="H78" s="1801"/>
      <c r="I78" s="1801"/>
      <c r="J78" s="1801"/>
      <c r="K78" s="1795"/>
      <c r="L78" s="1802"/>
      <c r="M78" s="1800"/>
      <c r="N78" s="41"/>
      <c r="O78" s="41"/>
      <c r="P78" s="41"/>
      <c r="Q78" s="41"/>
      <c r="R78" s="41"/>
    </row>
    <row r="79" spans="3:18" s="358" customFormat="1">
      <c r="C79" s="110"/>
      <c r="D79" s="1795"/>
      <c r="E79" s="1801"/>
      <c r="F79" s="1801"/>
      <c r="G79" s="1801"/>
      <c r="H79" s="1801"/>
      <c r="I79" s="1801"/>
      <c r="J79" s="1801"/>
      <c r="K79" s="1795"/>
      <c r="L79" s="1802"/>
      <c r="M79" s="1800"/>
      <c r="N79" s="41"/>
      <c r="O79" s="41"/>
      <c r="P79" s="41"/>
      <c r="Q79" s="41"/>
      <c r="R79" s="41"/>
    </row>
    <row r="80" spans="3:18">
      <c r="C80" s="110"/>
      <c r="D80" s="1799"/>
      <c r="E80" s="1799"/>
      <c r="F80" s="1799"/>
      <c r="G80" s="1799"/>
      <c r="H80" s="1799"/>
      <c r="I80" s="1799"/>
      <c r="J80" s="1799"/>
      <c r="K80" s="1795"/>
      <c r="L80" s="61"/>
      <c r="M80" s="1800"/>
      <c r="N80" s="41"/>
      <c r="O80" s="41"/>
      <c r="P80" s="41"/>
      <c r="Q80" s="41"/>
      <c r="R80" s="41"/>
    </row>
    <row r="81" spans="1:28">
      <c r="C81" s="110"/>
      <c r="D81" s="1795"/>
      <c r="E81" s="3154"/>
      <c r="F81" s="3154"/>
      <c r="G81" s="3154"/>
      <c r="H81" s="3154"/>
      <c r="I81" s="3154"/>
      <c r="J81" s="3154"/>
      <c r="K81" s="1795"/>
      <c r="L81" s="61"/>
      <c r="M81" s="1800"/>
      <c r="N81" s="41"/>
      <c r="O81" s="41"/>
      <c r="P81" s="41"/>
      <c r="Q81" s="41"/>
      <c r="R81" s="41"/>
    </row>
    <row r="82" spans="1:28">
      <c r="C82" s="110"/>
      <c r="D82" s="1797"/>
      <c r="E82" s="611"/>
      <c r="F82" s="611"/>
      <c r="G82" s="611"/>
      <c r="H82" s="611"/>
      <c r="I82" s="611"/>
      <c r="J82" s="611"/>
      <c r="K82" s="611"/>
      <c r="L82" s="1802"/>
      <c r="M82" s="1803"/>
      <c r="N82" s="41"/>
      <c r="O82" s="41"/>
      <c r="P82" s="41"/>
      <c r="Q82" s="41"/>
      <c r="R82" s="41"/>
    </row>
    <row r="83" spans="1:28">
      <c r="C83" s="110"/>
      <c r="D83" s="1797"/>
      <c r="E83" s="611"/>
      <c r="F83" s="611"/>
      <c r="G83" s="611"/>
      <c r="H83" s="611"/>
      <c r="I83" s="611"/>
      <c r="J83" s="611"/>
      <c r="K83" s="611"/>
      <c r="L83" s="61"/>
      <c r="M83" s="1800"/>
      <c r="N83" s="41"/>
      <c r="O83" s="41"/>
      <c r="P83" s="41"/>
      <c r="Q83" s="41"/>
      <c r="R83" s="41"/>
    </row>
    <row r="84" spans="1:28" ht="14" customHeight="1">
      <c r="C84" s="110"/>
      <c r="D84" s="1795"/>
      <c r="E84" s="3153"/>
      <c r="F84" s="3153"/>
      <c r="G84" s="3153"/>
      <c r="H84" s="3153"/>
      <c r="I84" s="3153"/>
      <c r="J84" s="3153"/>
      <c r="K84" s="1795"/>
      <c r="L84" s="1802"/>
      <c r="M84" s="1803"/>
      <c r="N84" s="41"/>
      <c r="O84" s="41"/>
      <c r="P84" s="41"/>
      <c r="Q84" s="41"/>
      <c r="R84" s="41"/>
    </row>
    <row r="85" spans="1:28">
      <c r="D85" s="1797"/>
      <c r="E85" s="571"/>
      <c r="F85" s="571"/>
      <c r="G85" s="571"/>
      <c r="H85" s="571"/>
      <c r="I85" s="571"/>
      <c r="J85" s="571"/>
      <c r="K85" s="578"/>
      <c r="L85" s="41"/>
      <c r="M85" s="41"/>
      <c r="N85" s="41"/>
      <c r="O85" s="41"/>
      <c r="P85" s="41"/>
      <c r="Q85" s="41"/>
      <c r="R85" s="41"/>
    </row>
    <row r="86" spans="1:28">
      <c r="D86" s="1797"/>
      <c r="E86" s="571"/>
      <c r="F86" s="571"/>
      <c r="G86" s="571"/>
      <c r="H86" s="571"/>
      <c r="I86" s="571"/>
      <c r="J86" s="571"/>
      <c r="K86" s="578"/>
      <c r="L86" s="41"/>
      <c r="M86" s="41"/>
      <c r="N86" s="41"/>
      <c r="O86" s="41"/>
      <c r="P86" s="41"/>
      <c r="Q86" s="41"/>
      <c r="R86" s="41"/>
    </row>
    <row r="87" spans="1:28">
      <c r="D87" s="1799"/>
      <c r="E87" s="3153"/>
      <c r="F87" s="3153"/>
      <c r="G87" s="3153"/>
      <c r="H87" s="3153"/>
      <c r="I87" s="3153"/>
      <c r="J87" s="3153"/>
      <c r="K87" s="1795"/>
      <c r="L87" s="41"/>
      <c r="M87" s="41"/>
      <c r="N87" s="41"/>
      <c r="O87" s="41"/>
      <c r="P87" s="41"/>
      <c r="Q87" s="41"/>
      <c r="R87" s="41"/>
    </row>
    <row r="88" spans="1:28">
      <c r="D88" s="1797"/>
      <c r="E88" s="575"/>
      <c r="F88" s="575"/>
      <c r="G88" s="575"/>
      <c r="H88" s="575"/>
      <c r="I88" s="575"/>
      <c r="J88" s="575"/>
      <c r="K88" s="575"/>
      <c r="L88" s="41"/>
      <c r="M88" s="41"/>
      <c r="N88" s="41"/>
      <c r="O88" s="41"/>
      <c r="P88" s="41"/>
      <c r="Q88" s="41"/>
      <c r="R88" s="41"/>
    </row>
    <row r="89" spans="1:28">
      <c r="D89" s="1797"/>
      <c r="E89" s="575"/>
      <c r="F89" s="575"/>
      <c r="G89" s="575"/>
      <c r="H89" s="575"/>
      <c r="I89" s="575"/>
      <c r="J89" s="575"/>
      <c r="K89" s="575"/>
      <c r="L89" s="41"/>
      <c r="M89" s="41"/>
      <c r="N89" s="41"/>
      <c r="O89" s="41"/>
      <c r="P89" s="41"/>
      <c r="Q89" s="41"/>
      <c r="R89" s="41"/>
    </row>
    <row r="95" spans="1:28">
      <c r="A95" s="358"/>
      <c r="C95" s="3146" t="s">
        <v>214</v>
      </c>
      <c r="D95" s="3148" t="s">
        <v>215</v>
      </c>
      <c r="E95" s="3140">
        <v>41774</v>
      </c>
      <c r="F95" s="3141"/>
      <c r="G95" s="3141"/>
      <c r="H95" s="3142"/>
      <c r="I95" s="3140">
        <v>41802</v>
      </c>
      <c r="J95" s="3141"/>
      <c r="K95" s="3141"/>
      <c r="L95" s="3142"/>
      <c r="M95" s="3140">
        <v>41837</v>
      </c>
      <c r="N95" s="3141"/>
      <c r="O95" s="3141"/>
      <c r="P95" s="3142"/>
      <c r="Q95" s="3140">
        <v>41865</v>
      </c>
      <c r="R95" s="3141"/>
      <c r="S95" s="3141"/>
      <c r="T95" s="3142"/>
      <c r="U95" s="3140">
        <v>41898</v>
      </c>
      <c r="V95" s="3141"/>
      <c r="W95" s="3141"/>
      <c r="X95" s="3142"/>
      <c r="Y95" s="3140">
        <v>41926</v>
      </c>
      <c r="Z95" s="3141"/>
      <c r="AA95" s="3141"/>
      <c r="AB95" s="3142"/>
    </row>
    <row r="96" spans="1:28" ht="34.5">
      <c r="A96" s="358"/>
      <c r="C96" s="3147"/>
      <c r="D96" s="3149"/>
      <c r="E96" s="859" t="s">
        <v>231</v>
      </c>
      <c r="F96" s="859" t="s">
        <v>1064</v>
      </c>
      <c r="G96" s="859" t="s">
        <v>1065</v>
      </c>
      <c r="H96" s="859" t="s">
        <v>230</v>
      </c>
      <c r="I96" s="859" t="s">
        <v>231</v>
      </c>
      <c r="J96" s="859" t="s">
        <v>1064</v>
      </c>
      <c r="K96" s="859" t="s">
        <v>1065</v>
      </c>
      <c r="L96" s="859" t="s">
        <v>230</v>
      </c>
      <c r="M96" s="859" t="s">
        <v>231</v>
      </c>
      <c r="N96" s="859" t="s">
        <v>1064</v>
      </c>
      <c r="O96" s="859" t="s">
        <v>1065</v>
      </c>
      <c r="P96" s="859" t="s">
        <v>230</v>
      </c>
      <c r="Q96" s="859" t="s">
        <v>231</v>
      </c>
      <c r="R96" s="859" t="s">
        <v>1064</v>
      </c>
      <c r="S96" s="859" t="s">
        <v>1065</v>
      </c>
      <c r="T96" s="859" t="s">
        <v>230</v>
      </c>
      <c r="U96" s="859" t="s">
        <v>231</v>
      </c>
      <c r="V96" s="859" t="s">
        <v>1064</v>
      </c>
      <c r="W96" s="859" t="s">
        <v>1065</v>
      </c>
      <c r="X96" s="859" t="s">
        <v>230</v>
      </c>
      <c r="Y96" s="859" t="s">
        <v>231</v>
      </c>
      <c r="Z96" s="859" t="s">
        <v>1064</v>
      </c>
      <c r="AA96" s="859" t="s">
        <v>1065</v>
      </c>
      <c r="AB96" s="859" t="s">
        <v>230</v>
      </c>
    </row>
    <row r="97" spans="1:44" ht="23">
      <c r="A97" s="569" t="s">
        <v>226</v>
      </c>
      <c r="B97" s="569"/>
      <c r="C97" s="856" t="s">
        <v>212</v>
      </c>
      <c r="D97" s="857" t="s">
        <v>1063</v>
      </c>
      <c r="E97" s="864">
        <v>521</v>
      </c>
      <c r="F97" s="864">
        <v>442</v>
      </c>
      <c r="G97" s="864">
        <v>21</v>
      </c>
      <c r="H97" s="864">
        <v>17</v>
      </c>
      <c r="I97" s="864">
        <v>241</v>
      </c>
      <c r="J97" s="864">
        <v>146</v>
      </c>
      <c r="K97" s="864">
        <v>16</v>
      </c>
      <c r="L97" s="865">
        <v>12</v>
      </c>
      <c r="M97" s="866">
        <v>781</v>
      </c>
      <c r="N97" s="864">
        <v>361</v>
      </c>
      <c r="O97" s="864">
        <v>137</v>
      </c>
      <c r="P97" s="864">
        <v>510</v>
      </c>
      <c r="Q97" s="864">
        <v>287</v>
      </c>
      <c r="R97" s="864">
        <v>175</v>
      </c>
      <c r="S97" s="864">
        <v>11</v>
      </c>
      <c r="T97" s="864">
        <v>15</v>
      </c>
      <c r="U97" s="864">
        <v>169</v>
      </c>
      <c r="V97" s="864">
        <v>172</v>
      </c>
      <c r="W97" s="864">
        <v>8</v>
      </c>
      <c r="X97" s="864">
        <v>11</v>
      </c>
      <c r="Y97" s="864">
        <v>353</v>
      </c>
      <c r="Z97" s="864">
        <v>256</v>
      </c>
      <c r="AA97" s="864">
        <v>12</v>
      </c>
      <c r="AB97" s="864">
        <v>14</v>
      </c>
      <c r="AC97" s="569" t="s">
        <v>212</v>
      </c>
    </row>
    <row r="98" spans="1:44">
      <c r="A98" s="569"/>
      <c r="B98" s="569"/>
      <c r="C98" s="856" t="s">
        <v>213</v>
      </c>
      <c r="D98" s="857" t="s">
        <v>227</v>
      </c>
      <c r="E98" s="864">
        <v>751</v>
      </c>
      <c r="F98" s="864">
        <v>569</v>
      </c>
      <c r="G98" s="864">
        <v>18</v>
      </c>
      <c r="H98" s="864">
        <v>19</v>
      </c>
      <c r="I98" s="864">
        <v>330</v>
      </c>
      <c r="J98" s="864">
        <v>202</v>
      </c>
      <c r="K98" s="864">
        <v>18</v>
      </c>
      <c r="L98" s="866">
        <v>16</v>
      </c>
      <c r="M98" s="866">
        <v>914</v>
      </c>
      <c r="N98" s="864">
        <v>384</v>
      </c>
      <c r="O98" s="864">
        <v>154</v>
      </c>
      <c r="P98" s="864">
        <v>377</v>
      </c>
      <c r="Q98" s="864">
        <v>417</v>
      </c>
      <c r="R98" s="864">
        <v>233</v>
      </c>
      <c r="S98" s="864">
        <v>13</v>
      </c>
      <c r="T98" s="864">
        <v>36</v>
      </c>
      <c r="U98" s="864">
        <v>253</v>
      </c>
      <c r="V98" s="864">
        <v>208</v>
      </c>
      <c r="W98" s="864">
        <v>11</v>
      </c>
      <c r="X98" s="864">
        <v>16</v>
      </c>
      <c r="Y98" s="864">
        <v>490</v>
      </c>
      <c r="Z98" s="864">
        <v>336</v>
      </c>
      <c r="AA98" s="864">
        <v>13</v>
      </c>
      <c r="AB98" s="864">
        <v>21</v>
      </c>
      <c r="AC98" s="569" t="s">
        <v>213</v>
      </c>
    </row>
    <row r="99" spans="1:44">
      <c r="A99" s="569"/>
      <c r="B99" s="569"/>
      <c r="C99" s="856" t="s">
        <v>361</v>
      </c>
      <c r="D99" s="857" t="s">
        <v>363</v>
      </c>
      <c r="E99" s="864">
        <v>992</v>
      </c>
      <c r="F99" s="864">
        <v>470</v>
      </c>
      <c r="G99" s="864">
        <v>44</v>
      </c>
      <c r="H99" s="864">
        <v>189</v>
      </c>
      <c r="I99" s="864">
        <v>1315</v>
      </c>
      <c r="J99" s="864">
        <v>307</v>
      </c>
      <c r="K99" s="864">
        <v>25</v>
      </c>
      <c r="L99" s="865">
        <v>81</v>
      </c>
      <c r="M99" s="866">
        <v>1173</v>
      </c>
      <c r="N99" s="864">
        <v>107</v>
      </c>
      <c r="O99" s="864">
        <v>29</v>
      </c>
      <c r="P99" s="864">
        <v>119</v>
      </c>
      <c r="Q99" s="864">
        <v>538</v>
      </c>
      <c r="R99" s="864">
        <v>219</v>
      </c>
      <c r="S99" s="864">
        <v>15</v>
      </c>
      <c r="T99" s="864">
        <v>49</v>
      </c>
      <c r="U99" s="864">
        <v>677</v>
      </c>
      <c r="V99" s="864">
        <v>167</v>
      </c>
      <c r="W99" s="864">
        <v>9</v>
      </c>
      <c r="X99" s="864">
        <v>38</v>
      </c>
      <c r="Y99" s="864">
        <v>1004</v>
      </c>
      <c r="Z99" s="864">
        <v>602</v>
      </c>
      <c r="AA99" s="864">
        <v>5</v>
      </c>
      <c r="AB99" s="864">
        <v>28</v>
      </c>
      <c r="AC99" s="569" t="s">
        <v>361</v>
      </c>
    </row>
    <row r="100" spans="1:44">
      <c r="A100" s="569"/>
      <c r="B100" s="569"/>
      <c r="C100" s="856" t="s">
        <v>360</v>
      </c>
      <c r="D100" s="857" t="s">
        <v>362</v>
      </c>
      <c r="E100" s="864">
        <v>1329</v>
      </c>
      <c r="F100" s="864">
        <v>756</v>
      </c>
      <c r="G100" s="864">
        <v>24</v>
      </c>
      <c r="H100" s="864">
        <v>107</v>
      </c>
      <c r="I100" s="864">
        <v>1334</v>
      </c>
      <c r="J100" s="864">
        <v>809</v>
      </c>
      <c r="K100" s="864">
        <v>33</v>
      </c>
      <c r="L100" s="864">
        <v>93</v>
      </c>
      <c r="M100" s="866">
        <v>1345</v>
      </c>
      <c r="N100" s="864">
        <v>615</v>
      </c>
      <c r="O100" s="864">
        <v>80</v>
      </c>
      <c r="P100" s="864">
        <v>202</v>
      </c>
      <c r="Q100" s="864">
        <v>863</v>
      </c>
      <c r="R100" s="864">
        <v>528</v>
      </c>
      <c r="S100" s="864">
        <v>14</v>
      </c>
      <c r="T100" s="864">
        <v>109</v>
      </c>
      <c r="U100" s="864">
        <v>608</v>
      </c>
      <c r="V100" s="864">
        <v>272</v>
      </c>
      <c r="W100" s="864">
        <v>10</v>
      </c>
      <c r="X100" s="864">
        <v>82</v>
      </c>
      <c r="Y100" s="864">
        <v>1172</v>
      </c>
      <c r="Z100" s="864">
        <v>670</v>
      </c>
      <c r="AA100" s="864">
        <v>15</v>
      </c>
      <c r="AB100" s="864">
        <v>79</v>
      </c>
      <c r="AC100" s="569" t="s">
        <v>360</v>
      </c>
    </row>
    <row r="101" spans="1:44" ht="12.5" customHeight="1"/>
    <row r="102" spans="1:44" s="569" customFormat="1" ht="11.5">
      <c r="C102" s="3130" t="s">
        <v>214</v>
      </c>
      <c r="D102" s="3128" t="s">
        <v>215</v>
      </c>
      <c r="E102" s="3143" t="s">
        <v>103</v>
      </c>
      <c r="F102" s="3144"/>
      <c r="G102" s="3144"/>
      <c r="H102" s="3145"/>
      <c r="I102" s="3133">
        <v>42145</v>
      </c>
      <c r="J102" s="3134"/>
      <c r="K102" s="3134"/>
      <c r="L102" s="3135"/>
      <c r="M102" s="3133">
        <v>42171</v>
      </c>
      <c r="N102" s="3134"/>
      <c r="O102" s="3134"/>
      <c r="P102" s="3135"/>
      <c r="Q102" s="3133">
        <v>42192</v>
      </c>
      <c r="R102" s="3134"/>
      <c r="S102" s="3134"/>
      <c r="T102" s="3135"/>
      <c r="U102" s="3133">
        <v>42234</v>
      </c>
      <c r="V102" s="3134"/>
      <c r="W102" s="3134"/>
      <c r="X102" s="3135"/>
      <c r="Y102" s="3133">
        <v>42262</v>
      </c>
      <c r="Z102" s="3134"/>
      <c r="AA102" s="3134"/>
      <c r="AB102" s="3135"/>
      <c r="AC102" s="3133">
        <v>42303</v>
      </c>
      <c r="AD102" s="3134"/>
      <c r="AE102" s="3134"/>
      <c r="AF102" s="3135"/>
    </row>
    <row r="103" spans="1:44" s="569" customFormat="1" ht="34.5">
      <c r="C103" s="3138"/>
      <c r="D103" s="3139"/>
      <c r="E103" s="858" t="s">
        <v>231</v>
      </c>
      <c r="F103" s="858" t="s">
        <v>1064</v>
      </c>
      <c r="G103" s="858" t="s">
        <v>1065</v>
      </c>
      <c r="H103" s="858" t="s">
        <v>230</v>
      </c>
      <c r="I103" s="858" t="s">
        <v>231</v>
      </c>
      <c r="J103" s="858" t="s">
        <v>1064</v>
      </c>
      <c r="K103" s="858" t="s">
        <v>1065</v>
      </c>
      <c r="L103" s="858" t="s">
        <v>230</v>
      </c>
      <c r="M103" s="858" t="s">
        <v>231</v>
      </c>
      <c r="N103" s="858" t="s">
        <v>1064</v>
      </c>
      <c r="O103" s="858" t="s">
        <v>1065</v>
      </c>
      <c r="P103" s="858" t="s">
        <v>230</v>
      </c>
      <c r="Q103" s="858" t="s">
        <v>231</v>
      </c>
      <c r="R103" s="858" t="s">
        <v>1064</v>
      </c>
      <c r="S103" s="858" t="s">
        <v>1065</v>
      </c>
      <c r="T103" s="858" t="s">
        <v>230</v>
      </c>
      <c r="U103" s="858" t="s">
        <v>231</v>
      </c>
      <c r="V103" s="858" t="s">
        <v>1064</v>
      </c>
      <c r="W103" s="858" t="s">
        <v>1065</v>
      </c>
      <c r="X103" s="858" t="s">
        <v>230</v>
      </c>
      <c r="Y103" s="858" t="s">
        <v>231</v>
      </c>
      <c r="Z103" s="858" t="s">
        <v>1064</v>
      </c>
      <c r="AA103" s="858" t="s">
        <v>1065</v>
      </c>
      <c r="AB103" s="858" t="s">
        <v>230</v>
      </c>
      <c r="AC103" s="858" t="s">
        <v>231</v>
      </c>
      <c r="AD103" s="858" t="s">
        <v>1064</v>
      </c>
      <c r="AE103" s="858" t="s">
        <v>1065</v>
      </c>
      <c r="AF103" s="858" t="s">
        <v>230</v>
      </c>
    </row>
    <row r="104" spans="1:44" ht="28">
      <c r="A104" t="s">
        <v>226</v>
      </c>
      <c r="C104" s="110" t="s">
        <v>212</v>
      </c>
      <c r="D104" s="57" t="s">
        <v>1063</v>
      </c>
      <c r="E104" s="861">
        <v>325</v>
      </c>
      <c r="F104" s="861">
        <v>220.33333333333334</v>
      </c>
      <c r="G104" s="861">
        <v>18.666666666666668</v>
      </c>
      <c r="H104" s="861">
        <v>33.833333333333336</v>
      </c>
      <c r="I104" s="861">
        <v>499</v>
      </c>
      <c r="J104" s="861">
        <v>412</v>
      </c>
      <c r="K104" s="861">
        <v>27</v>
      </c>
      <c r="L104" s="862">
        <v>41</v>
      </c>
      <c r="M104" s="863">
        <v>327</v>
      </c>
      <c r="N104" s="861">
        <v>148</v>
      </c>
      <c r="O104" s="861">
        <v>18</v>
      </c>
      <c r="P104" s="861">
        <v>28</v>
      </c>
      <c r="Q104" s="861">
        <v>219</v>
      </c>
      <c r="R104" s="861">
        <v>110</v>
      </c>
      <c r="S104" s="861">
        <v>14</v>
      </c>
      <c r="T104" s="861">
        <v>29</v>
      </c>
      <c r="U104" s="861">
        <v>235</v>
      </c>
      <c r="V104" s="861">
        <v>148</v>
      </c>
      <c r="W104" s="861">
        <v>18</v>
      </c>
      <c r="X104" s="861">
        <v>22</v>
      </c>
      <c r="Y104" s="861">
        <v>271</v>
      </c>
      <c r="Z104" s="861">
        <v>127</v>
      </c>
      <c r="AA104" s="861">
        <v>22</v>
      </c>
      <c r="AB104" s="861">
        <v>75</v>
      </c>
      <c r="AC104" s="2">
        <v>399</v>
      </c>
      <c r="AD104" s="2">
        <v>377</v>
      </c>
      <c r="AE104" s="2">
        <v>13</v>
      </c>
      <c r="AF104" s="2">
        <v>8</v>
      </c>
      <c r="AG104" t="s">
        <v>212</v>
      </c>
    </row>
    <row r="105" spans="1:44">
      <c r="C105" s="110" t="s">
        <v>213</v>
      </c>
      <c r="D105" s="57" t="s">
        <v>227</v>
      </c>
      <c r="E105" s="861">
        <v>429.33333333333331</v>
      </c>
      <c r="F105" s="861">
        <v>177.16666666666666</v>
      </c>
      <c r="G105" s="861">
        <v>35.5</v>
      </c>
      <c r="H105" s="861">
        <v>85.833333333333329</v>
      </c>
      <c r="I105" s="861">
        <v>629</v>
      </c>
      <c r="J105" s="861">
        <v>387</v>
      </c>
      <c r="K105" s="861">
        <v>35</v>
      </c>
      <c r="L105" s="863">
        <v>93</v>
      </c>
      <c r="M105" s="863">
        <v>558</v>
      </c>
      <c r="N105" s="861">
        <v>224</v>
      </c>
      <c r="O105" s="861">
        <v>98</v>
      </c>
      <c r="P105" s="861">
        <v>256</v>
      </c>
      <c r="Q105" s="861">
        <v>297</v>
      </c>
      <c r="R105" s="861">
        <v>124</v>
      </c>
      <c r="S105" s="861">
        <v>16</v>
      </c>
      <c r="T105" s="861">
        <v>55</v>
      </c>
      <c r="U105" s="861">
        <v>435</v>
      </c>
      <c r="V105" s="861">
        <v>246</v>
      </c>
      <c r="W105" s="861">
        <v>40</v>
      </c>
      <c r="X105" s="861">
        <v>78</v>
      </c>
      <c r="Y105" s="861">
        <v>218</v>
      </c>
      <c r="Z105" s="861">
        <v>43</v>
      </c>
      <c r="AA105" s="861">
        <v>11</v>
      </c>
      <c r="AB105" s="861">
        <v>20</v>
      </c>
      <c r="AC105" s="2">
        <v>439</v>
      </c>
      <c r="AD105" s="2">
        <v>39</v>
      </c>
      <c r="AE105" s="2">
        <v>13</v>
      </c>
      <c r="AF105" s="2">
        <v>13</v>
      </c>
      <c r="AG105" t="s">
        <v>213</v>
      </c>
    </row>
    <row r="106" spans="1:44">
      <c r="C106" s="110" t="s">
        <v>361</v>
      </c>
      <c r="D106" s="57" t="s">
        <v>363</v>
      </c>
      <c r="E106" s="861">
        <v>640.33333333333337</v>
      </c>
      <c r="F106" s="861">
        <v>283.33333333333331</v>
      </c>
      <c r="G106" s="861">
        <v>26.166666666666668</v>
      </c>
      <c r="H106" s="861">
        <v>57.666666666666664</v>
      </c>
      <c r="I106" s="861">
        <v>547</v>
      </c>
      <c r="J106" s="861">
        <v>284</v>
      </c>
      <c r="K106" s="861">
        <v>28</v>
      </c>
      <c r="L106" s="862">
        <v>52</v>
      </c>
      <c r="M106" s="863">
        <v>664</v>
      </c>
      <c r="N106" s="861">
        <v>147</v>
      </c>
      <c r="O106" s="861">
        <v>27</v>
      </c>
      <c r="P106" s="861">
        <v>48</v>
      </c>
      <c r="Q106" s="861">
        <v>618</v>
      </c>
      <c r="R106" s="861">
        <v>139</v>
      </c>
      <c r="S106" s="861">
        <v>35</v>
      </c>
      <c r="T106" s="861">
        <v>103</v>
      </c>
      <c r="U106" s="861">
        <v>644</v>
      </c>
      <c r="V106" s="861">
        <v>221</v>
      </c>
      <c r="W106" s="861">
        <v>32</v>
      </c>
      <c r="X106" s="861">
        <v>72</v>
      </c>
      <c r="Y106" s="861">
        <v>669</v>
      </c>
      <c r="Z106" s="861">
        <v>492</v>
      </c>
      <c r="AA106" s="861">
        <v>16</v>
      </c>
      <c r="AB106" s="861">
        <v>33</v>
      </c>
      <c r="AC106" s="2">
        <v>700</v>
      </c>
      <c r="AD106" s="2">
        <v>417</v>
      </c>
      <c r="AE106" s="2">
        <v>19</v>
      </c>
      <c r="AF106" s="2">
        <v>38</v>
      </c>
      <c r="AG106" t="s">
        <v>361</v>
      </c>
    </row>
    <row r="107" spans="1:44">
      <c r="C107" s="110" t="s">
        <v>1066</v>
      </c>
      <c r="D107" s="57" t="s">
        <v>1067</v>
      </c>
      <c r="E107" s="861">
        <v>1370</v>
      </c>
      <c r="F107" s="861"/>
      <c r="G107" s="861"/>
      <c r="H107" s="861">
        <v>24</v>
      </c>
      <c r="I107" s="861"/>
      <c r="J107" s="861"/>
      <c r="K107" s="861"/>
      <c r="L107" s="861"/>
      <c r="M107" s="863">
        <v>1374</v>
      </c>
      <c r="N107" s="861"/>
      <c r="O107" s="861"/>
      <c r="P107" s="861">
        <v>46</v>
      </c>
      <c r="Q107" s="861"/>
      <c r="R107" s="861"/>
      <c r="S107" s="861"/>
      <c r="T107" s="861"/>
      <c r="U107" s="861"/>
      <c r="V107" s="861"/>
      <c r="W107" s="861"/>
      <c r="X107" s="861"/>
      <c r="Y107" s="861"/>
      <c r="Z107" s="861"/>
      <c r="AA107" s="861"/>
      <c r="AB107" s="861"/>
      <c r="AC107" s="2">
        <v>1366</v>
      </c>
      <c r="AD107" s="2"/>
      <c r="AE107" s="2"/>
      <c r="AF107" s="2">
        <v>2</v>
      </c>
      <c r="AG107" t="s">
        <v>1066</v>
      </c>
    </row>
    <row r="108" spans="1:44">
      <c r="C108" s="110" t="s">
        <v>1068</v>
      </c>
      <c r="D108" s="57" t="s">
        <v>1069</v>
      </c>
      <c r="E108" s="861">
        <v>1951.5</v>
      </c>
      <c r="F108" s="861"/>
      <c r="G108" s="861"/>
      <c r="H108" s="861">
        <v>80.5</v>
      </c>
      <c r="I108" s="861"/>
      <c r="J108" s="861"/>
      <c r="K108" s="861"/>
      <c r="L108" s="861"/>
      <c r="M108" s="863">
        <v>1654</v>
      </c>
      <c r="N108" s="861"/>
      <c r="O108" s="861"/>
      <c r="P108" s="861">
        <v>75</v>
      </c>
      <c r="Q108" s="861"/>
      <c r="R108" s="861"/>
      <c r="S108" s="861"/>
      <c r="T108" s="861"/>
      <c r="U108" s="861"/>
      <c r="V108" s="861"/>
      <c r="W108" s="861"/>
      <c r="X108" s="861"/>
      <c r="Y108" s="861"/>
      <c r="Z108" s="861"/>
      <c r="AA108" s="861"/>
      <c r="AB108" s="861"/>
      <c r="AC108" s="2">
        <v>2249</v>
      </c>
      <c r="AD108" s="2"/>
      <c r="AE108" s="2"/>
      <c r="AF108" s="2">
        <v>86</v>
      </c>
      <c r="AG108" t="s">
        <v>1068</v>
      </c>
    </row>
    <row r="109" spans="1:44">
      <c r="C109" s="110" t="s">
        <v>360</v>
      </c>
      <c r="D109" s="57" t="s">
        <v>362</v>
      </c>
      <c r="E109" s="861">
        <v>1439.8333333333333</v>
      </c>
      <c r="F109" s="861">
        <v>825</v>
      </c>
      <c r="G109" s="861">
        <v>209.83333333333334</v>
      </c>
      <c r="H109" s="861">
        <v>125.33333333333333</v>
      </c>
      <c r="I109" s="861">
        <v>1178</v>
      </c>
      <c r="J109" s="861">
        <v>710</v>
      </c>
      <c r="K109" s="861">
        <v>55</v>
      </c>
      <c r="L109" s="862">
        <v>91</v>
      </c>
      <c r="M109" s="863">
        <v>1663</v>
      </c>
      <c r="N109" s="861">
        <v>674</v>
      </c>
      <c r="O109" s="861">
        <v>621</v>
      </c>
      <c r="P109" s="861">
        <v>194</v>
      </c>
      <c r="Q109" s="861">
        <v>1017</v>
      </c>
      <c r="R109" s="861">
        <v>434</v>
      </c>
      <c r="S109" s="861">
        <v>66</v>
      </c>
      <c r="T109" s="861">
        <v>114</v>
      </c>
      <c r="U109" s="861">
        <v>1883</v>
      </c>
      <c r="V109" s="861">
        <v>1167</v>
      </c>
      <c r="W109" s="861">
        <v>181</v>
      </c>
      <c r="X109" s="861">
        <v>174</v>
      </c>
      <c r="Y109" s="861">
        <v>1121</v>
      </c>
      <c r="Z109" s="861">
        <v>788</v>
      </c>
      <c r="AA109" s="861">
        <v>9</v>
      </c>
      <c r="AB109" s="861">
        <v>97</v>
      </c>
      <c r="AC109" s="2">
        <v>1777</v>
      </c>
      <c r="AD109" s="2">
        <v>1177</v>
      </c>
      <c r="AE109" s="2">
        <v>327</v>
      </c>
      <c r="AF109" s="2">
        <v>82</v>
      </c>
      <c r="AG109" t="s">
        <v>360</v>
      </c>
    </row>
    <row r="111" spans="1:44" ht="14" customHeight="1">
      <c r="A111" s="860"/>
      <c r="B111" s="860"/>
      <c r="C111" s="3130" t="s">
        <v>214</v>
      </c>
      <c r="D111" s="3128" t="s">
        <v>215</v>
      </c>
      <c r="E111" s="3133">
        <v>41361</v>
      </c>
      <c r="F111" s="3134"/>
      <c r="G111" s="3134"/>
      <c r="H111" s="3135"/>
      <c r="I111" s="3133">
        <v>41389</v>
      </c>
      <c r="J111" s="3134"/>
      <c r="K111" s="3134"/>
      <c r="L111" s="3135"/>
      <c r="M111" s="3133">
        <v>41415</v>
      </c>
      <c r="N111" s="3134"/>
      <c r="O111" s="3134"/>
      <c r="P111" s="3135"/>
      <c r="Q111" s="3133">
        <v>41443</v>
      </c>
      <c r="R111" s="3134"/>
      <c r="S111" s="3134"/>
      <c r="T111" s="3135"/>
      <c r="U111" s="3133">
        <v>41478</v>
      </c>
      <c r="V111" s="3134"/>
      <c r="W111" s="3134"/>
      <c r="X111" s="3135"/>
      <c r="Y111" s="3133">
        <v>41513</v>
      </c>
      <c r="Z111" s="3134"/>
      <c r="AA111" s="3134"/>
      <c r="AB111" s="3135"/>
      <c r="AC111" s="3133">
        <v>41542</v>
      </c>
      <c r="AD111" s="3134"/>
      <c r="AE111" s="3134"/>
      <c r="AF111" s="3135"/>
      <c r="AG111" s="3133">
        <v>41570</v>
      </c>
      <c r="AH111" s="3134"/>
      <c r="AI111" s="3134"/>
      <c r="AJ111" s="3135"/>
      <c r="AK111" s="3133">
        <v>41603</v>
      </c>
      <c r="AL111" s="3134"/>
      <c r="AM111" s="3134"/>
      <c r="AN111" s="3135"/>
      <c r="AO111" s="3136" t="s">
        <v>103</v>
      </c>
      <c r="AP111" s="3137"/>
      <c r="AQ111" s="3137"/>
      <c r="AR111" s="3137"/>
    </row>
    <row r="112" spans="1:44" ht="34.5">
      <c r="A112" s="860"/>
      <c r="B112" s="860"/>
      <c r="C112" s="3138"/>
      <c r="D112" s="3139"/>
      <c r="E112" s="858" t="s">
        <v>231</v>
      </c>
      <c r="F112" s="858" t="s">
        <v>1064</v>
      </c>
      <c r="G112" s="858" t="s">
        <v>1065</v>
      </c>
      <c r="H112" s="858" t="s">
        <v>230</v>
      </c>
      <c r="I112" s="858" t="s">
        <v>231</v>
      </c>
      <c r="J112" s="858" t="s">
        <v>1064</v>
      </c>
      <c r="K112" s="858" t="s">
        <v>1065</v>
      </c>
      <c r="L112" s="858" t="s">
        <v>230</v>
      </c>
      <c r="M112" s="858" t="s">
        <v>231</v>
      </c>
      <c r="N112" s="858" t="s">
        <v>1064</v>
      </c>
      <c r="O112" s="858" t="s">
        <v>1065</v>
      </c>
      <c r="P112" s="858" t="s">
        <v>230</v>
      </c>
      <c r="Q112" s="858" t="s">
        <v>231</v>
      </c>
      <c r="R112" s="858" t="s">
        <v>1064</v>
      </c>
      <c r="S112" s="858" t="s">
        <v>1065</v>
      </c>
      <c r="T112" s="858" t="s">
        <v>230</v>
      </c>
      <c r="U112" s="858" t="s">
        <v>231</v>
      </c>
      <c r="V112" s="858" t="s">
        <v>1064</v>
      </c>
      <c r="W112" s="858" t="s">
        <v>1065</v>
      </c>
      <c r="X112" s="858" t="s">
        <v>230</v>
      </c>
      <c r="Y112" s="858" t="s">
        <v>231</v>
      </c>
      <c r="Z112" s="858" t="s">
        <v>1064</v>
      </c>
      <c r="AA112" s="858" t="s">
        <v>1065</v>
      </c>
      <c r="AB112" s="858" t="s">
        <v>230</v>
      </c>
      <c r="AC112" s="858" t="s">
        <v>231</v>
      </c>
      <c r="AD112" s="858" t="s">
        <v>1064</v>
      </c>
      <c r="AE112" s="858" t="s">
        <v>1065</v>
      </c>
      <c r="AF112" s="858" t="s">
        <v>230</v>
      </c>
      <c r="AG112" s="858" t="s">
        <v>231</v>
      </c>
      <c r="AH112" s="858" t="s">
        <v>1064</v>
      </c>
      <c r="AI112" s="858" t="s">
        <v>1065</v>
      </c>
      <c r="AJ112" s="858" t="s">
        <v>230</v>
      </c>
      <c r="AK112" s="858" t="s">
        <v>231</v>
      </c>
      <c r="AL112" s="858" t="s">
        <v>1064</v>
      </c>
      <c r="AM112" s="858" t="s">
        <v>1065</v>
      </c>
      <c r="AN112" s="858" t="s">
        <v>230</v>
      </c>
      <c r="AO112" s="858" t="s">
        <v>231</v>
      </c>
      <c r="AP112" s="858" t="s">
        <v>1064</v>
      </c>
      <c r="AQ112" s="858" t="s">
        <v>1065</v>
      </c>
      <c r="AR112" s="858" t="s">
        <v>230</v>
      </c>
    </row>
    <row r="113" spans="1:44" ht="28">
      <c r="A113" t="s">
        <v>226</v>
      </c>
      <c r="C113" t="s">
        <v>212</v>
      </c>
      <c r="D113" s="90" t="s">
        <v>1063</v>
      </c>
      <c r="Q113">
        <v>265</v>
      </c>
      <c r="R113">
        <v>76</v>
      </c>
      <c r="S113">
        <v>27</v>
      </c>
      <c r="T113">
        <v>58</v>
      </c>
      <c r="U113">
        <v>414</v>
      </c>
      <c r="V113">
        <v>236</v>
      </c>
      <c r="W113">
        <v>15</v>
      </c>
      <c r="X113">
        <v>15</v>
      </c>
      <c r="Y113">
        <v>826</v>
      </c>
      <c r="Z113">
        <v>339</v>
      </c>
      <c r="AA113">
        <v>47</v>
      </c>
      <c r="AB113">
        <v>27</v>
      </c>
      <c r="AC113">
        <v>385</v>
      </c>
      <c r="AD113">
        <v>221</v>
      </c>
      <c r="AE113">
        <v>12</v>
      </c>
      <c r="AF113">
        <v>26</v>
      </c>
      <c r="AG113">
        <v>348</v>
      </c>
      <c r="AH113">
        <v>208</v>
      </c>
      <c r="AI113">
        <v>8</v>
      </c>
      <c r="AJ113">
        <v>11</v>
      </c>
      <c r="AK113">
        <v>255</v>
      </c>
      <c r="AL113">
        <v>251</v>
      </c>
      <c r="AM113">
        <v>56</v>
      </c>
      <c r="AN113">
        <v>11</v>
      </c>
      <c r="AO113">
        <v>415.5</v>
      </c>
      <c r="AP113">
        <v>221.83333333333334</v>
      </c>
      <c r="AQ113">
        <v>27.5</v>
      </c>
      <c r="AR113">
        <v>24.666666666666668</v>
      </c>
    </row>
    <row r="114" spans="1:44">
      <c r="C114" t="s">
        <v>213</v>
      </c>
      <c r="D114" s="90" t="s">
        <v>227</v>
      </c>
      <c r="Q114">
        <v>133</v>
      </c>
      <c r="R114">
        <v>97</v>
      </c>
      <c r="S114">
        <v>27</v>
      </c>
      <c r="T114">
        <v>12</v>
      </c>
      <c r="U114">
        <v>758</v>
      </c>
      <c r="V114">
        <v>309</v>
      </c>
      <c r="W114">
        <v>21</v>
      </c>
      <c r="X114">
        <v>36</v>
      </c>
      <c r="Y114">
        <v>672</v>
      </c>
      <c r="Z114">
        <v>244</v>
      </c>
      <c r="AA114">
        <v>48</v>
      </c>
      <c r="AB114">
        <v>35</v>
      </c>
      <c r="AC114">
        <v>615</v>
      </c>
      <c r="AD114">
        <v>375</v>
      </c>
      <c r="AE114">
        <v>21</v>
      </c>
      <c r="AF114">
        <v>48</v>
      </c>
      <c r="AG114">
        <v>400</v>
      </c>
      <c r="AH114">
        <v>213</v>
      </c>
      <c r="AI114">
        <v>14</v>
      </c>
      <c r="AJ114">
        <v>5</v>
      </c>
      <c r="AK114">
        <v>268</v>
      </c>
      <c r="AL114">
        <v>143</v>
      </c>
      <c r="AM114">
        <v>36</v>
      </c>
      <c r="AN114">
        <v>11</v>
      </c>
      <c r="AO114">
        <v>474.33333333333331</v>
      </c>
      <c r="AP114">
        <v>230.16666666666666</v>
      </c>
      <c r="AQ114">
        <v>27.833333333333332</v>
      </c>
      <c r="AR114">
        <v>24.5</v>
      </c>
    </row>
    <row r="115" spans="1:44">
      <c r="C115" t="s">
        <v>361</v>
      </c>
      <c r="D115" s="90" t="s">
        <v>363</v>
      </c>
      <c r="E115" s="90">
        <v>713</v>
      </c>
      <c r="F115" s="90">
        <v>480</v>
      </c>
      <c r="G115" s="90">
        <v>70</v>
      </c>
      <c r="H115" s="90">
        <v>66</v>
      </c>
      <c r="I115" s="90">
        <v>619</v>
      </c>
      <c r="J115" s="90">
        <v>327</v>
      </c>
      <c r="K115">
        <v>24</v>
      </c>
      <c r="L115">
        <v>46</v>
      </c>
      <c r="M115">
        <v>679</v>
      </c>
      <c r="N115">
        <v>507</v>
      </c>
      <c r="O115">
        <v>30</v>
      </c>
      <c r="P115">
        <v>61</v>
      </c>
      <c r="Q115">
        <v>724</v>
      </c>
      <c r="R115">
        <v>394</v>
      </c>
      <c r="S115">
        <v>37</v>
      </c>
      <c r="T115">
        <v>78</v>
      </c>
      <c r="U115">
        <v>774</v>
      </c>
      <c r="V115">
        <v>349</v>
      </c>
      <c r="W115">
        <v>17</v>
      </c>
      <c r="X115">
        <v>102</v>
      </c>
      <c r="Y115">
        <v>747</v>
      </c>
      <c r="Z115">
        <v>78</v>
      </c>
      <c r="AA115">
        <v>43</v>
      </c>
      <c r="AB115">
        <v>36</v>
      </c>
      <c r="AC115">
        <v>902</v>
      </c>
      <c r="AD115">
        <v>175</v>
      </c>
      <c r="AE115">
        <v>11</v>
      </c>
      <c r="AF115">
        <v>86</v>
      </c>
      <c r="AG115">
        <v>639</v>
      </c>
      <c r="AH115">
        <v>319</v>
      </c>
      <c r="AI115">
        <v>15</v>
      </c>
      <c r="AJ115">
        <v>66</v>
      </c>
      <c r="AK115">
        <v>694</v>
      </c>
      <c r="AL115">
        <v>380</v>
      </c>
      <c r="AM115">
        <v>55</v>
      </c>
      <c r="AN115">
        <v>44</v>
      </c>
      <c r="AO115">
        <v>721.22222222222217</v>
      </c>
      <c r="AP115">
        <v>334.33333333333331</v>
      </c>
      <c r="AQ115">
        <v>33.555555555555557</v>
      </c>
      <c r="AR115">
        <v>65</v>
      </c>
    </row>
    <row r="116" spans="1:44">
      <c r="C116" t="s">
        <v>360</v>
      </c>
      <c r="D116" s="90" t="s">
        <v>362</v>
      </c>
      <c r="E116" s="90">
        <v>973</v>
      </c>
      <c r="F116" s="90">
        <v>604</v>
      </c>
      <c r="G116" s="90">
        <v>36</v>
      </c>
      <c r="H116" s="90">
        <v>111</v>
      </c>
      <c r="I116" s="90">
        <v>1137</v>
      </c>
      <c r="J116" s="90">
        <v>474</v>
      </c>
      <c r="K116">
        <v>20</v>
      </c>
      <c r="L116">
        <v>166</v>
      </c>
      <c r="M116">
        <v>1328</v>
      </c>
      <c r="N116">
        <v>602</v>
      </c>
      <c r="O116">
        <v>80</v>
      </c>
      <c r="P116">
        <v>147</v>
      </c>
      <c r="Q116">
        <v>674</v>
      </c>
      <c r="R116">
        <v>282</v>
      </c>
      <c r="S116">
        <v>50</v>
      </c>
      <c r="T116">
        <v>128</v>
      </c>
      <c r="U116">
        <v>807</v>
      </c>
      <c r="V116">
        <v>267</v>
      </c>
      <c r="W116">
        <v>37</v>
      </c>
      <c r="X116">
        <v>238</v>
      </c>
      <c r="Y116">
        <v>2026</v>
      </c>
      <c r="Z116">
        <v>1116</v>
      </c>
      <c r="AA116">
        <v>49</v>
      </c>
      <c r="AB116">
        <v>556</v>
      </c>
      <c r="AC116">
        <v>1635</v>
      </c>
      <c r="AD116">
        <v>632</v>
      </c>
      <c r="AE116">
        <v>44</v>
      </c>
      <c r="AF116">
        <v>137</v>
      </c>
      <c r="AG116">
        <v>2147</v>
      </c>
      <c r="AH116">
        <v>1325</v>
      </c>
      <c r="AI116">
        <v>222</v>
      </c>
      <c r="AJ116">
        <v>192</v>
      </c>
      <c r="AK116">
        <v>1670</v>
      </c>
      <c r="AL116">
        <v>1081</v>
      </c>
      <c r="AM116">
        <v>52</v>
      </c>
      <c r="AN116">
        <v>158</v>
      </c>
      <c r="AO116">
        <v>1377.4444444444443</v>
      </c>
      <c r="AP116">
        <v>709.22222222222217</v>
      </c>
      <c r="AQ116">
        <v>65.555555555555557</v>
      </c>
      <c r="AR116">
        <v>203.66666666666666</v>
      </c>
    </row>
    <row r="119" spans="1:44">
      <c r="A119" s="3127" t="s">
        <v>236</v>
      </c>
      <c r="B119" s="1034"/>
      <c r="C119" s="3130" t="s">
        <v>214</v>
      </c>
      <c r="D119" s="3128" t="s">
        <v>215</v>
      </c>
      <c r="E119" s="3020" t="s">
        <v>90</v>
      </c>
      <c r="F119" s="3132" t="s">
        <v>69</v>
      </c>
      <c r="G119" s="3132"/>
      <c r="H119" s="3132" t="s">
        <v>266</v>
      </c>
      <c r="I119" s="3132"/>
      <c r="J119" s="3132" t="s">
        <v>260</v>
      </c>
      <c r="K119" s="3132"/>
      <c r="L119" s="3020" t="s">
        <v>72</v>
      </c>
      <c r="M119" s="3020"/>
      <c r="N119" s="3020" t="s">
        <v>73</v>
      </c>
      <c r="O119" s="3020"/>
      <c r="P119" s="3020" t="s">
        <v>74</v>
      </c>
      <c r="Q119" s="3020"/>
      <c r="R119" s="3020" t="s">
        <v>75</v>
      </c>
      <c r="S119" s="3020"/>
      <c r="T119" s="3020" t="s">
        <v>103</v>
      </c>
      <c r="U119" s="3020"/>
      <c r="V119" s="3020" t="s">
        <v>1070</v>
      </c>
      <c r="W119" s="3020"/>
    </row>
    <row r="120" spans="1:44" ht="34.5">
      <c r="A120" s="3127"/>
      <c r="B120" s="1034"/>
      <c r="C120" s="3131"/>
      <c r="D120" s="3129"/>
      <c r="E120" s="3020"/>
      <c r="F120" s="872" t="s">
        <v>231</v>
      </c>
      <c r="G120" s="872" t="s">
        <v>230</v>
      </c>
      <c r="H120" s="872" t="s">
        <v>231</v>
      </c>
      <c r="I120" s="872" t="s">
        <v>230</v>
      </c>
      <c r="J120" s="872" t="s">
        <v>231</v>
      </c>
      <c r="K120" s="872" t="s">
        <v>230</v>
      </c>
      <c r="L120" s="872" t="s">
        <v>231</v>
      </c>
      <c r="M120" s="872" t="s">
        <v>230</v>
      </c>
      <c r="N120" s="872" t="s">
        <v>231</v>
      </c>
      <c r="O120" s="872" t="s">
        <v>230</v>
      </c>
      <c r="P120" s="872" t="s">
        <v>231</v>
      </c>
      <c r="Q120" s="872" t="s">
        <v>230</v>
      </c>
      <c r="R120" s="872" t="s">
        <v>231</v>
      </c>
      <c r="S120" s="872" t="s">
        <v>230</v>
      </c>
      <c r="T120" s="872" t="s">
        <v>231</v>
      </c>
      <c r="U120" s="872" t="s">
        <v>230</v>
      </c>
      <c r="V120" s="872" t="s">
        <v>231</v>
      </c>
      <c r="W120" s="872" t="s">
        <v>230</v>
      </c>
    </row>
    <row r="121" spans="1:44">
      <c r="A121" s="3087" t="s">
        <v>226</v>
      </c>
      <c r="B121" s="1033"/>
      <c r="C121" s="3087" t="s">
        <v>212</v>
      </c>
      <c r="D121" s="3087" t="s">
        <v>1063</v>
      </c>
      <c r="E121" s="867">
        <v>2013</v>
      </c>
      <c r="F121" s="869"/>
      <c r="G121" s="869"/>
      <c r="H121" s="869">
        <v>265</v>
      </c>
      <c r="I121" s="869">
        <v>58</v>
      </c>
      <c r="J121" s="869">
        <v>414</v>
      </c>
      <c r="K121" s="869">
        <v>15</v>
      </c>
      <c r="L121" s="869">
        <v>826</v>
      </c>
      <c r="M121" s="869">
        <v>27</v>
      </c>
      <c r="N121" s="869">
        <v>385</v>
      </c>
      <c r="O121" s="869">
        <v>26</v>
      </c>
      <c r="P121" s="869">
        <v>348</v>
      </c>
      <c r="Q121" s="869">
        <v>11</v>
      </c>
      <c r="R121" s="869">
        <v>255</v>
      </c>
      <c r="S121" s="869">
        <v>11</v>
      </c>
      <c r="T121" s="40">
        <f>AVERAGE(F121,H121,J121,L121,N121,P121,R121)</f>
        <v>415.5</v>
      </c>
      <c r="U121" s="40">
        <f>AVERAGE(G121,I121,K121,M121,O121,Q121,S121)</f>
        <v>24.666666666666668</v>
      </c>
      <c r="V121" s="40">
        <f>AVERAGE(T121:T124)</f>
        <v>478.29166666666663</v>
      </c>
      <c r="W121" s="40">
        <f>AVERAGE(U121:U124)</f>
        <v>52.875</v>
      </c>
    </row>
    <row r="122" spans="1:44">
      <c r="A122" s="3087"/>
      <c r="B122" s="1033"/>
      <c r="C122" s="3087"/>
      <c r="D122" s="3087"/>
      <c r="E122" s="867">
        <v>2014</v>
      </c>
      <c r="F122" s="869">
        <v>521</v>
      </c>
      <c r="G122" s="869">
        <v>17</v>
      </c>
      <c r="H122" s="869">
        <v>241</v>
      </c>
      <c r="I122" s="869">
        <v>12</v>
      </c>
      <c r="J122" s="869">
        <v>781</v>
      </c>
      <c r="K122" s="869">
        <v>510</v>
      </c>
      <c r="L122" s="869">
        <v>287</v>
      </c>
      <c r="M122" s="869">
        <v>11</v>
      </c>
      <c r="N122" s="869">
        <v>169</v>
      </c>
      <c r="O122" s="869">
        <v>11</v>
      </c>
      <c r="P122" s="869">
        <v>353</v>
      </c>
      <c r="Q122" s="869">
        <v>14</v>
      </c>
      <c r="R122" s="869"/>
      <c r="S122" s="869"/>
      <c r="T122" s="40">
        <f t="shared" ref="T122:T128" si="2">AVERAGE(F122,H122,J122,L122,N122,P122,R122)</f>
        <v>392</v>
      </c>
      <c r="U122" s="40">
        <f t="shared" ref="U122:U128" si="3">AVERAGE(G122,I122,K122,M122,O122,Q122,S122)</f>
        <v>95.833333333333329</v>
      </c>
    </row>
    <row r="123" spans="1:44">
      <c r="A123" s="3087"/>
      <c r="B123" s="1033"/>
      <c r="C123" s="3087"/>
      <c r="D123" s="3087"/>
      <c r="E123" s="867">
        <v>2015</v>
      </c>
      <c r="F123" s="870">
        <v>499</v>
      </c>
      <c r="G123" s="869">
        <v>41</v>
      </c>
      <c r="H123" s="869">
        <v>327</v>
      </c>
      <c r="I123" s="869">
        <v>28</v>
      </c>
      <c r="J123" s="869">
        <v>219</v>
      </c>
      <c r="K123" s="869">
        <v>29</v>
      </c>
      <c r="L123" s="869">
        <v>235</v>
      </c>
      <c r="M123" s="869">
        <v>22</v>
      </c>
      <c r="N123" s="869">
        <v>271</v>
      </c>
      <c r="O123" s="869">
        <v>75</v>
      </c>
      <c r="P123" s="869">
        <v>339</v>
      </c>
      <c r="Q123" s="869">
        <v>8</v>
      </c>
      <c r="R123" s="869"/>
      <c r="S123" s="869"/>
      <c r="T123" s="40">
        <f t="shared" si="2"/>
        <v>315</v>
      </c>
      <c r="U123" s="40">
        <f t="shared" si="3"/>
        <v>33.833333333333336</v>
      </c>
    </row>
    <row r="124" spans="1:44">
      <c r="A124" s="3087"/>
      <c r="B124" s="1033"/>
      <c r="C124" s="3087"/>
      <c r="D124" s="3087"/>
      <c r="E124" s="867">
        <v>2016</v>
      </c>
      <c r="F124" s="868">
        <v>473</v>
      </c>
      <c r="G124" s="868">
        <v>113</v>
      </c>
      <c r="H124" s="868">
        <v>266</v>
      </c>
      <c r="I124" s="868">
        <v>15</v>
      </c>
      <c r="J124" s="868">
        <v>757</v>
      </c>
      <c r="K124" s="868">
        <v>28</v>
      </c>
      <c r="L124" s="868">
        <v>976</v>
      </c>
      <c r="M124" s="868">
        <v>26</v>
      </c>
      <c r="N124" s="868">
        <v>976</v>
      </c>
      <c r="O124" s="868">
        <v>28</v>
      </c>
      <c r="P124" s="868">
        <v>1296</v>
      </c>
      <c r="Q124" s="868">
        <v>133</v>
      </c>
      <c r="R124" s="871"/>
      <c r="S124" s="871"/>
      <c r="T124" s="40">
        <f t="shared" si="2"/>
        <v>790.66666666666663</v>
      </c>
      <c r="U124" s="40">
        <f t="shared" si="3"/>
        <v>57.166666666666664</v>
      </c>
    </row>
    <row r="125" spans="1:44">
      <c r="A125" s="3087"/>
      <c r="B125" s="1033"/>
      <c r="C125" s="3087" t="s">
        <v>213</v>
      </c>
      <c r="D125" s="3087" t="s">
        <v>227</v>
      </c>
      <c r="E125" s="867">
        <v>2013</v>
      </c>
      <c r="F125" s="869"/>
      <c r="G125" s="869"/>
      <c r="H125" s="869">
        <v>133</v>
      </c>
      <c r="I125" s="869">
        <v>12</v>
      </c>
      <c r="J125" s="869">
        <v>758</v>
      </c>
      <c r="K125" s="869">
        <v>36</v>
      </c>
      <c r="L125" s="869">
        <v>672</v>
      </c>
      <c r="M125" s="869">
        <v>35</v>
      </c>
      <c r="N125" s="869">
        <v>375</v>
      </c>
      <c r="O125" s="869">
        <v>48</v>
      </c>
      <c r="P125" s="869">
        <v>400</v>
      </c>
      <c r="Q125" s="869">
        <v>66</v>
      </c>
      <c r="R125" s="869">
        <v>694</v>
      </c>
      <c r="S125" s="869">
        <v>44</v>
      </c>
      <c r="T125" s="40">
        <f t="shared" si="2"/>
        <v>505.33333333333331</v>
      </c>
      <c r="U125" s="40">
        <f t="shared" si="3"/>
        <v>40.166666666666664</v>
      </c>
      <c r="V125" s="40">
        <f>AVERAGE(T125:T128)</f>
        <v>437.45833333333331</v>
      </c>
      <c r="W125" s="40">
        <f>AVERAGE(U125:U128)</f>
        <v>61.583333333333336</v>
      </c>
    </row>
    <row r="126" spans="1:44">
      <c r="A126" s="3087"/>
      <c r="B126" s="1033"/>
      <c r="C126" s="3087"/>
      <c r="D126" s="3087"/>
      <c r="E126" s="867">
        <v>2014</v>
      </c>
      <c r="F126" s="869">
        <v>751</v>
      </c>
      <c r="G126" s="869">
        <v>19</v>
      </c>
      <c r="H126" s="869">
        <v>330</v>
      </c>
      <c r="I126" s="869">
        <v>16</v>
      </c>
      <c r="J126" s="869">
        <v>914</v>
      </c>
      <c r="K126" s="871">
        <v>377</v>
      </c>
      <c r="L126" s="871">
        <v>214</v>
      </c>
      <c r="M126" s="871">
        <v>13</v>
      </c>
      <c r="N126" s="871">
        <v>253</v>
      </c>
      <c r="O126" s="871">
        <v>16</v>
      </c>
      <c r="P126" s="871">
        <v>490</v>
      </c>
      <c r="Q126" s="871">
        <v>21</v>
      </c>
      <c r="R126" s="869"/>
      <c r="S126" s="869"/>
      <c r="T126" s="40">
        <f t="shared" si="2"/>
        <v>492</v>
      </c>
      <c r="U126" s="40">
        <f t="shared" si="3"/>
        <v>77</v>
      </c>
    </row>
    <row r="127" spans="1:44">
      <c r="A127" s="3087"/>
      <c r="B127" s="1033"/>
      <c r="C127" s="3087"/>
      <c r="D127" s="3087"/>
      <c r="E127" s="867">
        <v>2015</v>
      </c>
      <c r="F127" s="869">
        <v>629</v>
      </c>
      <c r="G127" s="869">
        <v>93</v>
      </c>
      <c r="H127" s="869">
        <v>558</v>
      </c>
      <c r="I127" s="869">
        <v>256</v>
      </c>
      <c r="J127" s="869">
        <v>297</v>
      </c>
      <c r="K127" s="871">
        <v>55</v>
      </c>
      <c r="L127" s="871">
        <v>435</v>
      </c>
      <c r="M127" s="871">
        <v>78</v>
      </c>
      <c r="N127" s="871">
        <v>218</v>
      </c>
      <c r="O127" s="871">
        <v>20</v>
      </c>
      <c r="P127" s="871">
        <v>439</v>
      </c>
      <c r="Q127" s="871">
        <v>13</v>
      </c>
      <c r="R127" s="869"/>
      <c r="S127" s="869"/>
      <c r="T127" s="40">
        <f t="shared" si="2"/>
        <v>429.33333333333331</v>
      </c>
      <c r="U127" s="40">
        <f t="shared" si="3"/>
        <v>85.833333333333329</v>
      </c>
    </row>
    <row r="128" spans="1:44">
      <c r="A128" s="3087"/>
      <c r="B128" s="1033"/>
      <c r="C128" s="3087"/>
      <c r="D128" s="3087"/>
      <c r="E128" s="867">
        <v>2016</v>
      </c>
      <c r="F128" s="868">
        <v>644</v>
      </c>
      <c r="G128" s="868">
        <v>65</v>
      </c>
      <c r="H128" s="868">
        <v>278</v>
      </c>
      <c r="I128" s="868">
        <v>34</v>
      </c>
      <c r="J128" s="868">
        <v>460</v>
      </c>
      <c r="K128" s="868">
        <v>22</v>
      </c>
      <c r="L128" s="868">
        <v>251</v>
      </c>
      <c r="M128" s="868">
        <v>54</v>
      </c>
      <c r="N128" s="868">
        <v>171</v>
      </c>
      <c r="O128" s="868">
        <v>35</v>
      </c>
      <c r="P128" s="868">
        <v>135</v>
      </c>
      <c r="Q128" s="868">
        <v>50</v>
      </c>
      <c r="R128" s="871"/>
      <c r="S128" s="871"/>
      <c r="T128" s="40">
        <f t="shared" si="2"/>
        <v>323.16666666666669</v>
      </c>
      <c r="U128" s="40">
        <f t="shared" si="3"/>
        <v>43.333333333333336</v>
      </c>
    </row>
    <row r="130" spans="4:13" ht="56">
      <c r="F130" s="3132" t="s">
        <v>1071</v>
      </c>
      <c r="G130" s="3132"/>
      <c r="H130" s="3132"/>
      <c r="I130" s="3132"/>
      <c r="J130" s="3132"/>
      <c r="K130" s="3132"/>
      <c r="L130" s="3132"/>
      <c r="M130" s="896" t="s">
        <v>1077</v>
      </c>
    </row>
    <row r="131" spans="4:13">
      <c r="D131" s="874" t="s">
        <v>215</v>
      </c>
      <c r="E131" s="894" t="s">
        <v>90</v>
      </c>
      <c r="F131" s="893" t="s">
        <v>69</v>
      </c>
      <c r="G131" s="893" t="s">
        <v>70</v>
      </c>
      <c r="H131" s="893" t="s">
        <v>71</v>
      </c>
      <c r="I131" s="893" t="s">
        <v>72</v>
      </c>
      <c r="J131" s="893" t="s">
        <v>73</v>
      </c>
      <c r="K131" s="893" t="s">
        <v>74</v>
      </c>
      <c r="L131" s="893" t="s">
        <v>75</v>
      </c>
      <c r="M131" s="897" t="s">
        <v>156</v>
      </c>
    </row>
    <row r="132" spans="4:13">
      <c r="D132" s="3087" t="s">
        <v>1063</v>
      </c>
      <c r="E132" s="867">
        <v>2013</v>
      </c>
      <c r="F132" s="882"/>
      <c r="G132" s="895">
        <v>0.38500000000000001</v>
      </c>
      <c r="H132" s="895">
        <v>0.24</v>
      </c>
      <c r="I132" s="895">
        <v>0.31</v>
      </c>
      <c r="J132" s="895">
        <v>10.07</v>
      </c>
      <c r="K132" s="895">
        <v>1.57</v>
      </c>
      <c r="L132" s="895">
        <v>0.45</v>
      </c>
      <c r="M132" s="441">
        <f>AVERAGE(F132:L132)</f>
        <v>2.1708333333333334</v>
      </c>
    </row>
    <row r="133" spans="4:13">
      <c r="D133" s="3087"/>
      <c r="E133" s="867">
        <v>2014</v>
      </c>
      <c r="F133" s="884">
        <v>2.7</v>
      </c>
      <c r="G133" s="884">
        <v>3</v>
      </c>
      <c r="H133" s="884">
        <v>9.6</v>
      </c>
      <c r="I133" s="883">
        <v>2.7</v>
      </c>
      <c r="J133" s="883">
        <v>3</v>
      </c>
      <c r="K133" s="883">
        <v>3.4</v>
      </c>
      <c r="L133" s="744"/>
      <c r="M133" s="441">
        <f t="shared" ref="M133:M139" si="4">AVERAGE(F133:L133)</f>
        <v>4.0666666666666664</v>
      </c>
    </row>
    <row r="134" spans="4:13">
      <c r="D134" s="3087"/>
      <c r="E134" s="867">
        <v>2015</v>
      </c>
      <c r="F134" s="885">
        <v>12.2</v>
      </c>
      <c r="G134" s="885">
        <v>4.9000000000000004</v>
      </c>
      <c r="H134" s="885">
        <v>2.9</v>
      </c>
      <c r="I134" s="886">
        <v>1.2</v>
      </c>
      <c r="J134" s="886">
        <v>0.2</v>
      </c>
      <c r="K134" s="886">
        <v>1.6</v>
      </c>
      <c r="L134" s="744"/>
      <c r="M134" s="441">
        <f t="shared" si="4"/>
        <v>3.8333333333333335</v>
      </c>
    </row>
    <row r="135" spans="4:13">
      <c r="D135" s="3087"/>
      <c r="E135" s="867">
        <v>2016</v>
      </c>
      <c r="F135" s="885">
        <v>9.42</v>
      </c>
      <c r="G135" s="885">
        <v>1.54</v>
      </c>
      <c r="H135" s="885">
        <v>0.15</v>
      </c>
      <c r="I135" s="886">
        <v>0.11</v>
      </c>
      <c r="J135" s="886">
        <v>0.1</v>
      </c>
      <c r="K135" s="887">
        <v>0.04</v>
      </c>
      <c r="L135" s="744"/>
      <c r="M135" s="441">
        <f t="shared" si="4"/>
        <v>1.8933333333333333</v>
      </c>
    </row>
    <row r="136" spans="4:13">
      <c r="D136" s="3087" t="s">
        <v>227</v>
      </c>
      <c r="E136" s="867">
        <v>2013</v>
      </c>
      <c r="F136" s="882"/>
      <c r="G136" s="883">
        <v>3.35</v>
      </c>
      <c r="H136" s="883">
        <v>0.46200000000000002</v>
      </c>
      <c r="I136" s="883">
        <v>2.97</v>
      </c>
      <c r="J136" s="883">
        <v>35.409999999999997</v>
      </c>
      <c r="K136" s="883">
        <v>3.58</v>
      </c>
      <c r="L136" s="883">
        <v>2.4700000000000002</v>
      </c>
      <c r="M136" s="441">
        <f t="shared" si="4"/>
        <v>8.0403333333333311</v>
      </c>
    </row>
    <row r="137" spans="4:13">
      <c r="D137" s="3087"/>
      <c r="E137" s="867">
        <v>2014</v>
      </c>
      <c r="F137" s="884">
        <v>10.3</v>
      </c>
      <c r="G137" s="884">
        <v>3</v>
      </c>
      <c r="H137" s="884">
        <v>46.7</v>
      </c>
      <c r="I137" s="883">
        <v>11.8</v>
      </c>
      <c r="J137" s="883">
        <v>2.8</v>
      </c>
      <c r="K137" s="883">
        <v>4.9000000000000004</v>
      </c>
      <c r="L137" s="744"/>
      <c r="M137" s="441">
        <f t="shared" si="4"/>
        <v>13.25</v>
      </c>
    </row>
    <row r="138" spans="4:13">
      <c r="D138" s="3087"/>
      <c r="E138" s="867">
        <v>2015</v>
      </c>
      <c r="F138" s="885">
        <v>21.6</v>
      </c>
      <c r="G138" s="885">
        <v>29.7</v>
      </c>
      <c r="H138" s="885">
        <v>11.1</v>
      </c>
      <c r="I138" s="886">
        <v>14.6</v>
      </c>
      <c r="J138" s="886">
        <v>0.3</v>
      </c>
      <c r="K138" s="886">
        <v>1</v>
      </c>
      <c r="L138" s="744"/>
      <c r="M138" s="441">
        <f t="shared" si="4"/>
        <v>13.049999999999999</v>
      </c>
    </row>
    <row r="139" spans="4:13">
      <c r="D139" s="3087"/>
      <c r="E139" s="867">
        <v>2016</v>
      </c>
      <c r="F139" s="885">
        <v>11.52</v>
      </c>
      <c r="G139" s="885">
        <v>16.2</v>
      </c>
      <c r="H139" s="885">
        <v>4.42</v>
      </c>
      <c r="I139" s="886">
        <v>1.6</v>
      </c>
      <c r="J139" s="886">
        <v>0.9</v>
      </c>
      <c r="K139" s="886">
        <v>0.26</v>
      </c>
      <c r="L139" s="744"/>
      <c r="M139" s="441">
        <f t="shared" si="4"/>
        <v>5.8166666666666664</v>
      </c>
    </row>
    <row r="140" spans="4:13" s="358" customFormat="1">
      <c r="D140" s="873"/>
      <c r="E140" s="876"/>
      <c r="F140" s="877">
        <v>31</v>
      </c>
      <c r="G140" s="877">
        <v>30</v>
      </c>
      <c r="H140" s="877">
        <v>31</v>
      </c>
      <c r="I140" s="878">
        <v>31</v>
      </c>
      <c r="J140" s="878">
        <v>30</v>
      </c>
      <c r="K140" s="878">
        <v>31</v>
      </c>
      <c r="L140" s="877">
        <v>30</v>
      </c>
    </row>
    <row r="141" spans="4:13">
      <c r="F141" s="3132" t="s">
        <v>546</v>
      </c>
      <c r="G141" s="3132"/>
      <c r="H141" s="3132"/>
      <c r="I141" s="3132"/>
      <c r="J141" s="3132"/>
      <c r="K141" s="3132"/>
      <c r="L141" s="3132"/>
    </row>
    <row r="142" spans="4:13">
      <c r="D142" s="874" t="s">
        <v>215</v>
      </c>
      <c r="E142" s="875" t="s">
        <v>90</v>
      </c>
      <c r="F142" s="893" t="s">
        <v>69</v>
      </c>
      <c r="G142" s="893" t="s">
        <v>70</v>
      </c>
      <c r="H142" s="893" t="s">
        <v>71</v>
      </c>
      <c r="I142" s="893" t="s">
        <v>72</v>
      </c>
      <c r="J142" s="893" t="s">
        <v>73</v>
      </c>
      <c r="K142" s="893" t="s">
        <v>74</v>
      </c>
      <c r="L142" s="893" t="s">
        <v>75</v>
      </c>
    </row>
    <row r="143" spans="4:13">
      <c r="D143" s="3087" t="s">
        <v>1063</v>
      </c>
      <c r="E143" s="867">
        <v>2013</v>
      </c>
      <c r="F143" s="880">
        <f>F132*1.983*F$140</f>
        <v>0</v>
      </c>
      <c r="G143" s="880">
        <f t="shared" ref="G143:L143" si="5">G132*1.983*G$140</f>
        <v>22.903650000000003</v>
      </c>
      <c r="H143" s="880">
        <f t="shared" si="5"/>
        <v>14.75352</v>
      </c>
      <c r="I143" s="880">
        <f t="shared" si="5"/>
        <v>19.056629999999998</v>
      </c>
      <c r="J143" s="880">
        <f t="shared" si="5"/>
        <v>599.0643</v>
      </c>
      <c r="K143" s="880">
        <f t="shared" si="5"/>
        <v>96.512610000000009</v>
      </c>
      <c r="L143" s="880">
        <f t="shared" si="5"/>
        <v>26.770500000000002</v>
      </c>
    </row>
    <row r="144" spans="4:13">
      <c r="D144" s="3087"/>
      <c r="E144" s="867">
        <v>2014</v>
      </c>
      <c r="F144" s="880">
        <f>(F133*1.983)*F$140</f>
        <v>165.97710000000004</v>
      </c>
      <c r="G144" s="880">
        <f t="shared" ref="G144:L144" si="6">G133*1.983*G$140</f>
        <v>178.47</v>
      </c>
      <c r="H144" s="880">
        <f t="shared" si="6"/>
        <v>590.14080000000001</v>
      </c>
      <c r="I144" s="880">
        <f t="shared" si="6"/>
        <v>165.97710000000004</v>
      </c>
      <c r="J144" s="880">
        <f t="shared" si="6"/>
        <v>178.47</v>
      </c>
      <c r="K144" s="880">
        <f t="shared" si="6"/>
        <v>209.00820000000002</v>
      </c>
      <c r="L144" s="880">
        <f t="shared" si="6"/>
        <v>0</v>
      </c>
    </row>
    <row r="145" spans="4:13">
      <c r="D145" s="3087"/>
      <c r="E145" s="867">
        <v>2015</v>
      </c>
      <c r="F145" s="880">
        <f t="shared" ref="F145:L145" si="7">F134*1.983*F$140</f>
        <v>749.97059999999999</v>
      </c>
      <c r="G145" s="880">
        <f t="shared" si="7"/>
        <v>291.50100000000003</v>
      </c>
      <c r="H145" s="880">
        <f t="shared" si="7"/>
        <v>178.27170000000001</v>
      </c>
      <c r="I145" s="880">
        <f t="shared" si="7"/>
        <v>73.767600000000002</v>
      </c>
      <c r="J145" s="880">
        <f t="shared" si="7"/>
        <v>11.898000000000001</v>
      </c>
      <c r="K145" s="880">
        <f t="shared" si="7"/>
        <v>98.356800000000021</v>
      </c>
      <c r="L145" s="880">
        <f t="shared" si="7"/>
        <v>0</v>
      </c>
    </row>
    <row r="146" spans="4:13">
      <c r="D146" s="3087"/>
      <c r="E146" s="867">
        <v>2016</v>
      </c>
      <c r="F146" s="880">
        <f t="shared" ref="F146:L146" si="8">F135*1.983*F$140</f>
        <v>579.07566000000008</v>
      </c>
      <c r="G146" s="880">
        <f t="shared" si="8"/>
        <v>91.61460000000001</v>
      </c>
      <c r="H146" s="880">
        <f t="shared" si="8"/>
        <v>9.2209500000000002</v>
      </c>
      <c r="I146" s="880">
        <f t="shared" si="8"/>
        <v>6.7620300000000002</v>
      </c>
      <c r="J146" s="880">
        <f t="shared" si="8"/>
        <v>5.9490000000000007</v>
      </c>
      <c r="K146" s="880">
        <f t="shared" si="8"/>
        <v>2.45892</v>
      </c>
      <c r="L146" s="880">
        <f t="shared" si="8"/>
        <v>0</v>
      </c>
    </row>
    <row r="147" spans="4:13">
      <c r="D147" s="3087" t="s">
        <v>227</v>
      </c>
      <c r="E147" s="867">
        <v>2013</v>
      </c>
      <c r="F147" s="880">
        <f t="shared" ref="F147:L147" si="9">F136*1.983*F$140</f>
        <v>0</v>
      </c>
      <c r="G147" s="880">
        <f t="shared" si="9"/>
        <v>199.29150000000001</v>
      </c>
      <c r="H147" s="880">
        <f t="shared" si="9"/>
        <v>28.400526000000003</v>
      </c>
      <c r="I147" s="880">
        <f t="shared" si="9"/>
        <v>182.57481000000001</v>
      </c>
      <c r="J147" s="880">
        <f t="shared" si="9"/>
        <v>2106.5409</v>
      </c>
      <c r="K147" s="880">
        <f t="shared" si="9"/>
        <v>220.07334</v>
      </c>
      <c r="L147" s="880">
        <f t="shared" si="9"/>
        <v>146.94030000000001</v>
      </c>
    </row>
    <row r="148" spans="4:13">
      <c r="D148" s="3087"/>
      <c r="E148" s="867">
        <v>2014</v>
      </c>
      <c r="F148" s="880">
        <f t="shared" ref="F148:L148" si="10">F137*1.983*F$140</f>
        <v>633.17190000000005</v>
      </c>
      <c r="G148" s="880">
        <f t="shared" si="10"/>
        <v>178.47</v>
      </c>
      <c r="H148" s="880">
        <f t="shared" si="10"/>
        <v>2870.7891000000004</v>
      </c>
      <c r="I148" s="880">
        <f t="shared" si="10"/>
        <v>725.3814000000001</v>
      </c>
      <c r="J148" s="880">
        <f t="shared" si="10"/>
        <v>166.57199999999997</v>
      </c>
      <c r="K148" s="880">
        <f t="shared" si="10"/>
        <v>301.21770000000004</v>
      </c>
      <c r="L148" s="880">
        <f t="shared" si="10"/>
        <v>0</v>
      </c>
    </row>
    <row r="149" spans="4:13">
      <c r="D149" s="3087"/>
      <c r="E149" s="867">
        <v>2015</v>
      </c>
      <c r="F149" s="880">
        <f t="shared" ref="F149:L149" si="11">F138*1.983*F$140</f>
        <v>1327.8168000000003</v>
      </c>
      <c r="G149" s="880">
        <f t="shared" si="11"/>
        <v>1766.8530000000001</v>
      </c>
      <c r="H149" s="880">
        <f t="shared" si="11"/>
        <v>682.35030000000006</v>
      </c>
      <c r="I149" s="880">
        <f t="shared" si="11"/>
        <v>897.50580000000002</v>
      </c>
      <c r="J149" s="880">
        <f t="shared" si="11"/>
        <v>17.847000000000001</v>
      </c>
      <c r="K149" s="880">
        <f t="shared" si="11"/>
        <v>61.473000000000006</v>
      </c>
      <c r="L149" s="880">
        <f t="shared" si="11"/>
        <v>0</v>
      </c>
    </row>
    <row r="150" spans="4:13">
      <c r="D150" s="3087"/>
      <c r="E150" s="867">
        <v>2016</v>
      </c>
      <c r="F150" s="880">
        <f t="shared" ref="F150:L150" si="12">F139*1.983*F$140</f>
        <v>708.16895999999997</v>
      </c>
      <c r="G150" s="880">
        <f t="shared" si="12"/>
        <v>963.73800000000006</v>
      </c>
      <c r="H150" s="880">
        <f t="shared" si="12"/>
        <v>271.71066000000002</v>
      </c>
      <c r="I150" s="880">
        <f t="shared" si="12"/>
        <v>98.356800000000021</v>
      </c>
      <c r="J150" s="880">
        <f t="shared" si="12"/>
        <v>53.541000000000004</v>
      </c>
      <c r="K150" s="880">
        <f t="shared" si="12"/>
        <v>15.982980000000001</v>
      </c>
      <c r="L150" s="880">
        <f t="shared" si="12"/>
        <v>0</v>
      </c>
    </row>
    <row r="152" spans="4:13" ht="27.5" customHeight="1">
      <c r="E152" s="881"/>
      <c r="F152" s="3066" t="s">
        <v>1073</v>
      </c>
      <c r="G152" s="3066"/>
      <c r="H152" s="3066"/>
      <c r="I152" s="3066"/>
      <c r="J152" s="3066"/>
      <c r="K152" s="3066"/>
      <c r="L152" s="3066"/>
      <c r="M152" s="901" t="s">
        <v>103</v>
      </c>
    </row>
    <row r="153" spans="4:13">
      <c r="D153" s="874" t="s">
        <v>215</v>
      </c>
      <c r="E153" s="875" t="s">
        <v>90</v>
      </c>
      <c r="F153" s="893" t="s">
        <v>69</v>
      </c>
      <c r="G153" s="893" t="s">
        <v>70</v>
      </c>
      <c r="H153" s="893" t="s">
        <v>71</v>
      </c>
      <c r="I153" s="893" t="s">
        <v>72</v>
      </c>
      <c r="J153" s="893" t="s">
        <v>73</v>
      </c>
      <c r="K153" s="893" t="s">
        <v>74</v>
      </c>
      <c r="L153" s="900" t="s">
        <v>75</v>
      </c>
      <c r="M153" s="893" t="s">
        <v>1078</v>
      </c>
    </row>
    <row r="154" spans="4:13" ht="14" customHeight="1">
      <c r="D154" s="3087" t="s">
        <v>1063</v>
      </c>
      <c r="E154" s="867">
        <v>2013</v>
      </c>
      <c r="F154" s="869"/>
      <c r="G154" s="869">
        <v>58</v>
      </c>
      <c r="H154" s="869">
        <v>15</v>
      </c>
      <c r="I154" s="869">
        <v>27</v>
      </c>
      <c r="J154" s="869">
        <v>26</v>
      </c>
      <c r="K154" s="869">
        <v>11</v>
      </c>
      <c r="L154" s="898">
        <v>11</v>
      </c>
      <c r="M154" s="40">
        <f>AVERAGE(F154:L154)</f>
        <v>24.666666666666668</v>
      </c>
    </row>
    <row r="155" spans="4:13">
      <c r="D155" s="3087"/>
      <c r="E155" s="867">
        <v>2014</v>
      </c>
      <c r="F155" s="869">
        <v>17</v>
      </c>
      <c r="G155" s="869">
        <v>12</v>
      </c>
      <c r="H155" s="869">
        <v>510</v>
      </c>
      <c r="I155" s="869">
        <v>11</v>
      </c>
      <c r="J155" s="869">
        <v>11</v>
      </c>
      <c r="K155" s="869">
        <v>14</v>
      </c>
      <c r="L155" s="898"/>
      <c r="M155" s="40">
        <f t="shared" ref="M155:M161" si="13">AVERAGE(F155:L155)</f>
        <v>95.833333333333329</v>
      </c>
    </row>
    <row r="156" spans="4:13">
      <c r="D156" s="3087"/>
      <c r="E156" s="867">
        <v>2015</v>
      </c>
      <c r="F156" s="869">
        <v>41</v>
      </c>
      <c r="G156" s="869">
        <v>28</v>
      </c>
      <c r="H156" s="869">
        <v>29</v>
      </c>
      <c r="I156" s="869">
        <v>22</v>
      </c>
      <c r="J156" s="869">
        <v>75</v>
      </c>
      <c r="K156" s="869">
        <v>8</v>
      </c>
      <c r="L156" s="898"/>
      <c r="M156" s="40">
        <f t="shared" si="13"/>
        <v>33.833333333333336</v>
      </c>
    </row>
    <row r="157" spans="4:13">
      <c r="D157" s="3087"/>
      <c r="E157" s="867">
        <v>2016</v>
      </c>
      <c r="F157" s="868">
        <v>113</v>
      </c>
      <c r="G157" s="868">
        <v>15</v>
      </c>
      <c r="H157" s="868">
        <v>28</v>
      </c>
      <c r="I157" s="868">
        <v>26</v>
      </c>
      <c r="J157" s="868">
        <v>28</v>
      </c>
      <c r="K157" s="868">
        <v>133</v>
      </c>
      <c r="L157" s="899"/>
      <c r="M157" s="40">
        <f t="shared" si="13"/>
        <v>57.166666666666664</v>
      </c>
    </row>
    <row r="158" spans="4:13" ht="14" customHeight="1">
      <c r="D158" s="3087" t="s">
        <v>227</v>
      </c>
      <c r="E158" s="867">
        <v>2013</v>
      </c>
      <c r="F158" s="869"/>
      <c r="G158" s="869">
        <v>12</v>
      </c>
      <c r="H158" s="869">
        <v>36</v>
      </c>
      <c r="I158" s="869">
        <v>35</v>
      </c>
      <c r="J158" s="869">
        <v>48</v>
      </c>
      <c r="K158" s="869">
        <v>66</v>
      </c>
      <c r="L158" s="898">
        <v>44</v>
      </c>
      <c r="M158" s="40">
        <f t="shared" si="13"/>
        <v>40.166666666666664</v>
      </c>
    </row>
    <row r="159" spans="4:13">
      <c r="D159" s="3087"/>
      <c r="E159" s="867">
        <v>2014</v>
      </c>
      <c r="F159" s="869">
        <v>19</v>
      </c>
      <c r="G159" s="869">
        <v>16</v>
      </c>
      <c r="H159" s="871">
        <v>377</v>
      </c>
      <c r="I159" s="871">
        <v>13</v>
      </c>
      <c r="J159" s="871">
        <v>16</v>
      </c>
      <c r="K159" s="871">
        <v>21</v>
      </c>
      <c r="L159" s="898"/>
      <c r="M159" s="40">
        <f t="shared" si="13"/>
        <v>77</v>
      </c>
    </row>
    <row r="160" spans="4:13">
      <c r="D160" s="3087"/>
      <c r="E160" s="867">
        <v>2015</v>
      </c>
      <c r="F160" s="869">
        <v>93</v>
      </c>
      <c r="G160" s="869">
        <v>256</v>
      </c>
      <c r="H160" s="871">
        <v>55</v>
      </c>
      <c r="I160" s="871">
        <v>78</v>
      </c>
      <c r="J160" s="871">
        <v>20</v>
      </c>
      <c r="K160" s="871">
        <v>13</v>
      </c>
      <c r="L160" s="898"/>
      <c r="M160" s="40">
        <f t="shared" si="13"/>
        <v>85.833333333333329</v>
      </c>
    </row>
    <row r="161" spans="4:14">
      <c r="D161" s="3087"/>
      <c r="E161" s="867">
        <v>2016</v>
      </c>
      <c r="F161" s="868">
        <v>65</v>
      </c>
      <c r="G161" s="868">
        <v>34</v>
      </c>
      <c r="H161" s="868">
        <v>22</v>
      </c>
      <c r="I161" s="868">
        <v>54</v>
      </c>
      <c r="J161" s="868">
        <v>35</v>
      </c>
      <c r="K161" s="868">
        <v>50</v>
      </c>
      <c r="L161" s="899"/>
      <c r="M161" s="40">
        <f t="shared" si="13"/>
        <v>43.333333333333336</v>
      </c>
    </row>
    <row r="163" spans="4:14" ht="52">
      <c r="E163" s="881">
        <v>2.7230000000000002E-3</v>
      </c>
      <c r="F163" s="3126" t="s">
        <v>393</v>
      </c>
      <c r="G163" s="3126"/>
      <c r="H163" s="3126"/>
      <c r="I163" s="3126"/>
      <c r="J163" s="3126"/>
      <c r="K163" s="3126"/>
      <c r="L163" s="3126"/>
      <c r="M163" s="901" t="s">
        <v>103</v>
      </c>
    </row>
    <row r="164" spans="4:14">
      <c r="D164" s="874" t="s">
        <v>215</v>
      </c>
      <c r="E164" s="875" t="s">
        <v>90</v>
      </c>
      <c r="F164" s="879" t="s">
        <v>69</v>
      </c>
      <c r="G164" s="879" t="s">
        <v>70</v>
      </c>
      <c r="H164" s="879" t="s">
        <v>71</v>
      </c>
      <c r="I164" s="879" t="s">
        <v>72</v>
      </c>
      <c r="J164" s="879" t="s">
        <v>73</v>
      </c>
      <c r="K164" s="879" t="s">
        <v>74</v>
      </c>
      <c r="L164" s="879" t="s">
        <v>75</v>
      </c>
      <c r="M164" s="893" t="s">
        <v>1078</v>
      </c>
    </row>
    <row r="165" spans="4:14">
      <c r="D165" s="3087" t="s">
        <v>1063</v>
      </c>
      <c r="E165" s="867">
        <v>2013</v>
      </c>
      <c r="F165" s="869"/>
      <c r="G165" s="869">
        <v>265</v>
      </c>
      <c r="H165" s="869">
        <v>414</v>
      </c>
      <c r="I165" s="869">
        <v>826</v>
      </c>
      <c r="J165" s="869">
        <v>385</v>
      </c>
      <c r="K165" s="869">
        <v>348</v>
      </c>
      <c r="L165" s="869">
        <v>255</v>
      </c>
      <c r="M165" s="40">
        <f>AVERAGE(F165:L165)</f>
        <v>415.5</v>
      </c>
    </row>
    <row r="166" spans="4:14">
      <c r="D166" s="3087"/>
      <c r="E166" s="867">
        <v>2014</v>
      </c>
      <c r="F166" s="869">
        <v>521</v>
      </c>
      <c r="G166" s="869">
        <v>241</v>
      </c>
      <c r="H166" s="869">
        <v>781</v>
      </c>
      <c r="I166" s="869">
        <v>287</v>
      </c>
      <c r="J166" s="869">
        <v>169</v>
      </c>
      <c r="K166" s="869">
        <v>353</v>
      </c>
      <c r="L166" s="869"/>
      <c r="M166" s="40">
        <f t="shared" ref="M166:M172" si="14">AVERAGE(F166:L166)</f>
        <v>392</v>
      </c>
    </row>
    <row r="167" spans="4:14">
      <c r="D167" s="3087"/>
      <c r="E167" s="867">
        <v>2015</v>
      </c>
      <c r="F167" s="870">
        <v>499</v>
      </c>
      <c r="G167" s="869">
        <v>327</v>
      </c>
      <c r="H167" s="869">
        <v>219</v>
      </c>
      <c r="I167" s="869">
        <v>235</v>
      </c>
      <c r="J167" s="869">
        <v>271</v>
      </c>
      <c r="K167" s="869">
        <v>339</v>
      </c>
      <c r="L167" s="869"/>
      <c r="M167" s="40">
        <f t="shared" si="14"/>
        <v>315</v>
      </c>
    </row>
    <row r="168" spans="4:14">
      <c r="D168" s="3087"/>
      <c r="E168" s="867">
        <v>2016</v>
      </c>
      <c r="F168" s="868">
        <v>473</v>
      </c>
      <c r="G168" s="868">
        <v>266</v>
      </c>
      <c r="H168" s="868">
        <v>757</v>
      </c>
      <c r="I168" s="868">
        <v>976</v>
      </c>
      <c r="J168" s="868">
        <v>976</v>
      </c>
      <c r="K168" s="868">
        <v>1296</v>
      </c>
      <c r="L168" s="871"/>
      <c r="M168" s="40">
        <f t="shared" si="14"/>
        <v>790.66666666666663</v>
      </c>
    </row>
    <row r="169" spans="4:14">
      <c r="D169" s="3087" t="s">
        <v>227</v>
      </c>
      <c r="E169" s="867">
        <v>2013</v>
      </c>
      <c r="F169" s="869"/>
      <c r="G169" s="869">
        <v>133</v>
      </c>
      <c r="H169" s="869">
        <v>758</v>
      </c>
      <c r="I169" s="869">
        <v>672</v>
      </c>
      <c r="J169" s="869">
        <v>375</v>
      </c>
      <c r="K169" s="869">
        <v>400</v>
      </c>
      <c r="L169" s="869">
        <v>694</v>
      </c>
      <c r="M169" s="40">
        <f t="shared" si="14"/>
        <v>505.33333333333331</v>
      </c>
    </row>
    <row r="170" spans="4:14">
      <c r="D170" s="3087"/>
      <c r="E170" s="867">
        <v>2014</v>
      </c>
      <c r="F170" s="869">
        <v>751</v>
      </c>
      <c r="G170" s="869">
        <v>330</v>
      </c>
      <c r="H170" s="869">
        <v>914</v>
      </c>
      <c r="I170" s="871">
        <v>214</v>
      </c>
      <c r="J170" s="871">
        <v>253</v>
      </c>
      <c r="K170" s="871">
        <v>490</v>
      </c>
      <c r="L170" s="869"/>
      <c r="M170" s="40">
        <f t="shared" si="14"/>
        <v>492</v>
      </c>
    </row>
    <row r="171" spans="4:14">
      <c r="D171" s="3087"/>
      <c r="E171" s="867">
        <v>2015</v>
      </c>
      <c r="F171" s="869">
        <v>629</v>
      </c>
      <c r="G171" s="869">
        <v>558</v>
      </c>
      <c r="H171" s="869">
        <v>297</v>
      </c>
      <c r="I171" s="871">
        <v>435</v>
      </c>
      <c r="J171" s="871">
        <v>218</v>
      </c>
      <c r="K171" s="871">
        <v>439</v>
      </c>
      <c r="L171" s="869"/>
      <c r="M171" s="40">
        <f t="shared" si="14"/>
        <v>429.33333333333331</v>
      </c>
    </row>
    <row r="172" spans="4:14">
      <c r="D172" s="3087"/>
      <c r="E172" s="867">
        <v>2016</v>
      </c>
      <c r="F172" s="868">
        <v>644</v>
      </c>
      <c r="G172" s="868">
        <v>278</v>
      </c>
      <c r="H172" s="868">
        <v>460</v>
      </c>
      <c r="I172" s="868">
        <v>251</v>
      </c>
      <c r="J172" s="868">
        <v>171</v>
      </c>
      <c r="K172" s="868">
        <v>135</v>
      </c>
      <c r="L172" s="871"/>
      <c r="M172" s="40">
        <f t="shared" si="14"/>
        <v>323.16666666666669</v>
      </c>
    </row>
    <row r="174" spans="4:14">
      <c r="E174" s="881">
        <v>2.7230000000000002E-3</v>
      </c>
      <c r="F174" s="3126" t="s">
        <v>1072</v>
      </c>
      <c r="G174" s="3126"/>
      <c r="H174" s="3126"/>
      <c r="I174" s="3126"/>
      <c r="J174" s="3126"/>
      <c r="K174" s="3126"/>
      <c r="L174" s="3126"/>
    </row>
    <row r="175" spans="4:14" ht="39">
      <c r="D175" s="891" t="s">
        <v>215</v>
      </c>
      <c r="E175" s="892" t="s">
        <v>90</v>
      </c>
      <c r="F175" s="889" t="s">
        <v>69</v>
      </c>
      <c r="G175" s="889" t="s">
        <v>70</v>
      </c>
      <c r="H175" s="889" t="s">
        <v>71</v>
      </c>
      <c r="I175" s="889" t="s">
        <v>72</v>
      </c>
      <c r="J175" s="889" t="s">
        <v>73</v>
      </c>
      <c r="K175" s="889" t="s">
        <v>74</v>
      </c>
      <c r="L175" s="889" t="s">
        <v>75</v>
      </c>
      <c r="M175" s="889" t="s">
        <v>1075</v>
      </c>
      <c r="N175" s="889" t="s">
        <v>1076</v>
      </c>
    </row>
    <row r="176" spans="4:14">
      <c r="D176" s="3087" t="s">
        <v>1235</v>
      </c>
      <c r="E176" s="867">
        <v>2013</v>
      </c>
      <c r="F176" s="888"/>
      <c r="G176" s="888">
        <f t="shared" ref="G176:L176" si="15">G143*G154*$E$174</f>
        <v>3.6172650591000006</v>
      </c>
      <c r="H176" s="888">
        <f t="shared" si="15"/>
        <v>0.60260752439999998</v>
      </c>
      <c r="I176" s="888">
        <f t="shared" si="15"/>
        <v>1.4010624942300001</v>
      </c>
      <c r="J176" s="888">
        <f t="shared" si="15"/>
        <v>42.412554311400001</v>
      </c>
      <c r="K176" s="888">
        <f t="shared" si="15"/>
        <v>2.8908422073300009</v>
      </c>
      <c r="L176" s="888">
        <f t="shared" si="15"/>
        <v>0.80185678650000003</v>
      </c>
      <c r="M176" s="890">
        <f>SUM(F176:L176)</f>
        <v>51.726188382960004</v>
      </c>
    </row>
    <row r="177" spans="4:14">
      <c r="D177" s="3087"/>
      <c r="E177" s="867">
        <v>2014</v>
      </c>
      <c r="F177" s="888">
        <f t="shared" ref="F177:K177" si="16">F144*F155*$E$174</f>
        <v>7.6832459361000023</v>
      </c>
      <c r="G177" s="888">
        <f t="shared" si="16"/>
        <v>5.8316857200000003</v>
      </c>
      <c r="H177" s="888">
        <f t="shared" si="16"/>
        <v>819.54623318400013</v>
      </c>
      <c r="I177" s="888">
        <f t="shared" si="16"/>
        <v>4.9715120763000016</v>
      </c>
      <c r="J177" s="888">
        <f t="shared" si="16"/>
        <v>5.3457119100000003</v>
      </c>
      <c r="K177" s="888">
        <f t="shared" si="16"/>
        <v>7.9678106004000009</v>
      </c>
      <c r="L177" s="888"/>
      <c r="M177" s="890">
        <f t="shared" ref="M177:M183" si="17">SUM(F177:L177)</f>
        <v>851.34619942680001</v>
      </c>
    </row>
    <row r="178" spans="4:14">
      <c r="D178" s="3087"/>
      <c r="E178" s="867">
        <v>2015</v>
      </c>
      <c r="F178" s="888">
        <f t="shared" ref="F178:K178" si="18">F145*F156*$E$174</f>
        <v>83.728967695800009</v>
      </c>
      <c r="G178" s="888">
        <f t="shared" si="18"/>
        <v>22.225202244000005</v>
      </c>
      <c r="H178" s="888">
        <f t="shared" si="18"/>
        <v>14.077581333900003</v>
      </c>
      <c r="I178" s="888">
        <f t="shared" si="18"/>
        <v>4.4191218456000003</v>
      </c>
      <c r="J178" s="888">
        <f t="shared" si="18"/>
        <v>2.4298690500000006</v>
      </c>
      <c r="K178" s="888">
        <f t="shared" si="18"/>
        <v>2.1426045312000004</v>
      </c>
      <c r="L178" s="888"/>
      <c r="M178" s="890">
        <f t="shared" si="17"/>
        <v>129.02334670050001</v>
      </c>
    </row>
    <row r="179" spans="4:14">
      <c r="D179" s="3087"/>
      <c r="E179" s="867">
        <v>2016</v>
      </c>
      <c r="F179" s="888">
        <f t="shared" ref="F179:K179" si="19">F146*F157*$E$174</f>
        <v>178.18100150634004</v>
      </c>
      <c r="G179" s="888">
        <f t="shared" si="19"/>
        <v>3.7419983370000005</v>
      </c>
      <c r="H179" s="888">
        <f t="shared" si="19"/>
        <v>0.70304211180000009</v>
      </c>
      <c r="I179" s="888">
        <f t="shared" si="19"/>
        <v>0.47873819994000005</v>
      </c>
      <c r="J179" s="888">
        <f t="shared" si="19"/>
        <v>0.4535755560000001</v>
      </c>
      <c r="K179" s="888">
        <f t="shared" si="19"/>
        <v>0.89052000828000011</v>
      </c>
      <c r="L179" s="888"/>
      <c r="M179" s="890">
        <f t="shared" si="17"/>
        <v>184.44887571936005</v>
      </c>
    </row>
    <row r="180" spans="4:14">
      <c r="D180" s="3087" t="s">
        <v>1233</v>
      </c>
      <c r="E180" s="867">
        <v>2013</v>
      </c>
      <c r="F180" s="888">
        <f t="shared" ref="F180:L180" si="20">F147*F158*$E$174</f>
        <v>0</v>
      </c>
      <c r="G180" s="888">
        <f t="shared" si="20"/>
        <v>6.5120490540000002</v>
      </c>
      <c r="H180" s="888">
        <f t="shared" si="20"/>
        <v>2.7840467627280003</v>
      </c>
      <c r="I180" s="888">
        <f t="shared" si="20"/>
        <v>17.400292267050002</v>
      </c>
      <c r="J180" s="888">
        <f t="shared" si="20"/>
        <v>275.33332179360002</v>
      </c>
      <c r="K180" s="888">
        <f t="shared" si="20"/>
        <v>39.55114051812</v>
      </c>
      <c r="L180" s="888">
        <f t="shared" si="20"/>
        <v>17.605211223600001</v>
      </c>
      <c r="M180" s="890">
        <f t="shared" si="17"/>
        <v>359.18606161909804</v>
      </c>
      <c r="N180" s="586">
        <f>M180/M176</f>
        <v>6.9439885838838178</v>
      </c>
    </row>
    <row r="181" spans="4:14">
      <c r="D181" s="3087"/>
      <c r="E181" s="867">
        <v>2014</v>
      </c>
      <c r="F181" s="888">
        <f t="shared" ref="F181:K181" si="21">F148*F159*$E$174</f>
        <v>32.758414590300006</v>
      </c>
      <c r="G181" s="888">
        <f t="shared" si="21"/>
        <v>7.7755809600000001</v>
      </c>
      <c r="H181" s="888">
        <f t="shared" si="21"/>
        <v>2947.0688371761007</v>
      </c>
      <c r="I181" s="888">
        <f t="shared" si="21"/>
        <v>25.677776178600006</v>
      </c>
      <c r="J181" s="888">
        <f t="shared" si="21"/>
        <v>7.257208895999999</v>
      </c>
      <c r="K181" s="888">
        <f t="shared" si="21"/>
        <v>17.224531739100001</v>
      </c>
      <c r="L181" s="888"/>
      <c r="M181" s="890">
        <f t="shared" si="17"/>
        <v>3037.7623495401008</v>
      </c>
      <c r="N181" s="586">
        <f>M181/M177</f>
        <v>3.5681868922247912</v>
      </c>
    </row>
    <row r="182" spans="4:14">
      <c r="D182" s="3087"/>
      <c r="E182" s="867">
        <v>2015</v>
      </c>
      <c r="F182" s="888">
        <f t="shared" ref="F182:K182" si="22">F149*F160*$E$174</f>
        <v>336.25499861520012</v>
      </c>
      <c r="G182" s="888">
        <f t="shared" si="22"/>
        <v>1231.6520240640002</v>
      </c>
      <c r="H182" s="888">
        <f t="shared" si="22"/>
        <v>102.19219267950002</v>
      </c>
      <c r="I182" s="888">
        <f t="shared" si="22"/>
        <v>190.62484688519999</v>
      </c>
      <c r="J182" s="888">
        <f t="shared" si="22"/>
        <v>0.97194762000000023</v>
      </c>
      <c r="K182" s="888">
        <f t="shared" si="22"/>
        <v>2.1760827270000003</v>
      </c>
      <c r="L182" s="888"/>
      <c r="M182" s="890">
        <f t="shared" si="17"/>
        <v>1863.8720925909004</v>
      </c>
      <c r="N182" s="586">
        <f>M182/M178</f>
        <v>14.44600640314717</v>
      </c>
    </row>
    <row r="183" spans="4:14">
      <c r="D183" s="3087"/>
      <c r="E183" s="867">
        <v>2016</v>
      </c>
      <c r="F183" s="888">
        <f t="shared" ref="F183:K183" si="23">F150*F161*$E$174</f>
        <v>125.34236507520001</v>
      </c>
      <c r="G183" s="888">
        <f t="shared" si="23"/>
        <v>89.22479151600001</v>
      </c>
      <c r="H183" s="888">
        <f t="shared" si="23"/>
        <v>16.277098797960001</v>
      </c>
      <c r="I183" s="888">
        <f t="shared" si="23"/>
        <v>14.462580585600003</v>
      </c>
      <c r="J183" s="888">
        <f t="shared" si="23"/>
        <v>5.1027250050000008</v>
      </c>
      <c r="K183" s="888">
        <f t="shared" si="23"/>
        <v>2.1760827270000003</v>
      </c>
      <c r="L183" s="888"/>
      <c r="M183" s="890">
        <f t="shared" si="17"/>
        <v>252.58564370676001</v>
      </c>
      <c r="N183" s="586">
        <f>M183/M179</f>
        <v>1.3694073369743409</v>
      </c>
    </row>
    <row r="185" spans="4:14">
      <c r="E185" s="881">
        <v>2.7230000000000002E-3</v>
      </c>
      <c r="F185" s="3126" t="s">
        <v>1074</v>
      </c>
      <c r="G185" s="3126"/>
      <c r="H185" s="3126"/>
      <c r="I185" s="3126"/>
      <c r="J185" s="3126"/>
      <c r="K185" s="3126"/>
      <c r="L185" s="3126"/>
    </row>
    <row r="186" spans="4:14" ht="39">
      <c r="D186" s="891" t="s">
        <v>215</v>
      </c>
      <c r="E186" s="892" t="s">
        <v>90</v>
      </c>
      <c r="F186" s="889" t="s">
        <v>69</v>
      </c>
      <c r="G186" s="889" t="s">
        <v>70</v>
      </c>
      <c r="H186" s="889" t="s">
        <v>71</v>
      </c>
      <c r="I186" s="889" t="s">
        <v>72</v>
      </c>
      <c r="J186" s="889" t="s">
        <v>73</v>
      </c>
      <c r="K186" s="889" t="s">
        <v>74</v>
      </c>
      <c r="L186" s="889" t="s">
        <v>75</v>
      </c>
      <c r="M186" s="889" t="s">
        <v>1075</v>
      </c>
      <c r="N186" s="889" t="s">
        <v>1076</v>
      </c>
    </row>
    <row r="187" spans="4:14">
      <c r="D187" s="3087" t="s">
        <v>1234</v>
      </c>
      <c r="E187" s="867">
        <v>2013</v>
      </c>
      <c r="F187" s="888">
        <f>F143*F165*$E$174</f>
        <v>0</v>
      </c>
      <c r="G187" s="888">
        <f t="shared" ref="G187:L187" si="24">G143*G165*$E$174</f>
        <v>16.527159321750002</v>
      </c>
      <c r="H187" s="888">
        <f t="shared" si="24"/>
        <v>16.631967673439998</v>
      </c>
      <c r="I187" s="888">
        <f t="shared" si="24"/>
        <v>42.862134082739999</v>
      </c>
      <c r="J187" s="888">
        <f t="shared" si="24"/>
        <v>628.03205422650001</v>
      </c>
      <c r="K187" s="888">
        <f t="shared" si="24"/>
        <v>91.455735286440017</v>
      </c>
      <c r="L187" s="888">
        <f t="shared" si="24"/>
        <v>18.588498232500005</v>
      </c>
      <c r="M187" s="890">
        <f>SUM(F187:L187)</f>
        <v>814.09754882337006</v>
      </c>
    </row>
    <row r="188" spans="4:14">
      <c r="D188" s="3087"/>
      <c r="E188" s="867">
        <v>2014</v>
      </c>
      <c r="F188" s="888">
        <f t="shared" ref="F188:L188" si="25">F144*F166*$E$174</f>
        <v>235.46889015930009</v>
      </c>
      <c r="G188" s="888">
        <f t="shared" si="25"/>
        <v>117.11968820999999</v>
      </c>
      <c r="H188" s="888">
        <f t="shared" si="25"/>
        <v>1255.0306041504002</v>
      </c>
      <c r="I188" s="888">
        <f t="shared" si="25"/>
        <v>129.71126962710002</v>
      </c>
      <c r="J188" s="888">
        <f t="shared" si="25"/>
        <v>82.129573890000003</v>
      </c>
      <c r="K188" s="888">
        <f t="shared" si="25"/>
        <v>200.9026529958</v>
      </c>
      <c r="L188" s="888">
        <f t="shared" si="25"/>
        <v>0</v>
      </c>
      <c r="M188" s="890">
        <f t="shared" ref="M188:M194" si="26">SUM(F188:L188)</f>
        <v>2020.3626790326005</v>
      </c>
    </row>
    <row r="189" spans="4:14">
      <c r="D189" s="3087"/>
      <c r="E189" s="867">
        <v>2015</v>
      </c>
      <c r="F189" s="888">
        <f t="shared" ref="F189:L189" si="27">F145*F167*$E$174</f>
        <v>1019.0428019562</v>
      </c>
      <c r="G189" s="888">
        <f t="shared" si="27"/>
        <v>259.55861192100002</v>
      </c>
      <c r="H189" s="888">
        <f t="shared" si="27"/>
        <v>106.31001076290001</v>
      </c>
      <c r="I189" s="888">
        <f t="shared" si="27"/>
        <v>47.204256078</v>
      </c>
      <c r="J189" s="888">
        <f t="shared" si="27"/>
        <v>8.7799268340000012</v>
      </c>
      <c r="K189" s="888">
        <f t="shared" si="27"/>
        <v>90.792867009600016</v>
      </c>
      <c r="L189" s="888">
        <f t="shared" si="27"/>
        <v>0</v>
      </c>
      <c r="M189" s="890">
        <f t="shared" si="26"/>
        <v>1531.6884745617001</v>
      </c>
    </row>
    <row r="190" spans="4:14">
      <c r="D190" s="3087"/>
      <c r="E190" s="867">
        <v>2016</v>
      </c>
      <c r="F190" s="888">
        <f t="shared" ref="F190:L190" si="28">F146*F168*$E$174</f>
        <v>745.83728949114015</v>
      </c>
      <c r="G190" s="888">
        <f t="shared" si="28"/>
        <v>66.358103842800006</v>
      </c>
      <c r="H190" s="888">
        <f t="shared" si="28"/>
        <v>19.00724566545</v>
      </c>
      <c r="I190" s="888">
        <f t="shared" si="28"/>
        <v>17.971095505440001</v>
      </c>
      <c r="J190" s="888">
        <f t="shared" si="28"/>
        <v>15.810347952000004</v>
      </c>
      <c r="K190" s="888">
        <f t="shared" si="28"/>
        <v>8.6775483513600005</v>
      </c>
      <c r="L190" s="888">
        <f t="shared" si="28"/>
        <v>0</v>
      </c>
      <c r="M190" s="890">
        <f t="shared" si="26"/>
        <v>873.66163080819013</v>
      </c>
    </row>
    <row r="191" spans="4:14">
      <c r="D191" s="3087" t="s">
        <v>1233</v>
      </c>
      <c r="E191" s="867">
        <v>2013</v>
      </c>
      <c r="F191" s="888">
        <f t="shared" ref="F191:L191" si="29">F147*F169*$E$174</f>
        <v>0</v>
      </c>
      <c r="G191" s="888">
        <f t="shared" si="29"/>
        <v>72.175210348500016</v>
      </c>
      <c r="H191" s="888">
        <f t="shared" si="29"/>
        <v>58.619651281884011</v>
      </c>
      <c r="I191" s="888">
        <f t="shared" si="29"/>
        <v>334.08561152736002</v>
      </c>
      <c r="J191" s="888">
        <f t="shared" si="29"/>
        <v>2151.0415765125003</v>
      </c>
      <c r="K191" s="888">
        <f t="shared" si="29"/>
        <v>239.70388192800002</v>
      </c>
      <c r="L191" s="888">
        <f t="shared" si="29"/>
        <v>277.68219520860004</v>
      </c>
      <c r="M191" s="890">
        <f t="shared" si="26"/>
        <v>3133.3081268068449</v>
      </c>
      <c r="N191" s="586">
        <f>M191/M187</f>
        <v>3.8488116458960868</v>
      </c>
    </row>
    <row r="192" spans="4:14">
      <c r="D192" s="3087"/>
      <c r="E192" s="867">
        <v>2014</v>
      </c>
      <c r="F192" s="888">
        <f t="shared" ref="F192:L192" si="30">F148*F170*$E$174</f>
        <v>1294.8194398587002</v>
      </c>
      <c r="G192" s="888">
        <f t="shared" si="30"/>
        <v>160.3713573</v>
      </c>
      <c r="H192" s="888">
        <f t="shared" si="30"/>
        <v>7144.8830694402013</v>
      </c>
      <c r="I192" s="888">
        <f t="shared" si="30"/>
        <v>422.69570017080014</v>
      </c>
      <c r="J192" s="888">
        <f t="shared" si="30"/>
        <v>114.75461566799999</v>
      </c>
      <c r="K192" s="888">
        <f t="shared" si="30"/>
        <v>401.90574057900005</v>
      </c>
      <c r="L192" s="888">
        <f t="shared" si="30"/>
        <v>0</v>
      </c>
      <c r="M192" s="890">
        <f t="shared" si="26"/>
        <v>9539.4299230167017</v>
      </c>
      <c r="N192" s="586">
        <f>M192/M188</f>
        <v>4.7216423179943199</v>
      </c>
    </row>
    <row r="193" spans="3:14">
      <c r="D193" s="3087"/>
      <c r="E193" s="867">
        <v>2015</v>
      </c>
      <c r="F193" s="888">
        <f t="shared" ref="F193:L193" si="31">F149*F171*$E$174</f>
        <v>2274.2407970856007</v>
      </c>
      <c r="G193" s="888">
        <f t="shared" si="31"/>
        <v>2684.6165212020001</v>
      </c>
      <c r="H193" s="888">
        <f t="shared" si="31"/>
        <v>551.83784046930009</v>
      </c>
      <c r="I193" s="888">
        <f t="shared" si="31"/>
        <v>1063.1001076289999</v>
      </c>
      <c r="J193" s="888">
        <f t="shared" si="31"/>
        <v>10.594229058000002</v>
      </c>
      <c r="K193" s="888">
        <f t="shared" si="31"/>
        <v>73.484639781000013</v>
      </c>
      <c r="L193" s="888">
        <f t="shared" si="31"/>
        <v>0</v>
      </c>
      <c r="M193" s="890">
        <f t="shared" si="26"/>
        <v>6657.8741352249008</v>
      </c>
      <c r="N193" s="586">
        <f>M193/M189</f>
        <v>4.3467547388381851</v>
      </c>
    </row>
    <row r="194" spans="3:14">
      <c r="D194" s="3087"/>
      <c r="E194" s="867">
        <v>2016</v>
      </c>
      <c r="F194" s="888">
        <f t="shared" ref="F194:L194" si="32">F150*F172*$E$174</f>
        <v>1241.8535862835199</v>
      </c>
      <c r="G194" s="888">
        <f t="shared" si="32"/>
        <v>729.54388357200003</v>
      </c>
      <c r="H194" s="888">
        <f t="shared" si="32"/>
        <v>340.33933850280005</v>
      </c>
      <c r="I194" s="888">
        <f t="shared" si="32"/>
        <v>67.224217166400024</v>
      </c>
      <c r="J194" s="888">
        <f t="shared" si="32"/>
        <v>24.930456453000001</v>
      </c>
      <c r="K194" s="888">
        <f t="shared" si="32"/>
        <v>5.8754233629000012</v>
      </c>
      <c r="L194" s="888">
        <f t="shared" si="32"/>
        <v>0</v>
      </c>
      <c r="M194" s="890">
        <f t="shared" si="26"/>
        <v>2409.7669053406198</v>
      </c>
      <c r="N194" s="586">
        <f>M194/M190</f>
        <v>2.7582382244616133</v>
      </c>
    </row>
    <row r="197" spans="3:14">
      <c r="E197" s="3126" t="s">
        <v>1079</v>
      </c>
      <c r="F197" s="3126"/>
      <c r="G197" s="90" t="s">
        <v>1080</v>
      </c>
      <c r="H197" s="90" t="s">
        <v>1081</v>
      </c>
    </row>
    <row r="198" spans="3:14" ht="42">
      <c r="C198" s="358"/>
      <c r="E198" s="90" t="s">
        <v>231</v>
      </c>
      <c r="F198" s="90" t="s">
        <v>230</v>
      </c>
      <c r="G198" s="90" t="s">
        <v>230</v>
      </c>
      <c r="H198" s="90" t="s">
        <v>230</v>
      </c>
    </row>
    <row r="199" spans="3:14">
      <c r="C199" s="358" t="s">
        <v>212</v>
      </c>
      <c r="D199" s="90" t="s">
        <v>1063</v>
      </c>
      <c r="E199" s="90">
        <v>397</v>
      </c>
      <c r="F199" s="90">
        <v>16</v>
      </c>
      <c r="G199" s="90">
        <v>27</v>
      </c>
      <c r="H199" s="90">
        <v>14</v>
      </c>
      <c r="I199" s="90">
        <f>AVERAGE(F199:H199)</f>
        <v>19</v>
      </c>
    </row>
    <row r="200" spans="3:14">
      <c r="C200" s="358" t="s">
        <v>213</v>
      </c>
      <c r="D200" s="90" t="s">
        <v>227</v>
      </c>
      <c r="E200" s="90">
        <v>361</v>
      </c>
      <c r="F200" s="90">
        <v>28</v>
      </c>
      <c r="G200" s="90">
        <v>16</v>
      </c>
      <c r="H200" s="90">
        <v>17</v>
      </c>
      <c r="I200" s="90">
        <f>AVERAGE(F200:H200)</f>
        <v>20.333333333333332</v>
      </c>
    </row>
    <row r="201" spans="3:14">
      <c r="C201" s="358"/>
    </row>
  </sheetData>
  <mergeCells count="96">
    <mergeCell ref="D191:D194"/>
    <mergeCell ref="F174:L174"/>
    <mergeCell ref="D176:D179"/>
    <mergeCell ref="D180:D183"/>
    <mergeCell ref="F185:L185"/>
    <mergeCell ref="D187:D190"/>
    <mergeCell ref="F130:L130"/>
    <mergeCell ref="E87:J87"/>
    <mergeCell ref="E72:F72"/>
    <mergeCell ref="G72:H72"/>
    <mergeCell ref="I72:J72"/>
    <mergeCell ref="K72:L72"/>
    <mergeCell ref="Q72:R72"/>
    <mergeCell ref="E84:J84"/>
    <mergeCell ref="E81:J81"/>
    <mergeCell ref="B16:B18"/>
    <mergeCell ref="D1:D2"/>
    <mergeCell ref="C1:C2"/>
    <mergeCell ref="K1:L1"/>
    <mergeCell ref="M1:N1"/>
    <mergeCell ref="Q1:R1"/>
    <mergeCell ref="O1:P1"/>
    <mergeCell ref="I1:J1"/>
    <mergeCell ref="G1:H1"/>
    <mergeCell ref="E1:F1"/>
    <mergeCell ref="M72:N72"/>
    <mergeCell ref="O72:P72"/>
    <mergeCell ref="A25:A26"/>
    <mergeCell ref="B3:B4"/>
    <mergeCell ref="B5:B7"/>
    <mergeCell ref="B10:B15"/>
    <mergeCell ref="B25:B26"/>
    <mergeCell ref="A22:A23"/>
    <mergeCell ref="B22:B23"/>
    <mergeCell ref="A10:A15"/>
    <mergeCell ref="A5:A7"/>
    <mergeCell ref="A3:A4"/>
    <mergeCell ref="Y95:AB95"/>
    <mergeCell ref="C102:C103"/>
    <mergeCell ref="D102:D103"/>
    <mergeCell ref="E102:H102"/>
    <mergeCell ref="I102:L102"/>
    <mergeCell ref="M102:P102"/>
    <mergeCell ref="Q102:T102"/>
    <mergeCell ref="U102:X102"/>
    <mergeCell ref="Y102:AB102"/>
    <mergeCell ref="C95:C96"/>
    <mergeCell ref="D95:D96"/>
    <mergeCell ref="E95:H95"/>
    <mergeCell ref="I95:L95"/>
    <mergeCell ref="M95:P95"/>
    <mergeCell ref="U95:X95"/>
    <mergeCell ref="Q95:T95"/>
    <mergeCell ref="D136:D139"/>
    <mergeCell ref="D143:D146"/>
    <mergeCell ref="D147:D150"/>
    <mergeCell ref="AC102:AF102"/>
    <mergeCell ref="C111:C112"/>
    <mergeCell ref="D111:D112"/>
    <mergeCell ref="E111:H111"/>
    <mergeCell ref="I111:L111"/>
    <mergeCell ref="M111:P111"/>
    <mergeCell ref="Q111:T111"/>
    <mergeCell ref="U111:X111"/>
    <mergeCell ref="Y111:AB111"/>
    <mergeCell ref="AC111:AF111"/>
    <mergeCell ref="N119:O119"/>
    <mergeCell ref="P119:Q119"/>
    <mergeCell ref="D132:D135"/>
    <mergeCell ref="R119:S119"/>
    <mergeCell ref="E119:E120"/>
    <mergeCell ref="F119:G119"/>
    <mergeCell ref="H119:I119"/>
    <mergeCell ref="J119:K119"/>
    <mergeCell ref="L119:M119"/>
    <mergeCell ref="AG111:AJ111"/>
    <mergeCell ref="AK111:AN111"/>
    <mergeCell ref="AO111:AR111"/>
    <mergeCell ref="T119:U119"/>
    <mergeCell ref="V119:W119"/>
    <mergeCell ref="E197:F197"/>
    <mergeCell ref="A119:A120"/>
    <mergeCell ref="D121:D124"/>
    <mergeCell ref="D125:D128"/>
    <mergeCell ref="C121:C124"/>
    <mergeCell ref="C125:C128"/>
    <mergeCell ref="A121:A128"/>
    <mergeCell ref="D119:D120"/>
    <mergeCell ref="C119:C120"/>
    <mergeCell ref="F141:L141"/>
    <mergeCell ref="D154:D157"/>
    <mergeCell ref="D158:D161"/>
    <mergeCell ref="F152:L152"/>
    <mergeCell ref="F163:L163"/>
    <mergeCell ref="D165:D168"/>
    <mergeCell ref="D169:D172"/>
  </mergeCells>
  <pageMargins left="0.7" right="0.7" top="0.75" bottom="0.75" header="0.3" footer="0.3"/>
  <pageSetup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S54"/>
  <sheetViews>
    <sheetView topLeftCell="C34" workbookViewId="0">
      <selection activeCell="R48" sqref="R48"/>
    </sheetView>
  </sheetViews>
  <sheetFormatPr defaultRowHeight="14"/>
  <cols>
    <col min="1" max="1" width="10.1796875" bestFit="1" customWidth="1"/>
    <col min="2" max="2" width="8.1796875" customWidth="1"/>
    <col min="3" max="3" width="11.81640625" bestFit="1" customWidth="1"/>
    <col min="4" max="4" width="11.36328125" bestFit="1" customWidth="1"/>
    <col min="9" max="9" width="9.90625" bestFit="1" customWidth="1"/>
    <col min="10" max="10" width="7.90625" bestFit="1" customWidth="1"/>
    <col min="11" max="11" width="11.26953125" bestFit="1" customWidth="1"/>
    <col min="12" max="12" width="4" bestFit="1" customWidth="1"/>
    <col min="13" max="13" width="6.7265625" bestFit="1" customWidth="1"/>
    <col min="14" max="14" width="11.54296875" bestFit="1" customWidth="1"/>
    <col min="16" max="16" width="9.90625" bestFit="1" customWidth="1"/>
  </cols>
  <sheetData>
    <row r="1" spans="1:15" s="358" customFormat="1">
      <c r="B1" s="3161">
        <v>2016</v>
      </c>
      <c r="C1" s="3161"/>
      <c r="D1" s="3161">
        <v>2017</v>
      </c>
      <c r="E1" s="3161"/>
      <c r="F1" s="3161">
        <v>2018</v>
      </c>
      <c r="G1" s="3161"/>
    </row>
    <row r="2" spans="1:15">
      <c r="A2" s="3160" t="s">
        <v>133</v>
      </c>
      <c r="B2" s="171" t="s">
        <v>331</v>
      </c>
      <c r="C2" s="2732" t="s">
        <v>815</v>
      </c>
      <c r="D2" s="171" t="s">
        <v>331</v>
      </c>
      <c r="E2" s="171" t="s">
        <v>815</v>
      </c>
      <c r="F2" s="171" t="s">
        <v>331</v>
      </c>
      <c r="G2" s="171" t="s">
        <v>815</v>
      </c>
    </row>
    <row r="3" spans="1:15" ht="13.75" customHeight="1">
      <c r="A3" s="3085"/>
      <c r="B3" s="3162" t="s">
        <v>392</v>
      </c>
      <c r="C3" s="3163"/>
      <c r="D3" s="3162" t="s">
        <v>392</v>
      </c>
      <c r="E3" s="3162"/>
      <c r="F3" s="3162" t="s">
        <v>1729</v>
      </c>
      <c r="G3" s="3162"/>
      <c r="H3" s="614"/>
      <c r="I3" s="615" t="s">
        <v>485</v>
      </c>
      <c r="J3" s="615" t="s">
        <v>946</v>
      </c>
      <c r="K3" s="614"/>
      <c r="L3" s="614"/>
      <c r="M3" s="614"/>
      <c r="N3" s="615" t="s">
        <v>485</v>
      </c>
      <c r="O3" s="615" t="s">
        <v>946</v>
      </c>
    </row>
    <row r="4" spans="1:15" ht="14.5">
      <c r="A4" s="435" t="s">
        <v>65</v>
      </c>
      <c r="B4" s="2731">
        <v>1</v>
      </c>
      <c r="C4" s="2731">
        <v>3</v>
      </c>
      <c r="D4" s="2731">
        <v>1</v>
      </c>
      <c r="E4" s="2731">
        <v>3</v>
      </c>
      <c r="F4" s="2250">
        <v>4</v>
      </c>
      <c r="G4" s="2250">
        <v>5</v>
      </c>
      <c r="H4" s="615" t="s">
        <v>947</v>
      </c>
      <c r="I4" s="1528">
        <v>42744</v>
      </c>
      <c r="J4" s="1527">
        <v>3</v>
      </c>
      <c r="K4" s="614"/>
      <c r="L4" s="614"/>
      <c r="M4" s="618" t="s">
        <v>948</v>
      </c>
      <c r="N4" s="1528">
        <v>42744</v>
      </c>
      <c r="O4" s="1527">
        <v>1</v>
      </c>
    </row>
    <row r="5" spans="1:15" ht="14.5">
      <c r="A5" s="435" t="s">
        <v>66</v>
      </c>
      <c r="B5" s="2731">
        <v>1</v>
      </c>
      <c r="C5" s="2731">
        <v>1</v>
      </c>
      <c r="D5" s="2731">
        <v>1</v>
      </c>
      <c r="E5" s="2731">
        <v>1</v>
      </c>
      <c r="F5" s="2250">
        <v>1</v>
      </c>
      <c r="G5" s="2250">
        <v>3</v>
      </c>
      <c r="H5" s="614"/>
      <c r="I5" s="1528">
        <v>42779</v>
      </c>
      <c r="J5" s="1527">
        <v>1</v>
      </c>
      <c r="K5" s="614"/>
      <c r="L5" s="614"/>
      <c r="M5" s="614"/>
      <c r="N5" s="1528">
        <v>42779</v>
      </c>
      <c r="O5" s="1529" t="s">
        <v>1337</v>
      </c>
    </row>
    <row r="6" spans="1:15" ht="14.5">
      <c r="A6" s="435" t="s">
        <v>67</v>
      </c>
      <c r="B6" s="2731">
        <v>1</v>
      </c>
      <c r="C6" s="2731">
        <v>2</v>
      </c>
      <c r="D6" s="2731">
        <v>1</v>
      </c>
      <c r="E6" s="2731">
        <v>2</v>
      </c>
      <c r="F6" s="2250">
        <v>1</v>
      </c>
      <c r="G6" s="2250">
        <v>8</v>
      </c>
      <c r="H6" s="614"/>
      <c r="I6" s="1528">
        <v>42814</v>
      </c>
      <c r="J6" s="1527">
        <v>2</v>
      </c>
      <c r="K6" s="614"/>
      <c r="L6" s="614"/>
      <c r="M6" s="614"/>
      <c r="N6" s="1528">
        <v>42814</v>
      </c>
      <c r="O6" s="1527" t="s">
        <v>1337</v>
      </c>
    </row>
    <row r="7" spans="1:15" ht="14.5">
      <c r="A7" s="435" t="s">
        <v>68</v>
      </c>
      <c r="B7" s="2731">
        <v>1</v>
      </c>
      <c r="C7" s="2731">
        <v>26</v>
      </c>
      <c r="D7" s="2731">
        <v>1</v>
      </c>
      <c r="E7" s="2731">
        <v>26</v>
      </c>
      <c r="F7" s="2250"/>
      <c r="G7" s="2250"/>
      <c r="H7" s="614"/>
      <c r="I7" s="1528">
        <v>42842</v>
      </c>
      <c r="J7" s="1527">
        <v>26</v>
      </c>
      <c r="K7" s="614"/>
      <c r="L7" s="614"/>
      <c r="M7" s="614"/>
      <c r="N7" s="1528">
        <v>42842</v>
      </c>
      <c r="O7" s="1527">
        <v>1</v>
      </c>
    </row>
    <row r="8" spans="1:15" ht="14.5">
      <c r="A8" s="435" t="s">
        <v>69</v>
      </c>
      <c r="B8" s="2731">
        <v>6</v>
      </c>
      <c r="C8" s="2731">
        <v>26</v>
      </c>
      <c r="D8" s="2731">
        <v>6</v>
      </c>
      <c r="E8" s="2731">
        <v>26</v>
      </c>
      <c r="F8" s="2250">
        <v>1</v>
      </c>
      <c r="G8" s="2250">
        <v>23</v>
      </c>
      <c r="H8" s="614"/>
      <c r="I8" s="1528">
        <v>42877</v>
      </c>
      <c r="J8" s="1527">
        <v>26</v>
      </c>
      <c r="K8" s="614"/>
      <c r="L8" s="614"/>
      <c r="M8" s="614"/>
      <c r="N8" s="1528">
        <v>42877</v>
      </c>
      <c r="O8" s="1527">
        <v>6</v>
      </c>
    </row>
    <row r="9" spans="1:15" ht="14.5">
      <c r="A9" s="435" t="s">
        <v>70</v>
      </c>
      <c r="B9" s="2731">
        <v>5</v>
      </c>
      <c r="C9" s="2731">
        <v>13</v>
      </c>
      <c r="D9" s="2731">
        <v>5</v>
      </c>
      <c r="E9" s="2731">
        <v>13</v>
      </c>
      <c r="F9" s="2250">
        <v>2</v>
      </c>
      <c r="G9" s="2250">
        <v>4</v>
      </c>
      <c r="H9" s="614"/>
      <c r="I9" s="1528">
        <v>42912</v>
      </c>
      <c r="J9" s="1527">
        <v>13</v>
      </c>
      <c r="K9" s="614"/>
      <c r="L9" s="614"/>
      <c r="M9" s="614"/>
      <c r="N9" s="1528">
        <v>42912</v>
      </c>
      <c r="O9" s="1527">
        <v>5</v>
      </c>
    </row>
    <row r="10" spans="1:15" ht="14.5">
      <c r="A10" s="435" t="s">
        <v>71</v>
      </c>
      <c r="B10" s="2731">
        <v>9</v>
      </c>
      <c r="C10" s="2731">
        <v>5</v>
      </c>
      <c r="D10" s="2731">
        <v>9</v>
      </c>
      <c r="E10" s="2731">
        <v>5</v>
      </c>
      <c r="F10" s="2250">
        <v>4</v>
      </c>
      <c r="G10" s="2250">
        <v>23</v>
      </c>
      <c r="H10" s="614"/>
      <c r="I10" s="1528">
        <v>42926</v>
      </c>
      <c r="J10" s="1527">
        <v>5</v>
      </c>
      <c r="K10" s="614"/>
      <c r="L10" s="614"/>
      <c r="M10" s="614"/>
      <c r="N10" s="1528">
        <v>42926</v>
      </c>
      <c r="O10" s="1527">
        <v>9</v>
      </c>
    </row>
    <row r="11" spans="1:15" ht="14.5">
      <c r="A11" s="435" t="s">
        <v>72</v>
      </c>
      <c r="B11" s="2731">
        <v>14</v>
      </c>
      <c r="C11" s="2731">
        <v>24</v>
      </c>
      <c r="D11" s="2731">
        <v>14</v>
      </c>
      <c r="E11" s="2731">
        <v>24</v>
      </c>
      <c r="F11" s="2250">
        <v>1</v>
      </c>
      <c r="G11" s="2250">
        <v>30</v>
      </c>
      <c r="H11" s="614"/>
      <c r="I11" s="1528">
        <v>42955</v>
      </c>
      <c r="J11" s="1527">
        <v>24</v>
      </c>
      <c r="K11" s="614"/>
      <c r="L11" s="614"/>
      <c r="M11" s="614"/>
      <c r="N11" s="1528">
        <v>42955</v>
      </c>
      <c r="O11" s="1527">
        <v>14</v>
      </c>
    </row>
    <row r="12" spans="1:15" ht="14.5">
      <c r="A12" s="435" t="s">
        <v>73</v>
      </c>
      <c r="B12" s="2731">
        <v>1</v>
      </c>
      <c r="C12" s="2731">
        <v>1</v>
      </c>
      <c r="D12" s="2731">
        <v>1</v>
      </c>
      <c r="E12" s="2731">
        <v>1</v>
      </c>
      <c r="F12" s="2250">
        <v>4</v>
      </c>
      <c r="G12" s="2250">
        <v>23</v>
      </c>
      <c r="H12" s="614"/>
      <c r="I12" s="1528">
        <v>42996</v>
      </c>
      <c r="J12" s="1527">
        <v>1</v>
      </c>
      <c r="K12" s="614"/>
      <c r="L12" s="614"/>
      <c r="M12" s="614"/>
      <c r="N12" s="1528">
        <v>42996</v>
      </c>
      <c r="O12" s="1527">
        <v>1</v>
      </c>
    </row>
    <row r="13" spans="1:15" ht="14.5">
      <c r="A13" s="435" t="s">
        <v>74</v>
      </c>
      <c r="B13" s="2731">
        <v>1</v>
      </c>
      <c r="C13" s="2731">
        <v>1</v>
      </c>
      <c r="D13" s="2731">
        <v>1</v>
      </c>
      <c r="E13" s="2731">
        <v>1</v>
      </c>
      <c r="F13" s="2250">
        <v>4</v>
      </c>
      <c r="G13" s="2250">
        <v>30</v>
      </c>
      <c r="H13" s="614"/>
      <c r="I13" s="1528">
        <v>43024</v>
      </c>
      <c r="J13" s="1527">
        <v>1</v>
      </c>
      <c r="K13" s="614"/>
      <c r="L13" s="614"/>
      <c r="M13" s="614"/>
      <c r="N13" s="1528">
        <v>43024</v>
      </c>
      <c r="O13" s="1527">
        <v>1</v>
      </c>
    </row>
    <row r="14" spans="1:15" ht="14.5">
      <c r="A14" s="435" t="s">
        <v>75</v>
      </c>
      <c r="B14" s="2731">
        <v>1</v>
      </c>
      <c r="C14" s="2731">
        <v>1</v>
      </c>
      <c r="D14" s="2731">
        <v>1</v>
      </c>
      <c r="E14" s="2731">
        <v>1</v>
      </c>
      <c r="F14" s="2250">
        <v>2</v>
      </c>
      <c r="G14" s="2250">
        <v>8</v>
      </c>
      <c r="H14" s="614"/>
      <c r="I14" s="1528">
        <v>43052</v>
      </c>
      <c r="J14" s="1527">
        <v>1</v>
      </c>
      <c r="K14" s="614"/>
      <c r="L14" s="614"/>
      <c r="M14" s="614"/>
      <c r="N14" s="1528">
        <v>43052</v>
      </c>
      <c r="O14" s="1527">
        <v>1</v>
      </c>
    </row>
    <row r="15" spans="1:15" ht="14.5">
      <c r="A15" s="435" t="s">
        <v>76</v>
      </c>
      <c r="B15" s="2731">
        <v>1</v>
      </c>
      <c r="C15" s="2731">
        <v>2</v>
      </c>
      <c r="D15" s="2731">
        <v>1</v>
      </c>
      <c r="E15" s="2731">
        <v>2</v>
      </c>
      <c r="F15" s="2250">
        <v>4</v>
      </c>
      <c r="G15" s="2250">
        <v>8</v>
      </c>
      <c r="H15" s="614"/>
      <c r="I15" s="1528">
        <v>43080</v>
      </c>
      <c r="J15" s="1527">
        <v>2</v>
      </c>
      <c r="K15" s="614"/>
      <c r="L15" s="614"/>
      <c r="M15" s="614"/>
      <c r="N15" s="1528">
        <v>43080</v>
      </c>
      <c r="O15" s="1527">
        <v>1</v>
      </c>
    </row>
    <row r="16" spans="1:15" ht="14.5">
      <c r="A16" s="613" t="s">
        <v>949</v>
      </c>
      <c r="B16" s="2730">
        <f>GEOMEAN(B4:B15)</f>
        <v>1.9866635177534659</v>
      </c>
      <c r="C16" s="2730">
        <f t="shared" ref="C16" si="0">GEOMEAN(C4:C15)</f>
        <v>3.9070986638049146</v>
      </c>
      <c r="D16" s="2730">
        <f>GEOMEAN(D4:D15)</f>
        <v>1.9866635177534659</v>
      </c>
      <c r="E16" s="2730">
        <f>GEOMEAN(E4:E15)</f>
        <v>3.9070986638049146</v>
      </c>
      <c r="F16" s="2249">
        <f>GEOMEAN(F3:F15)</f>
        <v>2.1300821788799253</v>
      </c>
      <c r="G16" s="2249">
        <f>GEOMEAN(G4:G15)</f>
        <v>11.165937757441736</v>
      </c>
      <c r="H16" s="614"/>
      <c r="I16" s="616"/>
      <c r="J16" s="617"/>
      <c r="K16" s="614"/>
      <c r="L16" s="614"/>
      <c r="M16" s="614"/>
      <c r="N16" s="616"/>
      <c r="O16" s="617"/>
    </row>
    <row r="17" spans="1:15" ht="14.5">
      <c r="H17" s="614"/>
      <c r="I17" s="616"/>
      <c r="J17" s="617"/>
      <c r="K17" s="614"/>
      <c r="L17" s="614"/>
      <c r="M17" s="614"/>
      <c r="N17" s="619"/>
      <c r="O17" s="617"/>
    </row>
    <row r="32" spans="1:15">
      <c r="A32" s="2251" t="s">
        <v>716</v>
      </c>
      <c r="B32" s="2251" t="s">
        <v>717</v>
      </c>
      <c r="C32" s="2252" t="s">
        <v>718</v>
      </c>
      <c r="D32" s="2252" t="s">
        <v>719</v>
      </c>
      <c r="E32" s="2251" t="s">
        <v>720</v>
      </c>
      <c r="F32" s="2251" t="s">
        <v>721</v>
      </c>
      <c r="G32" s="2251" t="s">
        <v>934</v>
      </c>
      <c r="H32" s="2342" t="s">
        <v>722</v>
      </c>
      <c r="I32" s="2343" t="s">
        <v>722</v>
      </c>
      <c r="J32" s="2251" t="s">
        <v>935</v>
      </c>
      <c r="K32" s="2251" t="s">
        <v>936</v>
      </c>
      <c r="L32" s="2344" t="s">
        <v>937</v>
      </c>
      <c r="M32" s="2344" t="s">
        <v>482</v>
      </c>
      <c r="N32" s="2252" t="s">
        <v>938</v>
      </c>
    </row>
    <row r="33" spans="1:19">
      <c r="A33" s="1760"/>
      <c r="B33" s="1771">
        <v>45</v>
      </c>
      <c r="C33" s="1766">
        <v>43108</v>
      </c>
      <c r="D33" s="1766"/>
      <c r="E33" s="1772"/>
      <c r="F33" s="1763"/>
      <c r="G33" s="1768"/>
      <c r="H33" s="1769">
        <v>4</v>
      </c>
      <c r="I33" s="1770"/>
      <c r="J33" s="1769"/>
      <c r="K33" s="1773"/>
      <c r="L33" s="1765"/>
      <c r="M33" s="1765"/>
      <c r="N33" s="1764"/>
      <c r="Q33" s="171" t="s">
        <v>331</v>
      </c>
      <c r="R33" s="171" t="s">
        <v>815</v>
      </c>
    </row>
    <row r="34" spans="1:19">
      <c r="A34" s="1760"/>
      <c r="B34" s="1771">
        <v>90</v>
      </c>
      <c r="C34" s="1766">
        <v>43108</v>
      </c>
      <c r="D34" s="1766"/>
      <c r="E34" s="1763"/>
      <c r="F34" s="1763"/>
      <c r="G34" s="1768"/>
      <c r="H34" s="1769">
        <v>5</v>
      </c>
      <c r="I34" s="1770"/>
      <c r="J34" s="1769"/>
      <c r="K34" s="1763"/>
      <c r="L34" s="1765"/>
      <c r="M34" s="1765"/>
      <c r="N34" s="1766"/>
      <c r="P34" s="435">
        <v>43108</v>
      </c>
      <c r="Q34" s="2250">
        <v>4</v>
      </c>
      <c r="R34" s="2250">
        <v>5</v>
      </c>
      <c r="S34" t="s">
        <v>65</v>
      </c>
    </row>
    <row r="35" spans="1:19" s="358" customFormat="1">
      <c r="A35" s="2684"/>
      <c r="B35" s="2629">
        <v>45</v>
      </c>
      <c r="C35" s="2680">
        <v>43145</v>
      </c>
      <c r="D35" s="2680"/>
      <c r="E35" s="2676"/>
      <c r="F35" s="2676"/>
      <c r="G35" s="2682"/>
      <c r="H35" s="2678">
        <v>1</v>
      </c>
      <c r="I35" s="2683"/>
      <c r="J35" s="2678"/>
      <c r="K35" s="2676"/>
      <c r="L35" s="2679"/>
      <c r="M35" s="2679"/>
      <c r="N35" s="2680"/>
      <c r="P35" s="435">
        <v>43145</v>
      </c>
      <c r="Q35" s="2250">
        <v>1</v>
      </c>
      <c r="R35" s="2250">
        <v>3</v>
      </c>
      <c r="S35" s="358" t="s">
        <v>66</v>
      </c>
    </row>
    <row r="36" spans="1:19">
      <c r="A36" s="1760"/>
      <c r="B36" s="1771">
        <v>90</v>
      </c>
      <c r="C36" s="1766">
        <v>43145</v>
      </c>
      <c r="D36" s="1766"/>
      <c r="E36" s="1763"/>
      <c r="F36" s="1763"/>
      <c r="G36" s="1763"/>
      <c r="H36" s="2679">
        <v>3</v>
      </c>
      <c r="I36" s="1758"/>
      <c r="J36" s="1769"/>
      <c r="K36" s="1763"/>
      <c r="L36" s="1765"/>
      <c r="M36" s="1765"/>
      <c r="N36" s="1764"/>
      <c r="P36" s="435">
        <v>43179</v>
      </c>
      <c r="Q36" s="2250">
        <v>1</v>
      </c>
      <c r="R36" s="2250">
        <v>8</v>
      </c>
      <c r="S36" s="358" t="s">
        <v>67</v>
      </c>
    </row>
    <row r="37" spans="1:19">
      <c r="A37" s="1760"/>
      <c r="B37" s="1767">
        <v>45</v>
      </c>
      <c r="C37" s="1766">
        <v>43179</v>
      </c>
      <c r="D37" s="1766"/>
      <c r="E37" s="1772"/>
      <c r="F37" s="1760"/>
      <c r="G37" s="2267"/>
      <c r="H37" s="2729">
        <v>1</v>
      </c>
      <c r="I37" s="1762"/>
      <c r="J37" s="1759"/>
      <c r="K37" s="1763"/>
      <c r="L37" s="1761"/>
      <c r="M37" s="1761"/>
      <c r="N37" s="1764"/>
      <c r="P37" s="435">
        <v>43234</v>
      </c>
      <c r="Q37" s="2250">
        <v>1</v>
      </c>
      <c r="R37" s="2250">
        <v>23</v>
      </c>
      <c r="S37" s="342" t="s">
        <v>69</v>
      </c>
    </row>
    <row r="38" spans="1:19">
      <c r="A38" s="1763"/>
      <c r="B38" s="1767">
        <v>90</v>
      </c>
      <c r="C38" s="1766">
        <v>43179</v>
      </c>
      <c r="D38" s="1766"/>
      <c r="E38" s="1772"/>
      <c r="F38" s="1763"/>
      <c r="G38" s="1768"/>
      <c r="H38" s="1769">
        <v>8</v>
      </c>
      <c r="I38" s="1770"/>
      <c r="J38" s="1775"/>
      <c r="K38" s="1773"/>
      <c r="L38" s="1765"/>
      <c r="M38" s="1765"/>
      <c r="N38" s="1764"/>
      <c r="P38" s="435">
        <v>43262</v>
      </c>
      <c r="Q38" s="2250">
        <v>2</v>
      </c>
      <c r="R38" s="2250">
        <v>4</v>
      </c>
      <c r="S38" s="342" t="s">
        <v>70</v>
      </c>
    </row>
    <row r="39" spans="1:19">
      <c r="A39" s="2254" t="s">
        <v>1512</v>
      </c>
      <c r="B39" s="2259">
        <v>45</v>
      </c>
      <c r="C39" s="2258">
        <v>43234</v>
      </c>
      <c r="D39" s="2258">
        <v>43234</v>
      </c>
      <c r="E39" s="2265" t="s">
        <v>1513</v>
      </c>
      <c r="F39" s="2254" t="s">
        <v>723</v>
      </c>
      <c r="G39" s="2260" t="s">
        <v>1514</v>
      </c>
      <c r="H39" s="2271"/>
      <c r="I39" s="2272"/>
      <c r="J39" s="2271" t="s">
        <v>943</v>
      </c>
      <c r="K39" s="2254" t="s">
        <v>1515</v>
      </c>
      <c r="L39" s="2257">
        <v>2</v>
      </c>
      <c r="M39" s="2257"/>
      <c r="N39" s="2255">
        <v>43235</v>
      </c>
      <c r="P39" s="435">
        <v>43290</v>
      </c>
      <c r="Q39" s="2250">
        <v>4</v>
      </c>
      <c r="R39" s="2250">
        <v>23</v>
      </c>
      <c r="S39" s="342" t="s">
        <v>71</v>
      </c>
    </row>
    <row r="40" spans="1:19">
      <c r="A40" s="2254" t="s">
        <v>1522</v>
      </c>
      <c r="B40" s="2259">
        <v>90</v>
      </c>
      <c r="C40" s="2258">
        <v>43234</v>
      </c>
      <c r="D40" s="2258">
        <v>43234</v>
      </c>
      <c r="E40" s="2265" t="s">
        <v>1513</v>
      </c>
      <c r="F40" s="2254" t="s">
        <v>723</v>
      </c>
      <c r="G40" s="2260" t="s">
        <v>1514</v>
      </c>
      <c r="H40" s="2271">
        <v>23</v>
      </c>
      <c r="I40" s="2272">
        <v>23</v>
      </c>
      <c r="J40" s="2271"/>
      <c r="K40" s="2254" t="s">
        <v>1515</v>
      </c>
      <c r="L40" s="2257">
        <v>2</v>
      </c>
      <c r="M40" s="2257"/>
      <c r="N40" s="2255">
        <v>43235</v>
      </c>
      <c r="P40" s="435">
        <v>43319</v>
      </c>
      <c r="Q40" s="2250">
        <v>1</v>
      </c>
      <c r="R40" s="2250">
        <v>30</v>
      </c>
      <c r="S40" s="342" t="s">
        <v>72</v>
      </c>
    </row>
    <row r="41" spans="1:19">
      <c r="A41" s="2254" t="s">
        <v>1525</v>
      </c>
      <c r="B41" s="2259">
        <v>45</v>
      </c>
      <c r="C41" s="2258">
        <v>43262</v>
      </c>
      <c r="D41" s="2258">
        <v>43262</v>
      </c>
      <c r="E41" s="2265" t="s">
        <v>1513</v>
      </c>
      <c r="F41" s="2254" t="s">
        <v>723</v>
      </c>
      <c r="G41" s="2260" t="s">
        <v>1514</v>
      </c>
      <c r="H41" s="2271">
        <v>2</v>
      </c>
      <c r="I41" s="2272">
        <v>2</v>
      </c>
      <c r="J41" s="2271"/>
      <c r="K41" s="2254" t="s">
        <v>1515</v>
      </c>
      <c r="L41" s="2257">
        <v>2</v>
      </c>
      <c r="M41" s="2257"/>
      <c r="N41" s="2255">
        <v>43263</v>
      </c>
      <c r="P41" s="435">
        <v>43353</v>
      </c>
      <c r="Q41" s="2250">
        <v>4</v>
      </c>
      <c r="R41" s="2250">
        <v>23</v>
      </c>
      <c r="S41" s="342" t="s">
        <v>73</v>
      </c>
    </row>
    <row r="42" spans="1:19">
      <c r="A42" s="2254" t="s">
        <v>1526</v>
      </c>
      <c r="B42" s="2259">
        <v>90</v>
      </c>
      <c r="C42" s="2258">
        <v>43262</v>
      </c>
      <c r="D42" s="2258">
        <v>43262</v>
      </c>
      <c r="E42" s="2265" t="s">
        <v>1513</v>
      </c>
      <c r="F42" s="2254" t="s">
        <v>723</v>
      </c>
      <c r="G42" s="2260" t="s">
        <v>1514</v>
      </c>
      <c r="H42" s="2271">
        <v>4</v>
      </c>
      <c r="I42" s="2272">
        <v>4</v>
      </c>
      <c r="J42" s="2271"/>
      <c r="K42" s="2254" t="s">
        <v>1515</v>
      </c>
      <c r="L42" s="2257">
        <v>2</v>
      </c>
      <c r="M42" s="2257"/>
      <c r="N42" s="2255">
        <v>43263</v>
      </c>
      <c r="P42" s="435">
        <v>43388</v>
      </c>
      <c r="Q42" s="2250">
        <v>4</v>
      </c>
      <c r="R42" s="2250">
        <v>30</v>
      </c>
      <c r="S42" s="342" t="s">
        <v>74</v>
      </c>
    </row>
    <row r="43" spans="1:19">
      <c r="A43" s="2322" t="s">
        <v>1608</v>
      </c>
      <c r="B43" s="2327">
        <v>45</v>
      </c>
      <c r="C43" s="1766">
        <v>43290</v>
      </c>
      <c r="D43" s="2474">
        <v>43290</v>
      </c>
      <c r="E43" s="2333" t="s">
        <v>1513</v>
      </c>
      <c r="F43" s="2322" t="s">
        <v>723</v>
      </c>
      <c r="G43" s="2328" t="s">
        <v>1514</v>
      </c>
      <c r="H43" s="1769">
        <v>4</v>
      </c>
      <c r="I43" s="1770"/>
      <c r="J43" s="1775"/>
      <c r="K43" s="2322" t="s">
        <v>1515</v>
      </c>
      <c r="L43" s="1765">
        <v>2</v>
      </c>
      <c r="M43" s="1765"/>
      <c r="N43" s="1764"/>
      <c r="P43" s="435">
        <v>43409</v>
      </c>
      <c r="Q43" s="2250">
        <v>2</v>
      </c>
      <c r="R43" s="2250">
        <v>8</v>
      </c>
      <c r="S43" s="342" t="s">
        <v>75</v>
      </c>
    </row>
    <row r="44" spans="1:19">
      <c r="A44" s="2322" t="s">
        <v>1609</v>
      </c>
      <c r="B44" s="2327">
        <v>90</v>
      </c>
      <c r="C44" s="1766">
        <v>43290</v>
      </c>
      <c r="D44" s="2474">
        <v>43290</v>
      </c>
      <c r="E44" s="2333" t="s">
        <v>1513</v>
      </c>
      <c r="F44" s="2322" t="s">
        <v>723</v>
      </c>
      <c r="G44" s="2328" t="s">
        <v>1514</v>
      </c>
      <c r="H44" s="1769">
        <v>23</v>
      </c>
      <c r="I44" s="1770"/>
      <c r="J44" s="1775"/>
      <c r="K44" s="2322" t="s">
        <v>1515</v>
      </c>
      <c r="L44" s="1765">
        <v>2</v>
      </c>
      <c r="M44" s="1765"/>
      <c r="N44" s="1766"/>
      <c r="P44" s="435">
        <v>43444</v>
      </c>
      <c r="Q44" s="2250">
        <v>4</v>
      </c>
      <c r="R44" s="2250">
        <v>8</v>
      </c>
      <c r="S44" s="342" t="s">
        <v>76</v>
      </c>
    </row>
    <row r="45" spans="1:19">
      <c r="A45" s="2254" t="s">
        <v>1548</v>
      </c>
      <c r="B45" s="2259">
        <v>45</v>
      </c>
      <c r="C45" s="2258">
        <v>43319</v>
      </c>
      <c r="D45" s="2258">
        <v>43319</v>
      </c>
      <c r="E45" s="2265" t="s">
        <v>1513</v>
      </c>
      <c r="F45" s="2254" t="s">
        <v>723</v>
      </c>
      <c r="G45" s="2260" t="s">
        <v>1514</v>
      </c>
      <c r="H45" s="2271"/>
      <c r="I45" s="2272"/>
      <c r="J45" s="2271" t="s">
        <v>943</v>
      </c>
      <c r="K45" s="2254" t="s">
        <v>1515</v>
      </c>
      <c r="L45" s="2257">
        <v>2</v>
      </c>
      <c r="M45" s="2257"/>
      <c r="N45" s="2255">
        <v>43320</v>
      </c>
      <c r="P45" s="435" t="s">
        <v>949</v>
      </c>
      <c r="Q45" s="2733">
        <f>GEOMEAN(Q33:Q44)</f>
        <v>2.1300821788799253</v>
      </c>
      <c r="R45" s="2733">
        <f>GEOMEAN(R33:R44)</f>
        <v>11.165937757441736</v>
      </c>
    </row>
    <row r="46" spans="1:19">
      <c r="A46" s="2254" t="s">
        <v>1549</v>
      </c>
      <c r="B46" s="2259">
        <v>90</v>
      </c>
      <c r="C46" s="2258">
        <v>43319</v>
      </c>
      <c r="D46" s="2258">
        <v>43319</v>
      </c>
      <c r="E46" s="2265" t="s">
        <v>1513</v>
      </c>
      <c r="F46" s="2254" t="s">
        <v>723</v>
      </c>
      <c r="G46" s="2260" t="s">
        <v>1514</v>
      </c>
      <c r="H46" s="2271">
        <v>30</v>
      </c>
      <c r="I46" s="2272">
        <v>30</v>
      </c>
      <c r="J46" s="2271"/>
      <c r="K46" s="2254" t="s">
        <v>1515</v>
      </c>
      <c r="L46" s="2257">
        <v>2</v>
      </c>
      <c r="M46" s="2257"/>
      <c r="N46" s="2255">
        <v>43320</v>
      </c>
      <c r="P46" s="57"/>
    </row>
    <row r="47" spans="1:19">
      <c r="A47" s="2254" t="s">
        <v>1559</v>
      </c>
      <c r="B47" s="2259">
        <v>45</v>
      </c>
      <c r="C47" s="2258">
        <v>43353</v>
      </c>
      <c r="D47" s="2258">
        <v>43353</v>
      </c>
      <c r="E47" s="2265" t="s">
        <v>1513</v>
      </c>
      <c r="F47" s="2254" t="s">
        <v>723</v>
      </c>
      <c r="G47" s="2260" t="s">
        <v>1514</v>
      </c>
      <c r="H47" s="2271">
        <v>4</v>
      </c>
      <c r="I47" s="2272">
        <v>4</v>
      </c>
      <c r="J47" s="2271"/>
      <c r="K47" s="2254" t="s">
        <v>1515</v>
      </c>
      <c r="L47" s="2257">
        <v>2</v>
      </c>
      <c r="M47" s="2257"/>
      <c r="N47" s="2255">
        <v>43354</v>
      </c>
    </row>
    <row r="48" spans="1:19">
      <c r="A48" s="2254" t="s">
        <v>1560</v>
      </c>
      <c r="B48" s="2259">
        <v>90</v>
      </c>
      <c r="C48" s="2258">
        <v>43353</v>
      </c>
      <c r="D48" s="2258">
        <v>43353</v>
      </c>
      <c r="E48" s="2265" t="s">
        <v>1513</v>
      </c>
      <c r="F48" s="2254" t="s">
        <v>723</v>
      </c>
      <c r="G48" s="2260" t="s">
        <v>1514</v>
      </c>
      <c r="H48" s="2271">
        <v>23</v>
      </c>
      <c r="I48" s="2272">
        <v>23</v>
      </c>
      <c r="J48" s="2271"/>
      <c r="K48" s="2254" t="s">
        <v>1515</v>
      </c>
      <c r="L48" s="2257">
        <v>2</v>
      </c>
      <c r="M48" s="2257"/>
      <c r="N48" s="2255">
        <v>43354</v>
      </c>
    </row>
    <row r="49" spans="1:14">
      <c r="A49" s="2322" t="s">
        <v>1574</v>
      </c>
      <c r="B49" s="2327">
        <v>45</v>
      </c>
      <c r="C49" s="2326">
        <v>43388</v>
      </c>
      <c r="D49" s="2326">
        <v>43388</v>
      </c>
      <c r="E49" s="2333" t="s">
        <v>1513</v>
      </c>
      <c r="F49" s="2322" t="s">
        <v>723</v>
      </c>
      <c r="G49" s="2328" t="s">
        <v>1514</v>
      </c>
      <c r="H49" s="2339">
        <v>4</v>
      </c>
      <c r="I49" s="2340">
        <v>4</v>
      </c>
      <c r="J49" s="2339"/>
      <c r="K49" s="2322" t="s">
        <v>1515</v>
      </c>
      <c r="L49" s="2325">
        <v>2</v>
      </c>
      <c r="M49" s="2325"/>
      <c r="N49" s="2323">
        <v>43389</v>
      </c>
    </row>
    <row r="50" spans="1:14">
      <c r="A50" s="2322" t="s">
        <v>1575</v>
      </c>
      <c r="B50" s="2327">
        <v>90</v>
      </c>
      <c r="C50" s="2326">
        <v>43388</v>
      </c>
      <c r="D50" s="2326">
        <v>43388</v>
      </c>
      <c r="E50" s="2333" t="s">
        <v>1513</v>
      </c>
      <c r="F50" s="2322" t="s">
        <v>723</v>
      </c>
      <c r="G50" s="2328" t="s">
        <v>1514</v>
      </c>
      <c r="H50" s="2339">
        <v>30</v>
      </c>
      <c r="I50" s="2340">
        <v>30</v>
      </c>
      <c r="J50" s="2339"/>
      <c r="K50" s="2322" t="s">
        <v>1515</v>
      </c>
      <c r="L50" s="2325">
        <v>2</v>
      </c>
      <c r="M50" s="2325"/>
      <c r="N50" s="2323">
        <v>43389</v>
      </c>
    </row>
    <row r="51" spans="1:14">
      <c r="A51" s="2415" t="s">
        <v>1591</v>
      </c>
      <c r="B51" s="2420">
        <v>45</v>
      </c>
      <c r="C51" s="2419">
        <v>43409</v>
      </c>
      <c r="D51" s="2419">
        <v>43409</v>
      </c>
      <c r="E51" s="2426" t="s">
        <v>1513</v>
      </c>
      <c r="F51" s="2415" t="s">
        <v>723</v>
      </c>
      <c r="G51" s="2421" t="s">
        <v>1514</v>
      </c>
      <c r="H51" s="2432"/>
      <c r="I51" s="2433"/>
      <c r="J51" s="2432" t="s">
        <v>943</v>
      </c>
      <c r="K51" s="2415" t="s">
        <v>1515</v>
      </c>
      <c r="L51" s="2418">
        <v>2</v>
      </c>
      <c r="M51" s="2418"/>
      <c r="N51" s="2416">
        <v>43410</v>
      </c>
    </row>
    <row r="52" spans="1:14">
      <c r="A52" s="2415" t="s">
        <v>1592</v>
      </c>
      <c r="B52" s="2420">
        <v>90</v>
      </c>
      <c r="C52" s="2419">
        <v>43409</v>
      </c>
      <c r="D52" s="2419">
        <v>43409</v>
      </c>
      <c r="E52" s="2426" t="s">
        <v>1513</v>
      </c>
      <c r="F52" s="2415" t="s">
        <v>723</v>
      </c>
      <c r="G52" s="2421" t="s">
        <v>1514</v>
      </c>
      <c r="H52" s="2432">
        <v>8</v>
      </c>
      <c r="I52" s="2433">
        <v>8</v>
      </c>
      <c r="J52" s="2432"/>
      <c r="K52" s="2415" t="s">
        <v>1515</v>
      </c>
      <c r="L52" s="2418">
        <v>2</v>
      </c>
      <c r="M52" s="2418"/>
      <c r="N52" s="2416">
        <v>43410</v>
      </c>
    </row>
    <row r="53" spans="1:14">
      <c r="A53" s="2390" t="s">
        <v>1585</v>
      </c>
      <c r="B53" s="2395">
        <v>45</v>
      </c>
      <c r="C53" s="2394">
        <v>43444</v>
      </c>
      <c r="D53" s="2394">
        <v>43444</v>
      </c>
      <c r="E53" s="2401" t="s">
        <v>1513</v>
      </c>
      <c r="F53" s="2390" t="s">
        <v>723</v>
      </c>
      <c r="G53" s="2396" t="s">
        <v>1514</v>
      </c>
      <c r="H53" s="2407">
        <v>4</v>
      </c>
      <c r="I53" s="2408">
        <v>4</v>
      </c>
      <c r="J53" s="2407"/>
      <c r="K53" s="2390" t="s">
        <v>1515</v>
      </c>
      <c r="L53" s="2393">
        <v>2</v>
      </c>
      <c r="M53" s="2393"/>
      <c r="N53" s="2391">
        <v>43445</v>
      </c>
    </row>
    <row r="54" spans="1:14">
      <c r="A54" s="2390" t="s">
        <v>1586</v>
      </c>
      <c r="B54" s="2395">
        <v>90</v>
      </c>
      <c r="C54" s="2394">
        <v>43444</v>
      </c>
      <c r="D54" s="2394">
        <v>43444</v>
      </c>
      <c r="E54" s="2401" t="s">
        <v>1513</v>
      </c>
      <c r="F54" s="2390" t="s">
        <v>723</v>
      </c>
      <c r="G54" s="2396" t="s">
        <v>1514</v>
      </c>
      <c r="H54" s="2407">
        <v>8</v>
      </c>
      <c r="I54" s="2408">
        <v>8</v>
      </c>
      <c r="J54" s="2407"/>
      <c r="K54" s="2390" t="s">
        <v>1515</v>
      </c>
      <c r="L54" s="2393">
        <v>2</v>
      </c>
      <c r="M54" s="2393"/>
      <c r="N54" s="2391">
        <v>43445</v>
      </c>
    </row>
  </sheetData>
  <mergeCells count="7">
    <mergeCell ref="A2:A3"/>
    <mergeCell ref="B1:C1"/>
    <mergeCell ref="D1:E1"/>
    <mergeCell ref="F1:G1"/>
    <mergeCell ref="F3:G3"/>
    <mergeCell ref="B3:C3"/>
    <mergeCell ref="D3:E3"/>
  </mergeCell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P63"/>
  <sheetViews>
    <sheetView topLeftCell="A19" workbookViewId="0">
      <selection activeCell="E41" sqref="E41:E46"/>
    </sheetView>
  </sheetViews>
  <sheetFormatPr defaultRowHeight="14"/>
  <cols>
    <col min="1" max="1" width="10.54296875" bestFit="1" customWidth="1"/>
    <col min="2" max="2" width="9.36328125" bestFit="1" customWidth="1"/>
    <col min="3" max="3" width="14.6328125" bestFit="1" customWidth="1"/>
    <col min="4" max="4" width="13.453125" bestFit="1" customWidth="1"/>
    <col min="5" max="5" width="14.81640625" bestFit="1" customWidth="1"/>
    <col min="6" max="6" width="7.81640625" bestFit="1" customWidth="1"/>
    <col min="7" max="7" width="16.453125" bestFit="1" customWidth="1"/>
    <col min="8" max="9" width="8.36328125" bestFit="1" customWidth="1"/>
    <col min="10" max="10" width="8.90625" bestFit="1" customWidth="1"/>
    <col min="11" max="11" width="6.453125" bestFit="1" customWidth="1"/>
    <col min="12" max="12" width="4.90625" bestFit="1" customWidth="1"/>
    <col min="13" max="13" width="4.81640625" bestFit="1" customWidth="1"/>
    <col min="14" max="14" width="14.1796875" bestFit="1" customWidth="1"/>
    <col min="16" max="16" width="9.90625" bestFit="1" customWidth="1"/>
    <col min="18" max="18" width="10.08984375" bestFit="1" customWidth="1"/>
  </cols>
  <sheetData>
    <row r="1" spans="1:16" s="305" customFormat="1" ht="13">
      <c r="A1" s="592" t="s">
        <v>716</v>
      </c>
      <c r="B1" s="592" t="s">
        <v>717</v>
      </c>
      <c r="C1" s="594" t="s">
        <v>718</v>
      </c>
      <c r="D1" s="594" t="s">
        <v>719</v>
      </c>
      <c r="E1" s="592" t="s">
        <v>720</v>
      </c>
      <c r="F1" s="592" t="s">
        <v>721</v>
      </c>
      <c r="G1" s="592" t="s">
        <v>934</v>
      </c>
      <c r="H1" s="595" t="s">
        <v>722</v>
      </c>
      <c r="I1" s="596" t="s">
        <v>722</v>
      </c>
      <c r="J1" s="592" t="s">
        <v>935</v>
      </c>
      <c r="K1" s="592" t="s">
        <v>936</v>
      </c>
      <c r="L1" s="593" t="s">
        <v>937</v>
      </c>
      <c r="M1" s="593" t="s">
        <v>482</v>
      </c>
      <c r="N1" s="594" t="s">
        <v>938</v>
      </c>
    </row>
    <row r="2" spans="1:16">
      <c r="A2" s="1754"/>
      <c r="B2" s="1755"/>
      <c r="C2" s="1750"/>
      <c r="D2" s="1750"/>
      <c r="E2" s="1756"/>
      <c r="F2" s="1747"/>
      <c r="G2" s="1751"/>
      <c r="H2" s="1752"/>
      <c r="I2" s="1753"/>
      <c r="J2" s="1752"/>
      <c r="K2" s="1757"/>
      <c r="L2" s="1749"/>
      <c r="M2" s="1749"/>
      <c r="N2" s="1748"/>
      <c r="O2" s="219"/>
      <c r="P2" s="57">
        <v>43229</v>
      </c>
    </row>
    <row r="3" spans="1:16" s="358" customFormat="1">
      <c r="A3" s="2493" t="s">
        <v>1610</v>
      </c>
      <c r="B3" s="2494" t="s">
        <v>939</v>
      </c>
      <c r="C3" s="2486">
        <v>43229</v>
      </c>
      <c r="D3" s="2486">
        <v>43229</v>
      </c>
      <c r="E3" s="2495" t="s">
        <v>181</v>
      </c>
      <c r="F3" s="2483" t="s">
        <v>723</v>
      </c>
      <c r="G3" s="2489" t="s">
        <v>940</v>
      </c>
      <c r="H3" s="2490">
        <v>227</v>
      </c>
      <c r="I3" s="2491">
        <v>227</v>
      </c>
      <c r="J3" s="2490"/>
      <c r="K3" s="2496" t="s">
        <v>941</v>
      </c>
      <c r="L3" s="2485">
        <v>6</v>
      </c>
      <c r="M3" s="2485">
        <v>42</v>
      </c>
      <c r="N3" s="2484">
        <v>43243</v>
      </c>
      <c r="O3" s="219"/>
      <c r="P3" s="57">
        <v>43264</v>
      </c>
    </row>
    <row r="4" spans="1:16">
      <c r="A4" s="2493" t="s">
        <v>1610</v>
      </c>
      <c r="B4" s="2494" t="s">
        <v>939</v>
      </c>
      <c r="C4" s="2486">
        <v>43229</v>
      </c>
      <c r="D4" s="2486">
        <v>43229</v>
      </c>
      <c r="E4" s="2483" t="s">
        <v>160</v>
      </c>
      <c r="F4" s="2483" t="s">
        <v>723</v>
      </c>
      <c r="G4" s="2489" t="s">
        <v>942</v>
      </c>
      <c r="H4" s="2490">
        <v>11</v>
      </c>
      <c r="I4" s="2491">
        <v>11</v>
      </c>
      <c r="J4" s="2490"/>
      <c r="K4" s="2483" t="s">
        <v>941</v>
      </c>
      <c r="L4" s="2485">
        <v>2</v>
      </c>
      <c r="M4" s="2485">
        <v>8</v>
      </c>
      <c r="N4" s="2486">
        <v>43243</v>
      </c>
      <c r="O4" s="219"/>
      <c r="P4" s="57">
        <v>43292</v>
      </c>
    </row>
    <row r="5" spans="1:16">
      <c r="A5" s="2493" t="s">
        <v>1610</v>
      </c>
      <c r="B5" s="2494" t="s">
        <v>939</v>
      </c>
      <c r="C5" s="2486">
        <v>43229</v>
      </c>
      <c r="D5" s="2486">
        <v>43229</v>
      </c>
      <c r="E5" s="2483" t="s">
        <v>164</v>
      </c>
      <c r="F5" s="2483" t="s">
        <v>723</v>
      </c>
      <c r="G5" s="2483" t="s">
        <v>1611</v>
      </c>
      <c r="H5" s="2488">
        <v>9.1999999999999993</v>
      </c>
      <c r="I5" s="2500">
        <v>9.1999999999999993</v>
      </c>
      <c r="J5" s="2490"/>
      <c r="K5" s="2483" t="s">
        <v>944</v>
      </c>
      <c r="L5" s="2485">
        <v>4</v>
      </c>
      <c r="M5" s="2485"/>
      <c r="N5" s="2484">
        <v>43236</v>
      </c>
      <c r="O5" s="219"/>
      <c r="P5" s="57">
        <v>43322</v>
      </c>
    </row>
    <row r="6" spans="1:16">
      <c r="A6" s="2493" t="s">
        <v>1610</v>
      </c>
      <c r="B6" s="2487" t="s">
        <v>939</v>
      </c>
      <c r="C6" s="2486">
        <v>43229</v>
      </c>
      <c r="D6" s="2486">
        <v>43229</v>
      </c>
      <c r="E6" s="2495" t="s">
        <v>161</v>
      </c>
      <c r="F6" s="2493" t="s">
        <v>723</v>
      </c>
      <c r="G6" s="2497" t="s">
        <v>945</v>
      </c>
      <c r="H6" s="2498">
        <v>0.9</v>
      </c>
      <c r="I6" s="2501">
        <v>0.9</v>
      </c>
      <c r="J6" s="2492"/>
      <c r="K6" s="2483" t="s">
        <v>941</v>
      </c>
      <c r="L6" s="2499">
        <v>0.1</v>
      </c>
      <c r="M6" s="2499"/>
      <c r="N6" s="2484">
        <v>43244</v>
      </c>
      <c r="O6" s="219"/>
      <c r="P6" s="57">
        <v>43355</v>
      </c>
    </row>
    <row r="7" spans="1:16">
      <c r="A7" s="2493" t="s">
        <v>1610</v>
      </c>
      <c r="B7" s="2487" t="s">
        <v>939</v>
      </c>
      <c r="C7" s="2486">
        <v>43229</v>
      </c>
      <c r="D7" s="2486">
        <v>43229</v>
      </c>
      <c r="E7" s="2495" t="s">
        <v>161</v>
      </c>
      <c r="F7" s="2493" t="s">
        <v>723</v>
      </c>
      <c r="G7" s="2497" t="s">
        <v>945</v>
      </c>
      <c r="H7" s="2498">
        <v>1.5</v>
      </c>
      <c r="I7" s="2501">
        <v>1.5</v>
      </c>
      <c r="J7" s="2492"/>
      <c r="K7" s="2483" t="s">
        <v>941</v>
      </c>
      <c r="L7" s="2499">
        <v>0.1</v>
      </c>
      <c r="M7" s="2499"/>
      <c r="N7" s="2484">
        <v>43244</v>
      </c>
      <c r="O7" s="219"/>
      <c r="P7" s="57">
        <v>43397</v>
      </c>
    </row>
    <row r="8" spans="1:16">
      <c r="A8" s="2483" t="s">
        <v>1612</v>
      </c>
      <c r="B8" s="2487" t="s">
        <v>1613</v>
      </c>
      <c r="C8" s="2486">
        <v>43229</v>
      </c>
      <c r="D8" s="2486">
        <v>43229</v>
      </c>
      <c r="E8" s="2495" t="s">
        <v>181</v>
      </c>
      <c r="F8" s="2483" t="s">
        <v>723</v>
      </c>
      <c r="G8" s="2489" t="s">
        <v>940</v>
      </c>
      <c r="H8" s="2490">
        <v>325</v>
      </c>
      <c r="I8" s="2491">
        <v>325</v>
      </c>
      <c r="J8" s="2502"/>
      <c r="K8" s="2496" t="s">
        <v>941</v>
      </c>
      <c r="L8" s="2485">
        <v>6</v>
      </c>
      <c r="M8" s="2485">
        <v>42</v>
      </c>
      <c r="N8" s="2484">
        <v>43243</v>
      </c>
      <c r="O8" s="219"/>
      <c r="P8" s="57"/>
    </row>
    <row r="9" spans="1:16" s="358" customFormat="1">
      <c r="A9" s="2483" t="s">
        <v>1612</v>
      </c>
      <c r="B9" s="2487" t="s">
        <v>1613</v>
      </c>
      <c r="C9" s="2486">
        <v>43229</v>
      </c>
      <c r="D9" s="2486">
        <v>43229</v>
      </c>
      <c r="E9" s="2483" t="s">
        <v>160</v>
      </c>
      <c r="F9" s="2483" t="s">
        <v>723</v>
      </c>
      <c r="G9" s="2489" t="s">
        <v>942</v>
      </c>
      <c r="H9" s="2490">
        <v>23</v>
      </c>
      <c r="I9" s="2491">
        <v>23</v>
      </c>
      <c r="J9" s="2502"/>
      <c r="K9" s="2483" t="s">
        <v>941</v>
      </c>
      <c r="L9" s="2485">
        <v>2</v>
      </c>
      <c r="M9" s="2485">
        <v>8</v>
      </c>
      <c r="N9" s="2486">
        <v>43243</v>
      </c>
      <c r="O9" s="219"/>
    </row>
    <row r="10" spans="1:16">
      <c r="A10" s="2512" t="s">
        <v>1614</v>
      </c>
      <c r="B10" s="2513" t="s">
        <v>939</v>
      </c>
      <c r="C10" s="2506">
        <v>43264</v>
      </c>
      <c r="D10" s="2506">
        <v>43264</v>
      </c>
      <c r="E10" s="2514" t="s">
        <v>181</v>
      </c>
      <c r="F10" s="2503" t="s">
        <v>723</v>
      </c>
      <c r="G10" s="2508" t="s">
        <v>940</v>
      </c>
      <c r="H10" s="2509">
        <v>254</v>
      </c>
      <c r="I10" s="2510">
        <v>254</v>
      </c>
      <c r="J10" s="2509"/>
      <c r="K10" s="2515" t="s">
        <v>941</v>
      </c>
      <c r="L10" s="2505">
        <v>6</v>
      </c>
      <c r="M10" s="2505">
        <v>42</v>
      </c>
      <c r="N10" s="2504">
        <v>43272</v>
      </c>
      <c r="O10" s="219"/>
    </row>
    <row r="11" spans="1:16">
      <c r="A11" s="2512" t="s">
        <v>1614</v>
      </c>
      <c r="B11" s="2513" t="s">
        <v>939</v>
      </c>
      <c r="C11" s="2506">
        <v>43264</v>
      </c>
      <c r="D11" s="2506">
        <v>43264</v>
      </c>
      <c r="E11" s="2503" t="s">
        <v>160</v>
      </c>
      <c r="F11" s="2503" t="s">
        <v>723</v>
      </c>
      <c r="G11" s="2508" t="s">
        <v>942</v>
      </c>
      <c r="H11" s="2509">
        <v>21</v>
      </c>
      <c r="I11" s="2510">
        <v>21</v>
      </c>
      <c r="J11" s="2509"/>
      <c r="K11" s="2503" t="s">
        <v>941</v>
      </c>
      <c r="L11" s="2505">
        <v>2</v>
      </c>
      <c r="M11" s="2505">
        <v>8</v>
      </c>
      <c r="N11" s="2506">
        <v>43272</v>
      </c>
      <c r="O11" s="219"/>
    </row>
    <row r="12" spans="1:16">
      <c r="A12" s="2512" t="s">
        <v>1614</v>
      </c>
      <c r="B12" s="2507" t="s">
        <v>939</v>
      </c>
      <c r="C12" s="2506">
        <v>43264</v>
      </c>
      <c r="D12" s="2506">
        <v>43264</v>
      </c>
      <c r="E12" s="2514" t="s">
        <v>161</v>
      </c>
      <c r="F12" s="2512" t="s">
        <v>723</v>
      </c>
      <c r="G12" s="2516" t="s">
        <v>945</v>
      </c>
      <c r="H12" s="2517">
        <v>3.2</v>
      </c>
      <c r="I12" s="2519">
        <v>3.2</v>
      </c>
      <c r="J12" s="2511"/>
      <c r="K12" s="2503" t="s">
        <v>941</v>
      </c>
      <c r="L12" s="2518">
        <v>0.1</v>
      </c>
      <c r="M12" s="2518"/>
      <c r="N12" s="2504">
        <v>43266</v>
      </c>
      <c r="O12" s="219"/>
    </row>
    <row r="13" spans="1:16">
      <c r="A13" s="2512" t="s">
        <v>1614</v>
      </c>
      <c r="B13" s="2507" t="s">
        <v>939</v>
      </c>
      <c r="C13" s="2506">
        <v>43264</v>
      </c>
      <c r="D13" s="2506">
        <v>43264</v>
      </c>
      <c r="E13" s="2514" t="s">
        <v>161</v>
      </c>
      <c r="F13" s="2512" t="s">
        <v>723</v>
      </c>
      <c r="G13" s="2516" t="s">
        <v>945</v>
      </c>
      <c r="H13" s="2517">
        <v>3.5</v>
      </c>
      <c r="I13" s="2519">
        <v>3.5</v>
      </c>
      <c r="J13" s="2511"/>
      <c r="K13" s="2503" t="s">
        <v>941</v>
      </c>
      <c r="L13" s="2518">
        <v>0.1</v>
      </c>
      <c r="M13" s="2518"/>
      <c r="N13" s="2504">
        <v>43266</v>
      </c>
      <c r="O13" s="219"/>
    </row>
    <row r="14" spans="1:16">
      <c r="A14" s="2503" t="s">
        <v>1615</v>
      </c>
      <c r="B14" s="2507" t="s">
        <v>1613</v>
      </c>
      <c r="C14" s="2506">
        <v>43264</v>
      </c>
      <c r="D14" s="2506">
        <v>43264</v>
      </c>
      <c r="E14" s="2514" t="s">
        <v>181</v>
      </c>
      <c r="F14" s="2503" t="s">
        <v>723</v>
      </c>
      <c r="G14" s="2508" t="s">
        <v>940</v>
      </c>
      <c r="H14" s="2509">
        <v>252</v>
      </c>
      <c r="I14" s="2510">
        <v>252</v>
      </c>
      <c r="J14" s="2520"/>
      <c r="K14" s="2515" t="s">
        <v>941</v>
      </c>
      <c r="L14" s="2505">
        <v>6</v>
      </c>
      <c r="M14" s="2505">
        <v>42</v>
      </c>
      <c r="N14" s="2504">
        <v>43272</v>
      </c>
      <c r="O14" s="219"/>
    </row>
    <row r="15" spans="1:16">
      <c r="A15" s="2503" t="s">
        <v>1615</v>
      </c>
      <c r="B15" s="2507" t="s">
        <v>1613</v>
      </c>
      <c r="C15" s="2506">
        <v>43264</v>
      </c>
      <c r="D15" s="2506">
        <v>43264</v>
      </c>
      <c r="E15" s="2503" t="s">
        <v>160</v>
      </c>
      <c r="F15" s="2503" t="s">
        <v>723</v>
      </c>
      <c r="G15" s="2508" t="s">
        <v>942</v>
      </c>
      <c r="H15" s="2509">
        <v>24</v>
      </c>
      <c r="I15" s="2510">
        <v>24</v>
      </c>
      <c r="J15" s="2520"/>
      <c r="K15" s="2503" t="s">
        <v>941</v>
      </c>
      <c r="L15" s="2505">
        <v>2</v>
      </c>
      <c r="M15" s="2505">
        <v>8</v>
      </c>
      <c r="N15" s="2506">
        <v>43272</v>
      </c>
    </row>
    <row r="16" spans="1:16">
      <c r="A16" s="2530" t="s">
        <v>1616</v>
      </c>
      <c r="B16" s="2531" t="s">
        <v>939</v>
      </c>
      <c r="C16" s="2524">
        <v>43292</v>
      </c>
      <c r="D16" s="2524">
        <v>43292</v>
      </c>
      <c r="E16" s="2532" t="s">
        <v>181</v>
      </c>
      <c r="F16" s="2521" t="s">
        <v>723</v>
      </c>
      <c r="G16" s="2526" t="s">
        <v>940</v>
      </c>
      <c r="H16" s="2527">
        <v>355</v>
      </c>
      <c r="I16" s="2528">
        <v>355</v>
      </c>
      <c r="J16" s="2527"/>
      <c r="K16" s="2533" t="s">
        <v>941</v>
      </c>
      <c r="L16" s="2523">
        <v>6</v>
      </c>
      <c r="M16" s="2523">
        <v>42</v>
      </c>
      <c r="N16" s="2522">
        <v>43300</v>
      </c>
    </row>
    <row r="17" spans="1:14">
      <c r="A17" s="2530" t="s">
        <v>1616</v>
      </c>
      <c r="B17" s="2531" t="s">
        <v>939</v>
      </c>
      <c r="C17" s="2524">
        <v>43292</v>
      </c>
      <c r="D17" s="2524">
        <v>43292</v>
      </c>
      <c r="E17" s="2521" t="s">
        <v>160</v>
      </c>
      <c r="F17" s="2521" t="s">
        <v>723</v>
      </c>
      <c r="G17" s="2526" t="s">
        <v>942</v>
      </c>
      <c r="H17" s="2527">
        <v>26</v>
      </c>
      <c r="I17" s="2528">
        <v>26</v>
      </c>
      <c r="J17" s="2527"/>
      <c r="K17" s="2521" t="s">
        <v>941</v>
      </c>
      <c r="L17" s="2523">
        <v>2</v>
      </c>
      <c r="M17" s="2523">
        <v>8</v>
      </c>
      <c r="N17" s="2524">
        <v>43300</v>
      </c>
    </row>
    <row r="18" spans="1:14">
      <c r="A18" s="2530" t="s">
        <v>1616</v>
      </c>
      <c r="B18" s="2525" t="s">
        <v>939</v>
      </c>
      <c r="C18" s="2524">
        <v>43292</v>
      </c>
      <c r="D18" s="2524">
        <v>43292</v>
      </c>
      <c r="E18" s="2532" t="s">
        <v>161</v>
      </c>
      <c r="F18" s="2530" t="s">
        <v>723</v>
      </c>
      <c r="G18" s="2534" t="s">
        <v>945</v>
      </c>
      <c r="H18" s="2535">
        <v>11.2</v>
      </c>
      <c r="I18" s="2537">
        <v>11.2</v>
      </c>
      <c r="J18" s="2529"/>
      <c r="K18" s="2521" t="s">
        <v>941</v>
      </c>
      <c r="L18" s="2536">
        <v>0.1</v>
      </c>
      <c r="M18" s="2536"/>
      <c r="N18" s="2522">
        <v>43300</v>
      </c>
    </row>
    <row r="19" spans="1:14">
      <c r="A19" s="2530" t="s">
        <v>1616</v>
      </c>
      <c r="B19" s="2525" t="s">
        <v>939</v>
      </c>
      <c r="C19" s="2524">
        <v>43292</v>
      </c>
      <c r="D19" s="2524">
        <v>43292</v>
      </c>
      <c r="E19" s="2532" t="s">
        <v>161</v>
      </c>
      <c r="F19" s="2530" t="s">
        <v>723</v>
      </c>
      <c r="G19" s="2534" t="s">
        <v>945</v>
      </c>
      <c r="H19" s="2535">
        <v>12.1</v>
      </c>
      <c r="I19" s="2537">
        <v>12.1</v>
      </c>
      <c r="J19" s="2529"/>
      <c r="K19" s="2521" t="s">
        <v>941</v>
      </c>
      <c r="L19" s="2536">
        <v>0.1</v>
      </c>
      <c r="M19" s="2536"/>
      <c r="N19" s="2522">
        <v>43300</v>
      </c>
    </row>
    <row r="20" spans="1:14">
      <c r="A20" s="2521" t="s">
        <v>1617</v>
      </c>
      <c r="B20" s="2525" t="s">
        <v>1613</v>
      </c>
      <c r="C20" s="2524">
        <v>43292</v>
      </c>
      <c r="D20" s="2524">
        <v>43292</v>
      </c>
      <c r="E20" s="2532" t="s">
        <v>181</v>
      </c>
      <c r="F20" s="2521" t="s">
        <v>723</v>
      </c>
      <c r="G20" s="2526" t="s">
        <v>940</v>
      </c>
      <c r="H20" s="2527">
        <v>319</v>
      </c>
      <c r="I20" s="2528">
        <v>319</v>
      </c>
      <c r="J20" s="2538"/>
      <c r="K20" s="2533" t="s">
        <v>941</v>
      </c>
      <c r="L20" s="2523">
        <v>6</v>
      </c>
      <c r="M20" s="2523">
        <v>42</v>
      </c>
      <c r="N20" s="2522">
        <v>43300</v>
      </c>
    </row>
    <row r="21" spans="1:14">
      <c r="A21" s="2521" t="s">
        <v>1617</v>
      </c>
      <c r="B21" s="2525" t="s">
        <v>1613</v>
      </c>
      <c r="C21" s="2524">
        <v>43292</v>
      </c>
      <c r="D21" s="2524">
        <v>43292</v>
      </c>
      <c r="E21" s="2521" t="s">
        <v>160</v>
      </c>
      <c r="F21" s="2521" t="s">
        <v>723</v>
      </c>
      <c r="G21" s="2526" t="s">
        <v>942</v>
      </c>
      <c r="H21" s="2527">
        <v>28</v>
      </c>
      <c r="I21" s="2528">
        <v>28</v>
      </c>
      <c r="J21" s="2538"/>
      <c r="K21" s="2521" t="s">
        <v>941</v>
      </c>
      <c r="L21" s="2523">
        <v>2</v>
      </c>
      <c r="M21" s="2523">
        <v>8</v>
      </c>
      <c r="N21" s="2524">
        <v>43300</v>
      </c>
    </row>
    <row r="22" spans="1:14">
      <c r="A22" s="2548" t="s">
        <v>1618</v>
      </c>
      <c r="B22" s="2549" t="s">
        <v>939</v>
      </c>
      <c r="C22" s="2542">
        <v>43322</v>
      </c>
      <c r="D22" s="2542">
        <v>43322</v>
      </c>
      <c r="E22" s="2550" t="s">
        <v>181</v>
      </c>
      <c r="F22" s="2539" t="s">
        <v>723</v>
      </c>
      <c r="G22" s="2544" t="s">
        <v>940</v>
      </c>
      <c r="H22" s="2545">
        <v>518</v>
      </c>
      <c r="I22" s="2546">
        <v>518</v>
      </c>
      <c r="J22" s="2545"/>
      <c r="K22" s="2551" t="s">
        <v>941</v>
      </c>
      <c r="L22" s="2541">
        <v>6</v>
      </c>
      <c r="M22" s="2541">
        <v>42</v>
      </c>
      <c r="N22" s="2540">
        <v>43343</v>
      </c>
    </row>
    <row r="23" spans="1:14">
      <c r="A23" s="2548" t="s">
        <v>1618</v>
      </c>
      <c r="B23" s="2549" t="s">
        <v>939</v>
      </c>
      <c r="C23" s="2542">
        <v>43322</v>
      </c>
      <c r="D23" s="2542">
        <v>43322</v>
      </c>
      <c r="E23" s="2539" t="s">
        <v>160</v>
      </c>
      <c r="F23" s="2539" t="s">
        <v>723</v>
      </c>
      <c r="G23" s="2544" t="s">
        <v>942</v>
      </c>
      <c r="H23" s="2545">
        <v>62</v>
      </c>
      <c r="I23" s="2546">
        <v>62</v>
      </c>
      <c r="J23" s="2545"/>
      <c r="K23" s="2539" t="s">
        <v>941</v>
      </c>
      <c r="L23" s="2541">
        <v>2</v>
      </c>
      <c r="M23" s="2541">
        <v>8</v>
      </c>
      <c r="N23" s="2542">
        <v>43343</v>
      </c>
    </row>
    <row r="24" spans="1:14">
      <c r="A24" s="2548" t="s">
        <v>1618</v>
      </c>
      <c r="B24" s="2543" t="s">
        <v>939</v>
      </c>
      <c r="C24" s="2542">
        <v>43322</v>
      </c>
      <c r="D24" s="2542">
        <v>43322</v>
      </c>
      <c r="E24" s="2550" t="s">
        <v>161</v>
      </c>
      <c r="F24" s="2548" t="s">
        <v>723</v>
      </c>
      <c r="G24" s="2552" t="s">
        <v>945</v>
      </c>
      <c r="H24" s="2553">
        <v>33.9</v>
      </c>
      <c r="I24" s="2555">
        <v>33.9</v>
      </c>
      <c r="J24" s="2547"/>
      <c r="K24" s="2539" t="s">
        <v>941</v>
      </c>
      <c r="L24" s="2554">
        <v>0.1</v>
      </c>
      <c r="M24" s="2554"/>
      <c r="N24" s="2540">
        <v>43328</v>
      </c>
    </row>
    <row r="25" spans="1:14">
      <c r="A25" s="2548" t="s">
        <v>1618</v>
      </c>
      <c r="B25" s="2543" t="s">
        <v>939</v>
      </c>
      <c r="C25" s="2542">
        <v>43322</v>
      </c>
      <c r="D25" s="2542">
        <v>43322</v>
      </c>
      <c r="E25" s="2550" t="s">
        <v>161</v>
      </c>
      <c r="F25" s="2548" t="s">
        <v>723</v>
      </c>
      <c r="G25" s="2552" t="s">
        <v>945</v>
      </c>
      <c r="H25" s="2553">
        <v>32.4</v>
      </c>
      <c r="I25" s="2555">
        <v>32.4</v>
      </c>
      <c r="J25" s="2547"/>
      <c r="K25" s="2539" t="s">
        <v>941</v>
      </c>
      <c r="L25" s="2554">
        <v>0.1</v>
      </c>
      <c r="M25" s="2554"/>
      <c r="N25" s="2540">
        <v>43328</v>
      </c>
    </row>
    <row r="26" spans="1:14">
      <c r="A26" s="2539" t="s">
        <v>1619</v>
      </c>
      <c r="B26" s="2543" t="s">
        <v>1613</v>
      </c>
      <c r="C26" s="2542">
        <v>43322</v>
      </c>
      <c r="D26" s="2542">
        <v>43322</v>
      </c>
      <c r="E26" s="2550" t="s">
        <v>181</v>
      </c>
      <c r="F26" s="2539" t="s">
        <v>723</v>
      </c>
      <c r="G26" s="2544" t="s">
        <v>940</v>
      </c>
      <c r="H26" s="2545">
        <v>407</v>
      </c>
      <c r="I26" s="2546">
        <v>407</v>
      </c>
      <c r="J26" s="2556"/>
      <c r="K26" s="2551" t="s">
        <v>941</v>
      </c>
      <c r="L26" s="2541">
        <v>6</v>
      </c>
      <c r="M26" s="2541">
        <v>42</v>
      </c>
      <c r="N26" s="2540">
        <v>43343</v>
      </c>
    </row>
    <row r="27" spans="1:14" s="358" customFormat="1">
      <c r="A27" s="2539" t="s">
        <v>1619</v>
      </c>
      <c r="B27" s="2543" t="s">
        <v>1613</v>
      </c>
      <c r="C27" s="2542">
        <v>43322</v>
      </c>
      <c r="D27" s="2542">
        <v>43322</v>
      </c>
      <c r="E27" s="2539" t="s">
        <v>160</v>
      </c>
      <c r="F27" s="2539" t="s">
        <v>723</v>
      </c>
      <c r="G27" s="2544" t="s">
        <v>942</v>
      </c>
      <c r="H27" s="2545">
        <v>52</v>
      </c>
      <c r="I27" s="2546">
        <v>52</v>
      </c>
      <c r="J27" s="2556"/>
      <c r="K27" s="2539" t="s">
        <v>941</v>
      </c>
      <c r="L27" s="2541">
        <v>2</v>
      </c>
      <c r="M27" s="2541">
        <v>8</v>
      </c>
      <c r="N27" s="2542">
        <v>43343</v>
      </c>
    </row>
    <row r="28" spans="1:14">
      <c r="A28" s="2566" t="s">
        <v>1620</v>
      </c>
      <c r="B28" s="2567" t="s">
        <v>939</v>
      </c>
      <c r="C28" s="2560">
        <v>43355</v>
      </c>
      <c r="D28" s="2560">
        <v>43355</v>
      </c>
      <c r="E28" s="2568" t="s">
        <v>181</v>
      </c>
      <c r="F28" s="2557" t="s">
        <v>723</v>
      </c>
      <c r="G28" s="2562" t="s">
        <v>940</v>
      </c>
      <c r="H28" s="2563">
        <v>363</v>
      </c>
      <c r="I28" s="2564">
        <v>363</v>
      </c>
      <c r="J28" s="2563"/>
      <c r="K28" s="2569" t="s">
        <v>941</v>
      </c>
      <c r="L28" s="2559">
        <v>6</v>
      </c>
      <c r="M28" s="2559">
        <v>42</v>
      </c>
      <c r="N28" s="2558">
        <v>43376</v>
      </c>
    </row>
    <row r="29" spans="1:14">
      <c r="A29" s="2566" t="s">
        <v>1620</v>
      </c>
      <c r="B29" s="2567" t="s">
        <v>939</v>
      </c>
      <c r="C29" s="2560">
        <v>43355</v>
      </c>
      <c r="D29" s="2560">
        <v>43355</v>
      </c>
      <c r="E29" s="2557" t="s">
        <v>160</v>
      </c>
      <c r="F29" s="2557" t="s">
        <v>723</v>
      </c>
      <c r="G29" s="2562" t="s">
        <v>942</v>
      </c>
      <c r="H29" s="2563">
        <v>25</v>
      </c>
      <c r="I29" s="2564">
        <v>25</v>
      </c>
      <c r="J29" s="2563"/>
      <c r="K29" s="2557" t="s">
        <v>941</v>
      </c>
      <c r="L29" s="2559">
        <v>2</v>
      </c>
      <c r="M29" s="2559">
        <v>8</v>
      </c>
      <c r="N29" s="2560">
        <v>43376</v>
      </c>
    </row>
    <row r="30" spans="1:14">
      <c r="A30" s="2566" t="s">
        <v>1620</v>
      </c>
      <c r="B30" s="2561" t="s">
        <v>939</v>
      </c>
      <c r="C30" s="2560">
        <v>43355</v>
      </c>
      <c r="D30" s="2560">
        <v>43355</v>
      </c>
      <c r="E30" s="2568" t="s">
        <v>161</v>
      </c>
      <c r="F30" s="2566" t="s">
        <v>723</v>
      </c>
      <c r="G30" s="2570" t="s">
        <v>945</v>
      </c>
      <c r="H30" s="2571">
        <v>3.7</v>
      </c>
      <c r="I30" s="2573">
        <v>3.7</v>
      </c>
      <c r="J30" s="2565"/>
      <c r="K30" s="2557" t="s">
        <v>941</v>
      </c>
      <c r="L30" s="2572">
        <v>0.1</v>
      </c>
      <c r="M30" s="2572"/>
      <c r="N30" s="2558">
        <v>43363</v>
      </c>
    </row>
    <row r="31" spans="1:14">
      <c r="A31" s="2566" t="s">
        <v>1620</v>
      </c>
      <c r="B31" s="2561" t="s">
        <v>939</v>
      </c>
      <c r="C31" s="2560">
        <v>43355</v>
      </c>
      <c r="D31" s="2560">
        <v>43355</v>
      </c>
      <c r="E31" s="2568" t="s">
        <v>161</v>
      </c>
      <c r="F31" s="2566" t="s">
        <v>723</v>
      </c>
      <c r="G31" s="2570" t="s">
        <v>945</v>
      </c>
      <c r="H31" s="2571">
        <v>2.6</v>
      </c>
      <c r="I31" s="2573">
        <v>2.6</v>
      </c>
      <c r="J31" s="2565"/>
      <c r="K31" s="2557" t="s">
        <v>941</v>
      </c>
      <c r="L31" s="2572">
        <v>0.1</v>
      </c>
      <c r="M31" s="2572"/>
      <c r="N31" s="2558">
        <v>43363</v>
      </c>
    </row>
    <row r="32" spans="1:14">
      <c r="A32" s="2557" t="s">
        <v>1621</v>
      </c>
      <c r="B32" s="2561" t="s">
        <v>1613</v>
      </c>
      <c r="C32" s="2560">
        <v>43355</v>
      </c>
      <c r="D32" s="2560">
        <v>43355</v>
      </c>
      <c r="E32" s="2568" t="s">
        <v>181</v>
      </c>
      <c r="F32" s="2557" t="s">
        <v>723</v>
      </c>
      <c r="G32" s="2562" t="s">
        <v>940</v>
      </c>
      <c r="H32" s="2563">
        <v>287</v>
      </c>
      <c r="I32" s="2564">
        <v>287</v>
      </c>
      <c r="J32" s="2574"/>
      <c r="K32" s="2569" t="s">
        <v>941</v>
      </c>
      <c r="L32" s="2559">
        <v>6</v>
      </c>
      <c r="M32" s="2559">
        <v>42</v>
      </c>
      <c r="N32" s="2558">
        <v>43376</v>
      </c>
    </row>
    <row r="33" spans="1:14" s="358" customFormat="1">
      <c r="A33" s="2557" t="s">
        <v>1621</v>
      </c>
      <c r="B33" s="2561" t="s">
        <v>1613</v>
      </c>
      <c r="C33" s="2560">
        <v>43355</v>
      </c>
      <c r="D33" s="2560">
        <v>43355</v>
      </c>
      <c r="E33" s="2557" t="s">
        <v>160</v>
      </c>
      <c r="F33" s="2557" t="s">
        <v>723</v>
      </c>
      <c r="G33" s="2562" t="s">
        <v>942</v>
      </c>
      <c r="H33" s="2563">
        <v>38</v>
      </c>
      <c r="I33" s="2564">
        <v>38</v>
      </c>
      <c r="J33" s="2574"/>
      <c r="K33" s="2557" t="s">
        <v>941</v>
      </c>
      <c r="L33" s="2559">
        <v>2</v>
      </c>
      <c r="M33" s="2559">
        <v>8</v>
      </c>
      <c r="N33" s="2560">
        <v>43376</v>
      </c>
    </row>
    <row r="34" spans="1:14" s="358" customFormat="1">
      <c r="A34" s="2584" t="s">
        <v>1622</v>
      </c>
      <c r="B34" s="2585" t="s">
        <v>939</v>
      </c>
      <c r="C34" s="2578">
        <v>43397</v>
      </c>
      <c r="D34" s="2578">
        <v>43397</v>
      </c>
      <c r="E34" s="2586" t="s">
        <v>181</v>
      </c>
      <c r="F34" s="2575" t="s">
        <v>723</v>
      </c>
      <c r="G34" s="2580" t="s">
        <v>940</v>
      </c>
      <c r="H34" s="2581">
        <v>196</v>
      </c>
      <c r="I34" s="2582">
        <v>196</v>
      </c>
      <c r="J34" s="2581"/>
      <c r="K34" s="2587" t="s">
        <v>941</v>
      </c>
      <c r="L34" s="2577">
        <v>6</v>
      </c>
      <c r="M34" s="2577">
        <v>42</v>
      </c>
      <c r="N34" s="2576">
        <v>43411</v>
      </c>
    </row>
    <row r="35" spans="1:14" s="358" customFormat="1">
      <c r="A35" s="2584" t="s">
        <v>1622</v>
      </c>
      <c r="B35" s="2585" t="s">
        <v>939</v>
      </c>
      <c r="C35" s="2578">
        <v>43397</v>
      </c>
      <c r="D35" s="2578">
        <v>43397</v>
      </c>
      <c r="E35" s="2575" t="s">
        <v>160</v>
      </c>
      <c r="F35" s="2575" t="s">
        <v>723</v>
      </c>
      <c r="G35" s="2580" t="s">
        <v>942</v>
      </c>
      <c r="H35" s="2581">
        <v>20</v>
      </c>
      <c r="I35" s="2582">
        <v>20</v>
      </c>
      <c r="J35" s="2581"/>
      <c r="K35" s="2575" t="s">
        <v>941</v>
      </c>
      <c r="L35" s="2577">
        <v>2</v>
      </c>
      <c r="M35" s="2577">
        <v>8</v>
      </c>
      <c r="N35" s="2578">
        <v>43411</v>
      </c>
    </row>
    <row r="36" spans="1:14" s="358" customFormat="1">
      <c r="A36" s="2584" t="s">
        <v>1622</v>
      </c>
      <c r="B36" s="2579" t="s">
        <v>939</v>
      </c>
      <c r="C36" s="2578">
        <v>43397</v>
      </c>
      <c r="D36" s="2578">
        <v>43397</v>
      </c>
      <c r="E36" s="2586" t="s">
        <v>161</v>
      </c>
      <c r="F36" s="2584" t="s">
        <v>723</v>
      </c>
      <c r="G36" s="2588" t="s">
        <v>945</v>
      </c>
      <c r="H36" s="2589">
        <v>2.7</v>
      </c>
      <c r="I36" s="2591">
        <v>2.7</v>
      </c>
      <c r="J36" s="2583"/>
      <c r="K36" s="2575" t="s">
        <v>941</v>
      </c>
      <c r="L36" s="2590">
        <v>0.1</v>
      </c>
      <c r="M36" s="2590"/>
      <c r="N36" s="2576">
        <v>43405</v>
      </c>
    </row>
    <row r="37" spans="1:14" s="358" customFormat="1">
      <c r="A37" s="2584" t="s">
        <v>1622</v>
      </c>
      <c r="B37" s="2579" t="s">
        <v>939</v>
      </c>
      <c r="C37" s="2578">
        <v>43397</v>
      </c>
      <c r="D37" s="2578">
        <v>43397</v>
      </c>
      <c r="E37" s="2586" t="s">
        <v>161</v>
      </c>
      <c r="F37" s="2584" t="s">
        <v>723</v>
      </c>
      <c r="G37" s="2588" t="s">
        <v>945</v>
      </c>
      <c r="H37" s="2589">
        <v>2.4</v>
      </c>
      <c r="I37" s="2591">
        <v>2.4</v>
      </c>
      <c r="J37" s="2583"/>
      <c r="K37" s="2575" t="s">
        <v>941</v>
      </c>
      <c r="L37" s="2590">
        <v>0.1</v>
      </c>
      <c r="M37" s="2590"/>
      <c r="N37" s="2576">
        <v>43405</v>
      </c>
    </row>
    <row r="38" spans="1:14" s="358" customFormat="1">
      <c r="A38" s="2575" t="s">
        <v>1623</v>
      </c>
      <c r="B38" s="2579" t="s">
        <v>1613</v>
      </c>
      <c r="C38" s="2578">
        <v>43397</v>
      </c>
      <c r="D38" s="2578">
        <v>43397</v>
      </c>
      <c r="E38" s="2586" t="s">
        <v>181</v>
      </c>
      <c r="F38" s="2575" t="s">
        <v>723</v>
      </c>
      <c r="G38" s="2580" t="s">
        <v>940</v>
      </c>
      <c r="H38" s="2581">
        <v>304</v>
      </c>
      <c r="I38" s="2582">
        <v>304</v>
      </c>
      <c r="J38" s="2592"/>
      <c r="K38" s="2587" t="s">
        <v>941</v>
      </c>
      <c r="L38" s="2577">
        <v>6</v>
      </c>
      <c r="M38" s="2577">
        <v>42</v>
      </c>
      <c r="N38" s="2576">
        <v>43411</v>
      </c>
    </row>
    <row r="39" spans="1:14" s="358" customFormat="1">
      <c r="A39" s="2575" t="s">
        <v>1623</v>
      </c>
      <c r="B39" s="2579" t="s">
        <v>1613</v>
      </c>
      <c r="C39" s="2578">
        <v>43397</v>
      </c>
      <c r="D39" s="2578">
        <v>43397</v>
      </c>
      <c r="E39" s="2575" t="s">
        <v>160</v>
      </c>
      <c r="F39" s="2575" t="s">
        <v>723</v>
      </c>
      <c r="G39" s="2580" t="s">
        <v>942</v>
      </c>
      <c r="H39" s="2581">
        <v>44</v>
      </c>
      <c r="I39" s="2582">
        <v>44</v>
      </c>
      <c r="J39" s="2592"/>
      <c r="K39" s="2575" t="s">
        <v>941</v>
      </c>
      <c r="L39" s="2577">
        <v>2</v>
      </c>
      <c r="M39" s="2577">
        <v>8</v>
      </c>
      <c r="N39" s="2578">
        <v>43411</v>
      </c>
    </row>
    <row r="40" spans="1:14">
      <c r="A40" s="602"/>
      <c r="B40" s="603"/>
      <c r="C40" s="600" t="s">
        <v>939</v>
      </c>
      <c r="D40" s="1772" t="s">
        <v>28</v>
      </c>
      <c r="E40" s="1763" t="s">
        <v>27</v>
      </c>
      <c r="F40" s="1763"/>
      <c r="G40" s="1772" t="s">
        <v>161</v>
      </c>
      <c r="H40" s="601"/>
      <c r="I40" s="1772"/>
      <c r="J40" s="1763"/>
      <c r="M40" s="599"/>
      <c r="N40" s="598"/>
    </row>
    <row r="41" spans="1:14">
      <c r="A41" s="1771" t="s">
        <v>939</v>
      </c>
      <c r="C41" s="57">
        <v>43229</v>
      </c>
      <c r="D41" s="1738">
        <v>227</v>
      </c>
      <c r="E41" s="1776">
        <v>11</v>
      </c>
      <c r="F41" s="1776"/>
      <c r="G41" s="2589">
        <v>0.9</v>
      </c>
      <c r="H41" s="2589">
        <v>1.5</v>
      </c>
      <c r="I41" s="2865">
        <f>AVERAGE(G41:H41)</f>
        <v>1.2</v>
      </c>
      <c r="J41" s="1778"/>
      <c r="K41" s="1772"/>
      <c r="L41" s="1769"/>
      <c r="M41" s="599"/>
      <c r="N41" s="598"/>
    </row>
    <row r="42" spans="1:14">
      <c r="A42" s="1771" t="s">
        <v>939</v>
      </c>
      <c r="B42" s="1766"/>
      <c r="C42" s="57">
        <v>43264</v>
      </c>
      <c r="D42" s="1738">
        <v>254</v>
      </c>
      <c r="E42" s="1779">
        <v>21</v>
      </c>
      <c r="F42" s="1780"/>
      <c r="G42" s="2589">
        <v>3.2</v>
      </c>
      <c r="H42" s="2589">
        <v>3.5</v>
      </c>
      <c r="I42" s="2865">
        <f t="shared" ref="I42:I46" si="0">AVERAGE(G42:H42)</f>
        <v>3.35</v>
      </c>
      <c r="J42" s="1778"/>
      <c r="K42" s="1763"/>
      <c r="L42" s="1769"/>
      <c r="M42" s="605"/>
      <c r="N42" s="598"/>
    </row>
    <row r="43" spans="1:14">
      <c r="A43" s="1771" t="s">
        <v>939</v>
      </c>
      <c r="B43" s="1766"/>
      <c r="C43" s="57">
        <v>43292</v>
      </c>
      <c r="D43" s="1778">
        <v>355</v>
      </c>
      <c r="E43" s="1779">
        <v>25</v>
      </c>
      <c r="F43" s="1776"/>
      <c r="G43" s="2589">
        <v>11.2</v>
      </c>
      <c r="H43" s="2589">
        <v>12.1</v>
      </c>
      <c r="I43" s="2865">
        <f t="shared" si="0"/>
        <v>11.649999999999999</v>
      </c>
      <c r="J43" s="1781"/>
      <c r="K43" s="604"/>
      <c r="L43" s="599"/>
      <c r="M43" s="599"/>
      <c r="N43" s="598"/>
    </row>
    <row r="44" spans="1:14">
      <c r="A44" s="1767" t="s">
        <v>939</v>
      </c>
      <c r="B44" s="1766"/>
      <c r="C44" s="57">
        <v>43322</v>
      </c>
      <c r="D44" s="1782">
        <v>518</v>
      </c>
      <c r="E44" s="1776">
        <v>62</v>
      </c>
      <c r="F44" s="1776"/>
      <c r="G44" s="2589">
        <v>33.9</v>
      </c>
      <c r="H44" s="2589">
        <v>32.4</v>
      </c>
      <c r="I44" s="2865">
        <f t="shared" si="0"/>
        <v>33.15</v>
      </c>
      <c r="J44" s="1781"/>
      <c r="K44" s="597"/>
      <c r="L44" s="599"/>
      <c r="M44" s="599"/>
      <c r="N44" s="598"/>
    </row>
    <row r="45" spans="1:14">
      <c r="A45" s="1505" t="s">
        <v>939</v>
      </c>
      <c r="C45" s="57">
        <v>43355</v>
      </c>
      <c r="D45" s="1783">
        <v>363</v>
      </c>
      <c r="E45" s="1736">
        <v>25</v>
      </c>
      <c r="F45" s="1736"/>
      <c r="G45" s="2589">
        <v>3.7</v>
      </c>
      <c r="H45" s="2589">
        <v>2.6</v>
      </c>
      <c r="I45" s="2865">
        <f t="shared" si="0"/>
        <v>3.1500000000000004</v>
      </c>
      <c r="J45" s="1736"/>
      <c r="K45" s="205"/>
      <c r="L45" s="220"/>
      <c r="M45" s="220"/>
      <c r="N45" s="219"/>
    </row>
    <row r="46" spans="1:14">
      <c r="A46" s="1505"/>
      <c r="B46" s="1502"/>
      <c r="C46" s="57">
        <v>43397</v>
      </c>
      <c r="D46" s="1783">
        <v>196</v>
      </c>
      <c r="E46" s="1784">
        <v>20</v>
      </c>
      <c r="F46" s="1736"/>
      <c r="G46" s="2589">
        <v>2.7</v>
      </c>
      <c r="H46" s="2589">
        <v>2.4</v>
      </c>
      <c r="I46" s="2865">
        <f t="shared" si="0"/>
        <v>2.5499999999999998</v>
      </c>
      <c r="J46" s="611"/>
      <c r="K46" s="287"/>
      <c r="L46" s="291"/>
      <c r="M46" s="291"/>
      <c r="N46" s="219"/>
    </row>
    <row r="47" spans="1:14">
      <c r="A47" s="1503"/>
      <c r="B47" s="1502"/>
      <c r="C47" s="1506"/>
      <c r="D47" s="1495"/>
      <c r="E47" s="287"/>
      <c r="F47" s="287"/>
      <c r="G47" s="288"/>
      <c r="H47" s="287"/>
      <c r="I47" s="285"/>
      <c r="J47" s="287"/>
      <c r="K47" s="287"/>
      <c r="L47" s="218"/>
      <c r="M47" s="218"/>
      <c r="N47" s="219"/>
    </row>
    <row r="48" spans="1:14">
      <c r="A48" s="530" t="s">
        <v>1613</v>
      </c>
      <c r="B48" s="72"/>
      <c r="C48" s="57">
        <v>43229</v>
      </c>
      <c r="D48" s="1778">
        <v>325</v>
      </c>
      <c r="E48" s="1778">
        <v>23</v>
      </c>
      <c r="F48" s="531"/>
      <c r="G48" s="531"/>
      <c r="H48" s="195"/>
      <c r="I48" s="221"/>
      <c r="J48" s="287"/>
      <c r="K48" s="531"/>
      <c r="L48" s="218"/>
      <c r="M48" s="218"/>
      <c r="N48" s="219"/>
    </row>
    <row r="49" spans="1:14">
      <c r="C49" s="57">
        <v>43264</v>
      </c>
      <c r="D49" s="2864">
        <v>252</v>
      </c>
      <c r="E49" s="2864">
        <v>24</v>
      </c>
    </row>
    <row r="50" spans="1:14">
      <c r="A50" s="284"/>
      <c r="B50" s="285"/>
      <c r="C50" s="57">
        <v>43292</v>
      </c>
      <c r="D50" s="550">
        <v>319</v>
      </c>
      <c r="E50" s="611">
        <v>28</v>
      </c>
      <c r="F50" s="287"/>
      <c r="G50" s="288"/>
      <c r="H50" s="287"/>
      <c r="I50" s="285"/>
      <c r="J50" s="287"/>
      <c r="K50" s="205"/>
      <c r="L50" s="218"/>
      <c r="M50" s="218"/>
      <c r="N50" s="219"/>
    </row>
    <row r="51" spans="1:14">
      <c r="A51" s="284"/>
      <c r="B51" s="285"/>
      <c r="C51" s="57">
        <v>43322</v>
      </c>
      <c r="D51" s="550">
        <v>407</v>
      </c>
      <c r="E51" s="550">
        <v>52</v>
      </c>
      <c r="F51" s="287"/>
      <c r="G51" s="287"/>
      <c r="H51" s="287"/>
      <c r="I51" s="285"/>
      <c r="J51" s="287"/>
      <c r="K51" s="287"/>
      <c r="L51" s="218"/>
      <c r="M51" s="218"/>
      <c r="N51" s="219"/>
    </row>
    <row r="52" spans="1:14">
      <c r="A52" s="284"/>
      <c r="B52" s="285"/>
      <c r="C52" s="57">
        <v>43355</v>
      </c>
      <c r="D52" s="550">
        <v>287</v>
      </c>
      <c r="E52" s="550">
        <v>38</v>
      </c>
      <c r="F52" s="287"/>
      <c r="G52" s="287"/>
      <c r="H52" s="287"/>
      <c r="I52" s="285"/>
      <c r="J52" s="287"/>
      <c r="K52" s="205"/>
      <c r="L52" s="220"/>
      <c r="M52" s="220"/>
      <c r="N52" s="219"/>
    </row>
    <row r="53" spans="1:14">
      <c r="A53" s="284"/>
      <c r="B53" s="285"/>
      <c r="C53" s="57">
        <v>43397</v>
      </c>
      <c r="D53" s="550">
        <v>304</v>
      </c>
      <c r="E53" s="2866">
        <v>44</v>
      </c>
      <c r="F53" s="287"/>
      <c r="G53" s="288"/>
      <c r="H53" s="290"/>
      <c r="I53" s="289"/>
      <c r="J53" s="205"/>
      <c r="K53" s="287"/>
      <c r="L53" s="291"/>
      <c r="M53" s="291"/>
      <c r="N53" s="219"/>
    </row>
    <row r="54" spans="1:14">
      <c r="A54" s="284"/>
      <c r="B54" s="285"/>
      <c r="C54" s="109"/>
      <c r="D54" s="109"/>
      <c r="E54" s="287"/>
      <c r="F54" s="287"/>
      <c r="G54" s="288"/>
      <c r="H54" s="287"/>
      <c r="I54" s="285"/>
      <c r="J54" s="287"/>
      <c r="K54" s="287"/>
      <c r="L54" s="218"/>
      <c r="M54" s="218"/>
      <c r="N54" s="219"/>
    </row>
    <row r="55" spans="1:14">
      <c r="A55" s="284"/>
      <c r="B55" s="285"/>
      <c r="C55" s="109"/>
      <c r="D55" s="109"/>
      <c r="E55" s="286"/>
      <c r="F55" s="284"/>
      <c r="G55" s="292"/>
      <c r="H55" s="141"/>
      <c r="I55" s="222"/>
      <c r="J55" s="293"/>
      <c r="K55" s="287"/>
      <c r="L55" s="291"/>
      <c r="M55" s="291"/>
      <c r="N55" s="219"/>
    </row>
    <row r="56" spans="1:14">
      <c r="A56" s="284"/>
      <c r="B56" s="285"/>
      <c r="C56" s="109"/>
      <c r="D56" s="109"/>
      <c r="E56" s="286"/>
      <c r="F56" s="284"/>
      <c r="G56" s="292"/>
      <c r="H56" s="141"/>
      <c r="I56" s="222"/>
      <c r="J56" s="293"/>
      <c r="K56" s="287"/>
      <c r="L56" s="291"/>
      <c r="M56" s="291"/>
      <c r="N56" s="219"/>
    </row>
    <row r="57" spans="1:14">
      <c r="A57" s="284"/>
      <c r="B57" s="285"/>
      <c r="C57" s="109"/>
      <c r="D57" s="109"/>
      <c r="E57" s="287"/>
      <c r="F57" s="287"/>
      <c r="G57" s="287"/>
      <c r="H57" s="195"/>
      <c r="I57" s="221"/>
      <c r="J57" s="287"/>
      <c r="K57" s="287"/>
      <c r="L57" s="218"/>
      <c r="M57" s="218"/>
      <c r="N57" s="219"/>
    </row>
    <row r="58" spans="1:14">
      <c r="A58" s="284"/>
      <c r="B58" s="285"/>
      <c r="C58" s="109"/>
      <c r="D58" s="109"/>
      <c r="E58" s="286"/>
      <c r="F58" s="287"/>
      <c r="G58" s="288"/>
      <c r="H58" s="287"/>
      <c r="I58" s="285"/>
      <c r="J58" s="287"/>
      <c r="K58" s="205"/>
      <c r="L58" s="218"/>
      <c r="M58" s="218"/>
      <c r="N58" s="219"/>
    </row>
    <row r="59" spans="1:14">
      <c r="A59" s="284"/>
      <c r="B59" s="285"/>
      <c r="C59" s="109"/>
      <c r="D59" s="109"/>
      <c r="E59" s="287"/>
      <c r="F59" s="287"/>
      <c r="G59" s="287"/>
      <c r="H59" s="287"/>
      <c r="I59" s="285"/>
      <c r="J59" s="287"/>
      <c r="K59" s="287"/>
      <c r="L59" s="218"/>
      <c r="M59" s="218"/>
      <c r="N59" s="219"/>
    </row>
    <row r="60" spans="1:14">
      <c r="A60" s="284"/>
      <c r="B60" s="285"/>
      <c r="C60" s="109"/>
      <c r="D60" s="109"/>
      <c r="E60" s="287"/>
      <c r="F60" s="287"/>
      <c r="G60" s="287"/>
      <c r="H60" s="287"/>
      <c r="I60" s="285"/>
      <c r="J60" s="287"/>
      <c r="K60" s="205"/>
      <c r="L60" s="220"/>
      <c r="M60" s="220"/>
      <c r="N60" s="219"/>
    </row>
    <row r="61" spans="1:14">
      <c r="A61" s="284"/>
      <c r="B61" s="285"/>
      <c r="C61" s="109"/>
      <c r="D61" s="109"/>
      <c r="E61" s="289"/>
      <c r="F61" s="287"/>
      <c r="G61" s="288"/>
      <c r="H61" s="290"/>
      <c r="I61" s="289"/>
      <c r="J61" s="205"/>
      <c r="K61" s="287"/>
      <c r="L61" s="291"/>
      <c r="M61" s="291"/>
      <c r="N61" s="219"/>
    </row>
    <row r="62" spans="1:14">
      <c r="A62" s="284"/>
      <c r="B62" s="285"/>
      <c r="C62" s="109"/>
      <c r="D62" s="109"/>
      <c r="E62" s="287"/>
      <c r="F62" s="287"/>
      <c r="G62" s="288"/>
      <c r="H62" s="287"/>
      <c r="I62" s="285"/>
      <c r="J62" s="287"/>
      <c r="K62" s="287"/>
      <c r="L62" s="218"/>
      <c r="M62" s="218"/>
      <c r="N62" s="219"/>
    </row>
    <row r="63" spans="1:14">
      <c r="A63" s="284"/>
      <c r="B63" s="285"/>
      <c r="C63" s="109"/>
      <c r="D63" s="109"/>
      <c r="E63" s="287"/>
      <c r="F63" s="287"/>
      <c r="G63" s="287"/>
      <c r="H63" s="195"/>
      <c r="I63" s="221"/>
      <c r="J63" s="287"/>
      <c r="K63" s="287"/>
      <c r="L63" s="218"/>
      <c r="M63" s="218"/>
      <c r="N63" s="219"/>
    </row>
  </sheetData>
  <pageMargins left="0.7" right="0.7" top="0.75" bottom="0.75" header="0.3" footer="0.3"/>
  <pageSetup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AH138"/>
  <sheetViews>
    <sheetView tabSelected="1" topLeftCell="D12" workbookViewId="0">
      <selection activeCell="U18" sqref="U18"/>
    </sheetView>
  </sheetViews>
  <sheetFormatPr defaultColWidth="8.90625" defaultRowHeight="13"/>
  <cols>
    <col min="1" max="1" width="8.90625" style="108"/>
    <col min="2" max="2" width="26.36328125" style="108" customWidth="1"/>
    <col min="3" max="7" width="9.08984375" style="108" customWidth="1"/>
    <col min="8" max="8" width="9.90625" style="108" bestFit="1" customWidth="1"/>
    <col min="9" max="9" width="7.36328125" style="108" bestFit="1" customWidth="1"/>
    <col min="10" max="10" width="8.90625" style="108"/>
    <col min="11" max="11" width="19.36328125" style="108" customWidth="1"/>
    <col min="12" max="12" width="10.08984375" style="108" bestFit="1" customWidth="1"/>
    <col min="13" max="13" width="8.54296875" style="108" customWidth="1"/>
    <col min="14" max="14" width="5.81640625" style="108" bestFit="1" customWidth="1"/>
    <col min="15" max="15" width="6.54296875" style="108" customWidth="1"/>
    <col min="16" max="16" width="5" style="108" customWidth="1"/>
    <col min="17" max="17" width="8.36328125" style="108" customWidth="1"/>
    <col min="18" max="18" width="11.36328125" style="108" customWidth="1"/>
    <col min="19" max="19" width="8.90625" style="108"/>
    <col min="20" max="20" width="3" style="108" customWidth="1"/>
    <col min="21" max="21" width="8.90625" style="108"/>
    <col min="22" max="23" width="4.36328125" style="108" bestFit="1" customWidth="1"/>
    <col min="24" max="24" width="4.453125" style="108" bestFit="1" customWidth="1"/>
    <col min="25" max="25" width="4.36328125" style="108" bestFit="1" customWidth="1"/>
    <col min="26" max="26" width="4.54296875" style="108" bestFit="1" customWidth="1"/>
    <col min="27" max="30" width="4.36328125" style="108" bestFit="1" customWidth="1"/>
    <col min="31" max="31" width="6.08984375" style="108" bestFit="1" customWidth="1"/>
    <col min="32" max="32" width="6.453125" style="108" bestFit="1" customWidth="1"/>
    <col min="33" max="33" width="4.90625" style="108" bestFit="1" customWidth="1"/>
    <col min="34" max="34" width="4.81640625" style="108" bestFit="1" customWidth="1"/>
    <col min="35" max="35" width="14.1796875" style="108" bestFit="1" customWidth="1"/>
    <col min="36" max="16384" width="8.90625" style="108"/>
  </cols>
  <sheetData>
    <row r="1" spans="1:34">
      <c r="C1" s="720">
        <v>2.7230000000000002E-3</v>
      </c>
      <c r="K1" s="1509"/>
      <c r="L1" s="1786"/>
      <c r="M1" s="1509"/>
      <c r="N1" s="3180"/>
      <c r="O1" s="3180"/>
      <c r="P1" s="1509"/>
      <c r="Q1" s="1509"/>
      <c r="R1" s="1509"/>
      <c r="S1" s="1509"/>
    </row>
    <row r="2" spans="1:34" ht="14">
      <c r="B2" s="3179" t="s">
        <v>523</v>
      </c>
      <c r="C2" s="3179"/>
      <c r="D2" s="3179"/>
      <c r="E2" s="3179"/>
      <c r="F2" s="3179"/>
      <c r="G2" s="3179"/>
      <c r="H2" s="3179"/>
      <c r="I2" s="3179"/>
      <c r="K2" s="1787"/>
      <c r="L2" s="1788"/>
      <c r="M2" s="1788"/>
      <c r="N2" s="1788"/>
      <c r="O2" s="1788"/>
      <c r="P2" s="1788"/>
      <c r="Q2" s="1787"/>
      <c r="R2" s="1787"/>
      <c r="S2" s="1509"/>
      <c r="T2" s="121"/>
      <c r="U2" s="3164" t="s">
        <v>978</v>
      </c>
      <c r="V2" s="3165"/>
      <c r="W2" s="3165"/>
      <c r="X2" s="3165"/>
      <c r="Y2" s="3165"/>
      <c r="Z2" s="3165"/>
      <c r="AA2" s="3165"/>
      <c r="AB2" s="3165"/>
      <c r="AC2" s="3165"/>
      <c r="AD2" s="3165"/>
      <c r="AE2" s="3165"/>
      <c r="AF2" s="3165"/>
      <c r="AG2" s="3165"/>
      <c r="AH2" s="3166"/>
    </row>
    <row r="3" spans="1:34" ht="14">
      <c r="A3" s="183" t="s">
        <v>9</v>
      </c>
      <c r="B3" s="112" t="s">
        <v>162</v>
      </c>
      <c r="C3" s="2842">
        <v>43229</v>
      </c>
      <c r="D3" s="2842">
        <v>43264</v>
      </c>
      <c r="E3" s="2842">
        <v>43292</v>
      </c>
      <c r="F3" s="2842">
        <v>43322</v>
      </c>
      <c r="G3" s="2842">
        <v>43355</v>
      </c>
      <c r="H3" s="2842">
        <v>43397</v>
      </c>
      <c r="I3" s="184" t="s">
        <v>15</v>
      </c>
      <c r="K3" s="1788"/>
      <c r="L3" s="1789"/>
      <c r="M3" s="1790"/>
      <c r="N3" s="1791"/>
      <c r="O3" s="1791"/>
      <c r="P3" s="1792"/>
      <c r="Q3" s="1785"/>
      <c r="R3" s="1785"/>
      <c r="S3" s="1509"/>
      <c r="T3" s="121"/>
      <c r="U3" s="3167" t="s">
        <v>979</v>
      </c>
      <c r="V3" s="3170"/>
      <c r="W3" s="3171"/>
      <c r="X3" s="3171"/>
      <c r="Y3" s="3171"/>
      <c r="Z3" s="3171"/>
      <c r="AA3" s="3171"/>
      <c r="AB3" s="3171"/>
      <c r="AC3" s="3171"/>
      <c r="AD3" s="3171"/>
      <c r="AE3" s="3171"/>
      <c r="AF3" s="3171"/>
      <c r="AG3" s="3172"/>
      <c r="AH3" s="206"/>
    </row>
    <row r="4" spans="1:34" ht="14">
      <c r="A4" s="3181" t="s">
        <v>521</v>
      </c>
      <c r="B4" s="608" t="s">
        <v>181</v>
      </c>
      <c r="C4" s="541">
        <v>227</v>
      </c>
      <c r="D4" s="541">
        <v>254</v>
      </c>
      <c r="E4" s="854">
        <v>355</v>
      </c>
      <c r="F4" s="2847">
        <v>518</v>
      </c>
      <c r="G4" s="1532">
        <v>363</v>
      </c>
      <c r="H4" s="1532">
        <v>196</v>
      </c>
      <c r="I4" s="243">
        <f t="shared" ref="I4:I9" si="0">AVERAGE(C4:H4)</f>
        <v>318.83333333333331</v>
      </c>
      <c r="K4" s="1788"/>
      <c r="L4" s="1509"/>
      <c r="M4" s="1790"/>
      <c r="N4" s="1791"/>
      <c r="O4" s="1791"/>
      <c r="P4" s="1792"/>
      <c r="Q4" s="1509"/>
      <c r="R4" s="1509"/>
      <c r="S4" s="1793"/>
      <c r="T4" s="121"/>
      <c r="U4" s="3168"/>
      <c r="V4" s="3173"/>
      <c r="W4" s="3174"/>
      <c r="X4" s="3174"/>
      <c r="Y4" s="3174"/>
      <c r="Z4" s="3174"/>
      <c r="AA4" s="3174"/>
      <c r="AB4" s="3174"/>
      <c r="AC4" s="3174"/>
      <c r="AD4" s="3174"/>
      <c r="AE4" s="3174"/>
      <c r="AF4" s="3174"/>
      <c r="AG4" s="3175"/>
      <c r="AH4" s="206"/>
    </row>
    <row r="5" spans="1:34" ht="14">
      <c r="A5" s="3182"/>
      <c r="B5" s="404" t="s">
        <v>160</v>
      </c>
      <c r="C5" s="2867">
        <v>11</v>
      </c>
      <c r="D5" s="2868">
        <v>21</v>
      </c>
      <c r="E5" s="2868">
        <v>25</v>
      </c>
      <c r="F5" s="2867">
        <v>62</v>
      </c>
      <c r="G5" s="308">
        <v>25</v>
      </c>
      <c r="H5" s="1534">
        <v>20</v>
      </c>
      <c r="I5" s="243">
        <f t="shared" si="0"/>
        <v>27.333333333333332</v>
      </c>
      <c r="K5" s="1788"/>
      <c r="L5" s="1509"/>
      <c r="M5" s="1790"/>
      <c r="N5" s="1791"/>
      <c r="O5" s="1791"/>
      <c r="P5" s="1792"/>
      <c r="Q5" s="1509"/>
      <c r="R5" s="1509"/>
      <c r="S5" s="1793"/>
      <c r="T5" s="121"/>
      <c r="U5" s="3168"/>
      <c r="V5" s="3176" t="s">
        <v>980</v>
      </c>
      <c r="W5" s="3177"/>
      <c r="X5" s="3177"/>
      <c r="Y5" s="3177"/>
      <c r="Z5" s="3177"/>
      <c r="AA5" s="3177"/>
      <c r="AB5" s="3177"/>
      <c r="AC5" s="3177"/>
      <c r="AD5" s="3177"/>
      <c r="AE5" s="3177"/>
      <c r="AF5" s="3177"/>
      <c r="AG5" s="3178"/>
      <c r="AH5" s="206"/>
    </row>
    <row r="6" spans="1:34" ht="14">
      <c r="A6" s="3182"/>
      <c r="B6" s="404" t="s">
        <v>164</v>
      </c>
      <c r="C6" s="776">
        <v>9.1999999999999993</v>
      </c>
      <c r="D6" s="776"/>
      <c r="E6" s="776"/>
      <c r="F6" s="776"/>
      <c r="G6" s="776"/>
      <c r="H6" s="776"/>
      <c r="I6" s="243">
        <f t="shared" si="0"/>
        <v>9.1999999999999993</v>
      </c>
      <c r="K6" s="1788"/>
      <c r="L6" s="1509"/>
      <c r="M6" s="1790"/>
      <c r="N6" s="1791"/>
      <c r="O6" s="1791"/>
      <c r="P6" s="1792"/>
      <c r="Q6" s="1509"/>
      <c r="R6" s="1509"/>
      <c r="S6" s="1793"/>
      <c r="T6" s="121"/>
      <c r="U6" s="3169"/>
      <c r="V6" s="716" t="s">
        <v>65</v>
      </c>
      <c r="W6" s="716" t="s">
        <v>66</v>
      </c>
      <c r="X6" s="716" t="s">
        <v>67</v>
      </c>
      <c r="Y6" s="716" t="s">
        <v>68</v>
      </c>
      <c r="Z6" s="716" t="s">
        <v>69</v>
      </c>
      <c r="AA6" s="716" t="s">
        <v>70</v>
      </c>
      <c r="AB6" s="716" t="s">
        <v>71</v>
      </c>
      <c r="AC6" s="716" t="s">
        <v>72</v>
      </c>
      <c r="AD6" s="716" t="s">
        <v>73</v>
      </c>
      <c r="AE6" s="716" t="s">
        <v>74</v>
      </c>
      <c r="AF6" s="716" t="s">
        <v>75</v>
      </c>
      <c r="AG6" s="716" t="s">
        <v>76</v>
      </c>
      <c r="AH6" s="206"/>
    </row>
    <row r="7" spans="1:34" ht="14">
      <c r="A7" s="3182"/>
      <c r="B7" s="609" t="s">
        <v>696</v>
      </c>
      <c r="C7" s="214">
        <v>1.2</v>
      </c>
      <c r="D7" s="214">
        <v>3.35</v>
      </c>
      <c r="E7" s="214">
        <v>11.649999999999999</v>
      </c>
      <c r="F7" s="214">
        <v>33.15</v>
      </c>
      <c r="G7" s="214">
        <v>3.1500000000000004</v>
      </c>
      <c r="H7" s="214">
        <v>2.5499999999999998</v>
      </c>
      <c r="I7" s="533">
        <f t="shared" si="0"/>
        <v>9.1749999999999989</v>
      </c>
      <c r="K7" s="1788"/>
      <c r="L7" s="1509"/>
      <c r="M7" s="1790"/>
      <c r="N7" s="1791"/>
      <c r="O7" s="1791"/>
      <c r="P7" s="1792"/>
      <c r="Q7" s="1509"/>
      <c r="R7" s="1509"/>
      <c r="S7" s="1794"/>
      <c r="T7" s="121"/>
      <c r="U7" s="1804">
        <v>2017</v>
      </c>
      <c r="V7" s="719"/>
      <c r="W7" s="719"/>
      <c r="X7" s="719"/>
      <c r="Y7" s="719"/>
      <c r="Z7" s="1611">
        <v>37.700000000000003</v>
      </c>
      <c r="AA7" s="1611">
        <v>63.6</v>
      </c>
      <c r="AB7" s="1612">
        <v>44.4</v>
      </c>
      <c r="AC7" s="1612">
        <v>40.799999999999997</v>
      </c>
      <c r="AD7" s="1612">
        <v>26.4</v>
      </c>
      <c r="AE7" s="1612">
        <v>32</v>
      </c>
      <c r="AF7" s="717"/>
      <c r="AG7" s="717"/>
      <c r="AH7" s="206"/>
    </row>
    <row r="8" spans="1:34" ht="14">
      <c r="A8" s="3183" t="s">
        <v>522</v>
      </c>
      <c r="B8" s="610" t="s">
        <v>180</v>
      </c>
      <c r="C8" s="854">
        <v>325</v>
      </c>
      <c r="D8" s="2862">
        <v>252</v>
      </c>
      <c r="E8" s="2804">
        <v>319</v>
      </c>
      <c r="F8" s="2804">
        <v>407</v>
      </c>
      <c r="G8" s="2804">
        <v>287</v>
      </c>
      <c r="H8" s="2804">
        <v>304</v>
      </c>
      <c r="I8" s="533">
        <f t="shared" si="0"/>
        <v>315.66666666666669</v>
      </c>
      <c r="K8" s="1788"/>
      <c r="L8" s="1509"/>
      <c r="M8" s="1790"/>
      <c r="N8" s="1791"/>
      <c r="O8" s="1791"/>
      <c r="P8" s="1792"/>
      <c r="Q8" s="1509"/>
      <c r="R8" s="1509"/>
      <c r="S8" s="1509"/>
      <c r="T8" s="121"/>
      <c r="U8" s="718" t="s">
        <v>960</v>
      </c>
      <c r="V8" s="1619"/>
      <c r="W8" s="1619"/>
      <c r="X8" s="1619"/>
      <c r="Y8" s="1619"/>
      <c r="Z8" s="1619"/>
      <c r="AA8" s="1619"/>
      <c r="AB8" s="1619"/>
      <c r="AC8" s="1619"/>
      <c r="AD8" s="1619"/>
      <c r="AE8" s="1618"/>
      <c r="AF8" s="1618"/>
      <c r="AG8" s="1618"/>
      <c r="AH8" s="715"/>
    </row>
    <row r="9" spans="1:34" ht="14">
      <c r="A9" s="3183"/>
      <c r="B9" s="610" t="s">
        <v>160</v>
      </c>
      <c r="C9" s="854">
        <v>23</v>
      </c>
      <c r="D9" s="2862">
        <v>24</v>
      </c>
      <c r="E9" s="1743">
        <v>28</v>
      </c>
      <c r="F9" s="2804">
        <v>52</v>
      </c>
      <c r="G9" s="2804">
        <v>38</v>
      </c>
      <c r="H9" s="1744">
        <v>44</v>
      </c>
      <c r="I9" s="533">
        <f t="shared" si="0"/>
        <v>34.833333333333336</v>
      </c>
      <c r="K9" s="1788"/>
      <c r="L9" s="1509"/>
      <c r="M9" s="1790"/>
      <c r="N9" s="1791"/>
      <c r="O9" s="1791"/>
      <c r="P9" s="1792"/>
      <c r="Q9" s="1509"/>
      <c r="R9" s="1509"/>
      <c r="S9" s="1509"/>
      <c r="T9" s="121"/>
    </row>
    <row r="10" spans="1:34">
      <c r="B10" s="117"/>
      <c r="C10" s="777"/>
      <c r="D10" s="777"/>
      <c r="E10" s="777"/>
      <c r="F10" s="777"/>
      <c r="G10" s="777"/>
      <c r="H10" s="777"/>
      <c r="I10" s="775" t="s">
        <v>1011</v>
      </c>
    </row>
    <row r="11" spans="1:34" ht="14">
      <c r="A11" s="3184" t="s">
        <v>521</v>
      </c>
      <c r="B11" s="115" t="s">
        <v>491</v>
      </c>
      <c r="C11" s="214">
        <f t="shared" ref="C11:H11" si="1">C4*$C$1*C21</f>
        <v>16.071146000000002</v>
      </c>
      <c r="D11" s="214">
        <f t="shared" si="1"/>
        <v>12.3803918</v>
      </c>
      <c r="E11" s="214">
        <f t="shared" si="1"/>
        <v>12.566645000000001</v>
      </c>
      <c r="F11" s="214">
        <f t="shared" si="1"/>
        <v>12.751046559999999</v>
      </c>
      <c r="G11" s="214">
        <f t="shared" si="1"/>
        <v>10.5764043</v>
      </c>
      <c r="H11" s="214">
        <f t="shared" si="1"/>
        <v>6.4044960000000009</v>
      </c>
      <c r="I11" s="243">
        <f>SUM(C11:H11)</f>
        <v>70.750129659999999</v>
      </c>
      <c r="K11" s="118" t="s">
        <v>133</v>
      </c>
      <c r="L11" s="435">
        <v>43229</v>
      </c>
    </row>
    <row r="12" spans="1:34">
      <c r="A12" s="3185"/>
      <c r="B12" s="115" t="s">
        <v>492</v>
      </c>
      <c r="C12" s="214">
        <f t="shared" ref="C12:H12" si="2">C5*$C$1*C21</f>
        <v>0.77877799999999997</v>
      </c>
      <c r="D12" s="214">
        <f t="shared" si="2"/>
        <v>1.0235757000000001</v>
      </c>
      <c r="E12" s="214">
        <f t="shared" si="2"/>
        <v>0.88497500000000018</v>
      </c>
      <c r="F12" s="214">
        <f t="shared" si="2"/>
        <v>1.5261870399999999</v>
      </c>
      <c r="G12" s="214">
        <f t="shared" si="2"/>
        <v>0.72840250000000006</v>
      </c>
      <c r="H12" s="214">
        <f t="shared" si="2"/>
        <v>0.65351999999999999</v>
      </c>
      <c r="I12" s="243">
        <f>SUM(C12:H12)</f>
        <v>5.59543824</v>
      </c>
      <c r="K12" s="112" t="s">
        <v>252</v>
      </c>
      <c r="L12" s="120" t="s">
        <v>135</v>
      </c>
      <c r="M12" s="120" t="s">
        <v>136</v>
      </c>
      <c r="N12" s="120" t="s">
        <v>137</v>
      </c>
      <c r="O12" s="120" t="s">
        <v>138</v>
      </c>
      <c r="P12" s="120" t="s">
        <v>139</v>
      </c>
      <c r="Q12" s="112" t="s">
        <v>149</v>
      </c>
      <c r="R12" s="112" t="s">
        <v>157</v>
      </c>
      <c r="U12" s="108">
        <v>2</v>
      </c>
    </row>
    <row r="13" spans="1:34">
      <c r="A13" s="3186"/>
      <c r="B13" s="115" t="s">
        <v>981</v>
      </c>
      <c r="C13" s="214">
        <f t="shared" ref="C13:H13" si="3">(C6*$C$1*C21)*1000</f>
        <v>651.34159999999997</v>
      </c>
      <c r="D13" s="214">
        <f t="shared" si="3"/>
        <v>0</v>
      </c>
      <c r="E13" s="214">
        <f t="shared" si="3"/>
        <v>0</v>
      </c>
      <c r="F13" s="214">
        <f t="shared" si="3"/>
        <v>0</v>
      </c>
      <c r="G13" s="214">
        <f t="shared" si="3"/>
        <v>0</v>
      </c>
      <c r="H13" s="214">
        <f t="shared" si="3"/>
        <v>0</v>
      </c>
      <c r="I13" s="243">
        <f>SUM(C13:H13)</f>
        <v>651.34159999999997</v>
      </c>
      <c r="K13" s="113" t="s">
        <v>239</v>
      </c>
      <c r="L13" s="114">
        <v>0.47916666666666669</v>
      </c>
      <c r="M13" s="589">
        <v>105</v>
      </c>
      <c r="N13" s="240">
        <v>8.76</v>
      </c>
      <c r="O13" s="360">
        <v>13.2</v>
      </c>
      <c r="P13" s="240">
        <v>8.06</v>
      </c>
      <c r="Q13" s="363">
        <v>2</v>
      </c>
      <c r="R13" s="364">
        <v>5.8</v>
      </c>
      <c r="U13" s="108">
        <v>2</v>
      </c>
    </row>
    <row r="14" spans="1:34">
      <c r="A14" s="606"/>
      <c r="B14" s="123"/>
      <c r="C14" s="674" t="s">
        <v>69</v>
      </c>
      <c r="D14" s="674" t="s">
        <v>70</v>
      </c>
      <c r="E14" s="674" t="s">
        <v>71</v>
      </c>
      <c r="F14" s="674" t="s">
        <v>72</v>
      </c>
      <c r="G14" s="674" t="s">
        <v>73</v>
      </c>
      <c r="H14" s="674" t="s">
        <v>74</v>
      </c>
      <c r="I14" s="611"/>
      <c r="K14" s="113" t="s">
        <v>140</v>
      </c>
      <c r="L14" s="116"/>
      <c r="M14" s="589">
        <v>104.8</v>
      </c>
      <c r="N14" s="365">
        <v>8.7200000000000006</v>
      </c>
      <c r="O14" s="360">
        <v>12.9</v>
      </c>
      <c r="P14" s="365">
        <v>7.94</v>
      </c>
      <c r="Q14" s="117"/>
      <c r="R14" s="108" t="s">
        <v>253</v>
      </c>
      <c r="S14" s="126">
        <f>AVERAGE(N13:N17)</f>
        <v>8.9479999999999986</v>
      </c>
      <c r="U14" s="108">
        <v>1.5</v>
      </c>
    </row>
    <row r="15" spans="1:34">
      <c r="A15" s="607"/>
      <c r="B15" s="123"/>
      <c r="C15" s="235"/>
      <c r="D15" s="235"/>
      <c r="E15" s="235"/>
      <c r="F15" s="235"/>
      <c r="G15" s="235"/>
      <c r="H15" s="235"/>
      <c r="I15" s="338"/>
      <c r="K15" s="113" t="s">
        <v>240</v>
      </c>
      <c r="L15" s="116"/>
      <c r="M15" s="589">
        <v>105.3</v>
      </c>
      <c r="N15" s="240">
        <v>9.32</v>
      </c>
      <c r="O15" s="360">
        <v>12</v>
      </c>
      <c r="P15" s="240">
        <v>7.9</v>
      </c>
      <c r="Q15" s="117"/>
      <c r="R15" s="108" t="s">
        <v>246</v>
      </c>
      <c r="S15" s="126">
        <f>AVERAGE(O13:O17)</f>
        <v>11.7</v>
      </c>
      <c r="U15" s="108">
        <v>1.1000000000000001</v>
      </c>
    </row>
    <row r="16" spans="1:34">
      <c r="B16" s="131" t="s">
        <v>468</v>
      </c>
      <c r="C16" s="2842">
        <v>43229</v>
      </c>
      <c r="D16" s="2842">
        <v>43264</v>
      </c>
      <c r="E16" s="2842">
        <v>43292</v>
      </c>
      <c r="F16" s="2842">
        <v>43322</v>
      </c>
      <c r="G16" s="2842">
        <v>43355</v>
      </c>
      <c r="H16" s="2842">
        <v>43397</v>
      </c>
      <c r="I16" s="1806"/>
      <c r="J16" s="59"/>
      <c r="K16" s="113" t="s">
        <v>141</v>
      </c>
      <c r="L16" s="116"/>
      <c r="M16" s="589">
        <v>103.5</v>
      </c>
      <c r="N16" s="240">
        <v>9.14</v>
      </c>
      <c r="O16" s="360">
        <v>10.4</v>
      </c>
      <c r="P16" s="240">
        <v>7.84</v>
      </c>
      <c r="Q16" s="117"/>
      <c r="R16" s="108" t="s">
        <v>254</v>
      </c>
      <c r="S16" s="126">
        <f>AVERAGE(P13:P22)</f>
        <v>7.7880000000000011</v>
      </c>
      <c r="U16" s="108">
        <v>2.1</v>
      </c>
    </row>
    <row r="17" spans="1:21">
      <c r="A17" s="3052" t="s">
        <v>100</v>
      </c>
      <c r="B17" s="185" t="s">
        <v>469</v>
      </c>
      <c r="C17" s="186">
        <f>S14</f>
        <v>8.9479999999999986</v>
      </c>
      <c r="D17" s="186">
        <f>S26</f>
        <v>7.16</v>
      </c>
      <c r="E17" s="186">
        <f>S38</f>
        <v>6.9924999999999997</v>
      </c>
      <c r="F17" s="186">
        <f>S50</f>
        <v>6.49</v>
      </c>
      <c r="G17" s="186">
        <f>S62</f>
        <v>7.1475000000000009</v>
      </c>
      <c r="H17" s="186">
        <f>S74</f>
        <v>11.115</v>
      </c>
      <c r="I17" s="239"/>
      <c r="J17" s="59"/>
      <c r="K17" s="113" t="s">
        <v>241</v>
      </c>
      <c r="L17" s="116"/>
      <c r="M17" s="589">
        <v>103.6</v>
      </c>
      <c r="N17" s="240">
        <v>8.8000000000000007</v>
      </c>
      <c r="O17" s="360">
        <v>10</v>
      </c>
      <c r="P17" s="240">
        <v>7.79</v>
      </c>
      <c r="Q17" s="117"/>
      <c r="R17" s="108" t="s">
        <v>255</v>
      </c>
      <c r="S17" s="538">
        <f>AVERAGE(M13:M22)</f>
        <v>115.42000000000003</v>
      </c>
      <c r="T17" s="123"/>
      <c r="U17" s="108">
        <v>2.4</v>
      </c>
    </row>
    <row r="18" spans="1:21">
      <c r="A18" s="3052"/>
      <c r="B18" s="185" t="s">
        <v>471</v>
      </c>
      <c r="C18" s="186">
        <f t="shared" ref="C18:C20" si="4">S15</f>
        <v>11.7</v>
      </c>
      <c r="D18" s="186">
        <f t="shared" ref="D18:D20" si="5">S27</f>
        <v>18.424999999999997</v>
      </c>
      <c r="E18" s="186">
        <f t="shared" ref="E18:E20" si="6">S39</f>
        <v>21.075000000000003</v>
      </c>
      <c r="F18" s="186">
        <f t="shared" ref="F18:F20" si="7">S51</f>
        <v>19.275000000000002</v>
      </c>
      <c r="G18" s="186">
        <f t="shared" ref="G18:G20" si="8">S63</f>
        <v>16.3</v>
      </c>
      <c r="H18" s="186">
        <f t="shared" ref="H18:H20" si="9">S75</f>
        <v>7.7249999999999996</v>
      </c>
      <c r="I18" s="239"/>
      <c r="J18" s="59"/>
      <c r="K18" s="113" t="s">
        <v>142</v>
      </c>
      <c r="L18" s="116"/>
      <c r="M18" s="589">
        <v>107.7</v>
      </c>
      <c r="N18" s="240">
        <v>9.19</v>
      </c>
      <c r="O18" s="360">
        <v>8.9</v>
      </c>
      <c r="P18" s="240">
        <v>7.73</v>
      </c>
      <c r="Q18" s="117"/>
      <c r="S18" s="124"/>
      <c r="U18" s="3318">
        <f>AVERAGE(U12:U17)</f>
        <v>1.8499999999999999</v>
      </c>
    </row>
    <row r="19" spans="1:21">
      <c r="A19" s="3052"/>
      <c r="B19" s="185" t="s">
        <v>470</v>
      </c>
      <c r="C19" s="186">
        <f t="shared" si="4"/>
        <v>7.7880000000000011</v>
      </c>
      <c r="D19" s="186">
        <f t="shared" si="5"/>
        <v>7.577</v>
      </c>
      <c r="E19" s="186">
        <f t="shared" si="6"/>
        <v>7.294999999999999</v>
      </c>
      <c r="F19" s="186">
        <f t="shared" si="7"/>
        <v>7.0789999999999988</v>
      </c>
      <c r="G19" s="186">
        <f t="shared" si="8"/>
        <v>8.629999999999999</v>
      </c>
      <c r="H19" s="186">
        <f t="shared" si="9"/>
        <v>7.7830000000000013</v>
      </c>
      <c r="I19" s="239"/>
      <c r="J19" s="59"/>
      <c r="K19" s="113" t="s">
        <v>242</v>
      </c>
      <c r="L19" s="116"/>
      <c r="M19" s="589">
        <v>111.7</v>
      </c>
      <c r="N19" s="240">
        <v>8.11</v>
      </c>
      <c r="O19" s="360">
        <v>8</v>
      </c>
      <c r="P19" s="240">
        <v>7.71</v>
      </c>
      <c r="Q19" s="117"/>
    </row>
    <row r="20" spans="1:21">
      <c r="A20" s="3052"/>
      <c r="B20" s="185" t="s">
        <v>472</v>
      </c>
      <c r="C20" s="186">
        <f t="shared" si="4"/>
        <v>115.42000000000003</v>
      </c>
      <c r="D20" s="186">
        <f t="shared" si="5"/>
        <v>83.23</v>
      </c>
      <c r="E20" s="186">
        <f t="shared" si="6"/>
        <v>86.949999999999989</v>
      </c>
      <c r="F20" s="186">
        <f t="shared" si="7"/>
        <v>85.670000000000016</v>
      </c>
      <c r="G20" s="186">
        <f t="shared" si="8"/>
        <v>83.02</v>
      </c>
      <c r="H20" s="186">
        <f t="shared" si="9"/>
        <v>83.429999999999993</v>
      </c>
      <c r="I20" s="242"/>
      <c r="J20" s="59"/>
      <c r="K20" s="113" t="s">
        <v>143</v>
      </c>
      <c r="L20" s="116"/>
      <c r="M20" s="589">
        <v>112.4</v>
      </c>
      <c r="N20" s="240">
        <v>7.54</v>
      </c>
      <c r="O20" s="360">
        <v>7.5</v>
      </c>
      <c r="P20" s="240">
        <v>7.67</v>
      </c>
      <c r="Q20" s="117"/>
    </row>
    <row r="21" spans="1:21">
      <c r="A21" s="3052" t="s">
        <v>876</v>
      </c>
      <c r="B21" s="539" t="s">
        <v>874</v>
      </c>
      <c r="C21" s="1611">
        <v>26</v>
      </c>
      <c r="D21" s="1611">
        <v>17.899999999999999</v>
      </c>
      <c r="E21" s="1612">
        <v>13</v>
      </c>
      <c r="F21" s="1612">
        <v>9.0399999999999991</v>
      </c>
      <c r="G21" s="1612">
        <v>10.7</v>
      </c>
      <c r="H21" s="1612">
        <v>12</v>
      </c>
      <c r="I21" s="117"/>
      <c r="J21" s="59"/>
      <c r="K21" s="113" t="s">
        <v>144</v>
      </c>
      <c r="L21" s="116"/>
      <c r="M21" s="589">
        <v>177.8</v>
      </c>
      <c r="N21" s="240">
        <v>5.16</v>
      </c>
      <c r="O21" s="360">
        <v>6.8</v>
      </c>
      <c r="P21" s="240">
        <v>7.7</v>
      </c>
      <c r="Q21" s="117"/>
    </row>
    <row r="22" spans="1:21">
      <c r="A22" s="3052"/>
      <c r="B22" s="116" t="s">
        <v>875</v>
      </c>
      <c r="C22" s="661">
        <v>30.4</v>
      </c>
      <c r="D22" s="661">
        <v>15</v>
      </c>
      <c r="E22" s="661">
        <v>10</v>
      </c>
      <c r="F22" s="661">
        <v>8.76</v>
      </c>
      <c r="G22" s="661">
        <v>11</v>
      </c>
      <c r="H22" s="661">
        <v>11.6</v>
      </c>
      <c r="J22" s="59"/>
      <c r="K22" s="113" t="s">
        <v>145</v>
      </c>
      <c r="L22" s="116"/>
      <c r="M22" s="589">
        <v>122.4</v>
      </c>
      <c r="N22" s="240">
        <v>5.01</v>
      </c>
      <c r="O22" s="360">
        <v>6.7</v>
      </c>
      <c r="P22" s="365">
        <v>7.54</v>
      </c>
    </row>
    <row r="23" spans="1:21" ht="14">
      <c r="J23" s="59"/>
      <c r="K23" s="119" t="s">
        <v>133</v>
      </c>
      <c r="L23" s="435">
        <v>43264</v>
      </c>
    </row>
    <row r="24" spans="1:21">
      <c r="J24" s="59"/>
      <c r="K24" s="112" t="s">
        <v>252</v>
      </c>
      <c r="L24" s="120" t="s">
        <v>135</v>
      </c>
      <c r="M24" s="120" t="s">
        <v>136</v>
      </c>
      <c r="N24" s="120" t="s">
        <v>137</v>
      </c>
      <c r="O24" s="120" t="s">
        <v>138</v>
      </c>
      <c r="P24" s="120" t="s">
        <v>139</v>
      </c>
      <c r="Q24" s="112" t="s">
        <v>149</v>
      </c>
      <c r="R24" s="112" t="s">
        <v>157</v>
      </c>
    </row>
    <row r="25" spans="1:21">
      <c r="J25" s="59"/>
      <c r="K25" s="113" t="s">
        <v>239</v>
      </c>
      <c r="L25" s="114">
        <v>0.5</v>
      </c>
      <c r="M25" s="537">
        <v>83.4</v>
      </c>
      <c r="N25" s="361">
        <v>7.37</v>
      </c>
      <c r="O25" s="361">
        <v>19.2</v>
      </c>
      <c r="P25" s="186">
        <v>8.01</v>
      </c>
      <c r="Q25" s="363">
        <v>2</v>
      </c>
      <c r="R25" s="364">
        <v>5.8</v>
      </c>
    </row>
    <row r="26" spans="1:21">
      <c r="J26" s="59"/>
      <c r="K26" s="113" t="s">
        <v>140</v>
      </c>
      <c r="L26" s="116"/>
      <c r="M26" s="537">
        <v>83.3</v>
      </c>
      <c r="N26" s="361">
        <v>7.22</v>
      </c>
      <c r="O26" s="361">
        <v>18.399999999999999</v>
      </c>
      <c r="P26" s="186">
        <v>7.78</v>
      </c>
      <c r="Q26" s="117"/>
      <c r="R26" s="108" t="s">
        <v>253</v>
      </c>
      <c r="S26" s="126">
        <f>AVERAGE(N25:N28)</f>
        <v>7.16</v>
      </c>
    </row>
    <row r="27" spans="1:21">
      <c r="J27" s="62"/>
      <c r="K27" s="113" t="s">
        <v>240</v>
      </c>
      <c r="L27" s="116"/>
      <c r="M27" s="537">
        <v>83.3</v>
      </c>
      <c r="N27" s="361">
        <v>7.13</v>
      </c>
      <c r="O27" s="361">
        <v>18.100000000000001</v>
      </c>
      <c r="P27" s="186">
        <v>7.69</v>
      </c>
      <c r="Q27" s="117"/>
      <c r="R27" s="108" t="s">
        <v>246</v>
      </c>
      <c r="S27" s="126">
        <f>AVERAGE(O25:O28)</f>
        <v>18.424999999999997</v>
      </c>
    </row>
    <row r="28" spans="1:21">
      <c r="J28" s="66"/>
      <c r="K28" s="113" t="s">
        <v>141</v>
      </c>
      <c r="L28" s="116"/>
      <c r="M28" s="537">
        <v>83.4</v>
      </c>
      <c r="N28" s="361">
        <v>6.92</v>
      </c>
      <c r="O28" s="361">
        <v>18</v>
      </c>
      <c r="P28" s="186">
        <v>7.64</v>
      </c>
      <c r="Q28" s="117"/>
      <c r="R28" s="108" t="s">
        <v>254</v>
      </c>
      <c r="S28" s="126">
        <f>AVERAGE(P25:P34)</f>
        <v>7.577</v>
      </c>
    </row>
    <row r="29" spans="1:21">
      <c r="K29" s="113" t="s">
        <v>241</v>
      </c>
      <c r="L29" s="116"/>
      <c r="M29" s="537">
        <v>83.3</v>
      </c>
      <c r="N29" s="361">
        <v>6.98</v>
      </c>
      <c r="O29" s="361">
        <v>17.899999999999999</v>
      </c>
      <c r="P29" s="186">
        <v>7.56</v>
      </c>
      <c r="Q29" s="117"/>
      <c r="R29" s="108" t="s">
        <v>255</v>
      </c>
      <c r="S29" s="538">
        <f>AVERAGE(M25:M34)</f>
        <v>83.23</v>
      </c>
    </row>
    <row r="30" spans="1:21">
      <c r="K30" s="113" t="s">
        <v>142</v>
      </c>
      <c r="L30" s="116"/>
      <c r="M30" s="537">
        <v>83.3</v>
      </c>
      <c r="N30" s="361">
        <v>6.89</v>
      </c>
      <c r="O30" s="361">
        <v>17.899999999999999</v>
      </c>
      <c r="P30" s="186">
        <v>7.48</v>
      </c>
      <c r="Q30" s="117"/>
    </row>
    <row r="31" spans="1:21">
      <c r="K31" s="113" t="s">
        <v>242</v>
      </c>
      <c r="L31" s="116"/>
      <c r="M31" s="537">
        <v>83.2</v>
      </c>
      <c r="N31" s="361">
        <v>6.94</v>
      </c>
      <c r="O31" s="361">
        <v>17.7</v>
      </c>
      <c r="P31" s="186">
        <v>7.45</v>
      </c>
      <c r="Q31" s="117"/>
    </row>
    <row r="32" spans="1:21">
      <c r="K32" s="113" t="s">
        <v>143</v>
      </c>
      <c r="L32" s="116"/>
      <c r="M32" s="537">
        <v>83.2</v>
      </c>
      <c r="N32" s="361">
        <v>6.82</v>
      </c>
      <c r="O32" s="361">
        <v>17.7</v>
      </c>
      <c r="P32" s="186">
        <v>7.41</v>
      </c>
      <c r="Q32" s="117"/>
    </row>
    <row r="33" spans="2:19">
      <c r="B33" s="124"/>
      <c r="C33" s="125"/>
      <c r="D33" s="125"/>
      <c r="K33" s="113" t="s">
        <v>144</v>
      </c>
      <c r="L33" s="116"/>
      <c r="M33" s="537">
        <v>83.1</v>
      </c>
      <c r="N33" s="361">
        <v>6.57</v>
      </c>
      <c r="O33" s="361">
        <v>17.399999999999999</v>
      </c>
      <c r="P33" s="186">
        <v>7.39</v>
      </c>
      <c r="Q33" s="117"/>
    </row>
    <row r="34" spans="2:19">
      <c r="B34" s="124"/>
      <c r="C34" s="125"/>
      <c r="D34" s="125"/>
      <c r="E34" s="122"/>
      <c r="F34" s="122"/>
      <c r="G34" s="122"/>
      <c r="H34" s="122"/>
      <c r="I34" s="122"/>
      <c r="K34" s="113" t="s">
        <v>145</v>
      </c>
      <c r="L34" s="116"/>
      <c r="M34" s="537">
        <v>82.8</v>
      </c>
      <c r="N34" s="362">
        <v>6.11</v>
      </c>
      <c r="O34" s="361">
        <v>17.2</v>
      </c>
      <c r="P34" s="240">
        <v>7.36</v>
      </c>
    </row>
    <row r="35" spans="2:19" ht="14">
      <c r="B35" s="124"/>
      <c r="C35" s="125"/>
      <c r="D35" s="125"/>
      <c r="K35" s="119" t="s">
        <v>133</v>
      </c>
      <c r="L35" s="435">
        <v>43292</v>
      </c>
    </row>
    <row r="36" spans="2:19">
      <c r="K36" s="112" t="s">
        <v>252</v>
      </c>
      <c r="L36" s="225" t="s">
        <v>135</v>
      </c>
      <c r="M36" s="225" t="s">
        <v>136</v>
      </c>
      <c r="N36" s="225" t="s">
        <v>137</v>
      </c>
      <c r="O36" s="225" t="s">
        <v>138</v>
      </c>
      <c r="P36" s="225" t="s">
        <v>139</v>
      </c>
      <c r="Q36" s="112" t="s">
        <v>149</v>
      </c>
      <c r="R36" s="112" t="s">
        <v>157</v>
      </c>
    </row>
    <row r="37" spans="2:19">
      <c r="K37" s="113" t="s">
        <v>239</v>
      </c>
      <c r="L37" s="114">
        <v>0.52083333333333337</v>
      </c>
      <c r="M37" s="537">
        <v>87.1</v>
      </c>
      <c r="N37" s="186">
        <v>7.14</v>
      </c>
      <c r="O37" s="359">
        <v>22</v>
      </c>
      <c r="P37" s="186">
        <v>8.18</v>
      </c>
      <c r="Q37" s="363">
        <v>1.5</v>
      </c>
      <c r="R37" s="364">
        <v>5.8</v>
      </c>
    </row>
    <row r="38" spans="2:19">
      <c r="K38" s="113" t="s">
        <v>140</v>
      </c>
      <c r="L38" s="116"/>
      <c r="M38" s="537">
        <v>86.9</v>
      </c>
      <c r="N38" s="186">
        <v>7.23</v>
      </c>
      <c r="O38" s="359">
        <v>21</v>
      </c>
      <c r="P38" s="186">
        <v>7.51</v>
      </c>
      <c r="Q38" s="117"/>
      <c r="R38" s="108" t="s">
        <v>253</v>
      </c>
      <c r="S38" s="126">
        <f>AVERAGE(N37:N40)</f>
        <v>6.9924999999999997</v>
      </c>
    </row>
    <row r="39" spans="2:19">
      <c r="K39" s="113" t="s">
        <v>240</v>
      </c>
      <c r="L39" s="116"/>
      <c r="M39" s="537">
        <v>86.9</v>
      </c>
      <c r="N39" s="186">
        <v>6.81</v>
      </c>
      <c r="O39" s="359">
        <v>20.7</v>
      </c>
      <c r="P39" s="186">
        <v>7.33</v>
      </c>
      <c r="Q39" s="117"/>
      <c r="R39" s="108" t="s">
        <v>246</v>
      </c>
      <c r="S39" s="126">
        <f>AVERAGE(O37:O40)</f>
        <v>21.075000000000003</v>
      </c>
    </row>
    <row r="40" spans="2:19">
      <c r="K40" s="113" t="s">
        <v>141</v>
      </c>
      <c r="L40" s="116"/>
      <c r="M40" s="537">
        <v>86.8</v>
      </c>
      <c r="N40" s="186">
        <v>6.79</v>
      </c>
      <c r="O40" s="359">
        <v>20.6</v>
      </c>
      <c r="P40" s="186">
        <v>7.27</v>
      </c>
      <c r="Q40" s="117"/>
      <c r="R40" s="108" t="s">
        <v>254</v>
      </c>
      <c r="S40" s="126">
        <f>AVERAGE(P37:P46)</f>
        <v>7.294999999999999</v>
      </c>
    </row>
    <row r="41" spans="2:19">
      <c r="K41" s="113" t="s">
        <v>241</v>
      </c>
      <c r="L41" s="116"/>
      <c r="M41" s="537">
        <v>86.7</v>
      </c>
      <c r="N41" s="186">
        <v>6.74</v>
      </c>
      <c r="O41" s="359">
        <v>20.6</v>
      </c>
      <c r="P41" s="540">
        <v>7.21</v>
      </c>
      <c r="Q41" s="117"/>
      <c r="R41" s="108" t="s">
        <v>255</v>
      </c>
      <c r="S41" s="538">
        <f>AVERAGE(M37:M46)</f>
        <v>86.949999999999989</v>
      </c>
    </row>
    <row r="42" spans="2:19">
      <c r="K42" s="113" t="s">
        <v>142</v>
      </c>
      <c r="L42" s="116"/>
      <c r="M42" s="537">
        <v>86.8</v>
      </c>
      <c r="N42" s="186">
        <v>6.35</v>
      </c>
      <c r="O42" s="359">
        <v>20.5</v>
      </c>
      <c r="P42" s="186">
        <v>7.14</v>
      </c>
      <c r="Q42" s="117"/>
    </row>
    <row r="43" spans="2:19">
      <c r="K43" s="113" t="s">
        <v>242</v>
      </c>
      <c r="L43" s="116"/>
      <c r="M43" s="537">
        <v>86.9</v>
      </c>
      <c r="N43" s="241">
        <v>6.34</v>
      </c>
      <c r="O43" s="359">
        <v>20.5</v>
      </c>
      <c r="P43" s="186">
        <v>7.12</v>
      </c>
      <c r="Q43" s="117"/>
    </row>
    <row r="44" spans="2:19">
      <c r="K44" s="113" t="s">
        <v>143</v>
      </c>
      <c r="L44" s="116"/>
      <c r="M44" s="537">
        <v>86.9</v>
      </c>
      <c r="N44" s="186">
        <v>5.79</v>
      </c>
      <c r="O44" s="1805">
        <v>20.3</v>
      </c>
      <c r="P44" s="186">
        <v>7.09</v>
      </c>
      <c r="Q44" s="117"/>
    </row>
    <row r="45" spans="2:19">
      <c r="K45" s="113" t="s">
        <v>144</v>
      </c>
      <c r="L45" s="116"/>
      <c r="M45" s="537">
        <v>87.1</v>
      </c>
      <c r="N45" s="186">
        <v>5.45</v>
      </c>
      <c r="O45" s="359">
        <v>20.2</v>
      </c>
      <c r="P45" s="186">
        <v>7.07</v>
      </c>
      <c r="Q45" s="117"/>
    </row>
    <row r="46" spans="2:19">
      <c r="K46" s="113" t="s">
        <v>145</v>
      </c>
      <c r="L46" s="116"/>
      <c r="M46" s="537">
        <v>87.4</v>
      </c>
      <c r="N46" s="240">
        <v>5.35</v>
      </c>
      <c r="O46" s="359">
        <v>20.100000000000001</v>
      </c>
      <c r="P46" s="186">
        <v>7.03</v>
      </c>
    </row>
    <row r="47" spans="2:19" ht="14">
      <c r="K47" s="119" t="s">
        <v>133</v>
      </c>
      <c r="L47" s="435">
        <v>43331</v>
      </c>
    </row>
    <row r="48" spans="2:19">
      <c r="K48" s="112" t="s">
        <v>252</v>
      </c>
      <c r="L48" s="225" t="s">
        <v>135</v>
      </c>
      <c r="M48" s="225" t="s">
        <v>136</v>
      </c>
      <c r="N48" s="225" t="s">
        <v>137</v>
      </c>
      <c r="O48" s="225" t="s">
        <v>138</v>
      </c>
      <c r="P48" s="225" t="s">
        <v>139</v>
      </c>
      <c r="Q48" s="112" t="s">
        <v>149</v>
      </c>
      <c r="R48" s="112" t="s">
        <v>157</v>
      </c>
    </row>
    <row r="49" spans="11:19">
      <c r="K49" s="113" t="s">
        <v>239</v>
      </c>
      <c r="L49" s="114">
        <v>0.37083333333333335</v>
      </c>
      <c r="M49" s="537">
        <v>85.9</v>
      </c>
      <c r="N49" s="186">
        <v>6.75</v>
      </c>
      <c r="O49" s="359">
        <v>19.399999999999999</v>
      </c>
      <c r="P49" s="186">
        <v>7.29</v>
      </c>
      <c r="Q49" s="363">
        <v>1.1000000000000001</v>
      </c>
      <c r="R49" s="364">
        <v>6.05</v>
      </c>
    </row>
    <row r="50" spans="11:19">
      <c r="K50" s="113" t="s">
        <v>140</v>
      </c>
      <c r="L50" s="116"/>
      <c r="M50" s="537">
        <v>85.7</v>
      </c>
      <c r="N50" s="186">
        <v>6.62</v>
      </c>
      <c r="O50" s="359">
        <v>19.3</v>
      </c>
      <c r="P50" s="186">
        <v>7.19</v>
      </c>
      <c r="Q50" s="117"/>
      <c r="R50" s="108" t="s">
        <v>253</v>
      </c>
      <c r="S50" s="126">
        <f>AVERAGE(N49:N52)</f>
        <v>6.49</v>
      </c>
    </row>
    <row r="51" spans="11:19">
      <c r="K51" s="113" t="s">
        <v>240</v>
      </c>
      <c r="L51" s="116"/>
      <c r="M51" s="537">
        <v>85.7</v>
      </c>
      <c r="N51" s="186">
        <v>6.35</v>
      </c>
      <c r="O51" s="359">
        <v>19.2</v>
      </c>
      <c r="P51" s="186">
        <v>7.14</v>
      </c>
      <c r="Q51" s="117"/>
      <c r="R51" s="108" t="s">
        <v>246</v>
      </c>
      <c r="S51" s="126">
        <f>AVERAGE(O49:O52)</f>
        <v>19.275000000000002</v>
      </c>
    </row>
    <row r="52" spans="11:19">
      <c r="K52" s="113" t="s">
        <v>141</v>
      </c>
      <c r="L52" s="116"/>
      <c r="M52" s="537">
        <v>85.7</v>
      </c>
      <c r="N52" s="186">
        <v>6.24</v>
      </c>
      <c r="O52" s="359">
        <v>19.2</v>
      </c>
      <c r="P52" s="540">
        <v>7.11</v>
      </c>
      <c r="Q52" s="117"/>
      <c r="R52" s="108" t="s">
        <v>254</v>
      </c>
      <c r="S52" s="126">
        <f>AVERAGE(P49:P58)</f>
        <v>7.0789999999999988</v>
      </c>
    </row>
    <row r="53" spans="11:19">
      <c r="K53" s="113" t="s">
        <v>241</v>
      </c>
      <c r="L53" s="116"/>
      <c r="M53" s="537">
        <v>85.6</v>
      </c>
      <c r="N53" s="186">
        <v>6.17</v>
      </c>
      <c r="O53" s="359">
        <v>19.2</v>
      </c>
      <c r="P53" s="186">
        <v>7.07</v>
      </c>
      <c r="Q53" s="117"/>
      <c r="R53" s="108" t="s">
        <v>255</v>
      </c>
      <c r="S53" s="538">
        <f>AVERAGE(M49:M58)</f>
        <v>85.670000000000016</v>
      </c>
    </row>
    <row r="54" spans="11:19">
      <c r="K54" s="113" t="s">
        <v>142</v>
      </c>
      <c r="L54" s="116"/>
      <c r="M54" s="537">
        <v>85.6</v>
      </c>
      <c r="N54" s="186">
        <v>6.02</v>
      </c>
      <c r="O54" s="359">
        <v>19.2</v>
      </c>
      <c r="P54" s="186">
        <v>7.03</v>
      </c>
      <c r="Q54" s="117"/>
    </row>
    <row r="55" spans="11:19">
      <c r="K55" s="113" t="s">
        <v>242</v>
      </c>
      <c r="L55" s="116"/>
      <c r="M55" s="537">
        <v>85.6</v>
      </c>
      <c r="N55" s="241">
        <v>5.78</v>
      </c>
      <c r="O55" s="359">
        <v>19.2</v>
      </c>
      <c r="P55" s="186">
        <v>7.02</v>
      </c>
      <c r="Q55" s="117"/>
    </row>
    <row r="56" spans="11:19">
      <c r="K56" s="113" t="s">
        <v>143</v>
      </c>
      <c r="L56" s="116"/>
      <c r="M56" s="537">
        <v>85.6</v>
      </c>
      <c r="N56" s="186">
        <v>6.12</v>
      </c>
      <c r="O56" s="359">
        <v>19.2</v>
      </c>
      <c r="P56" s="186">
        <v>6.99</v>
      </c>
      <c r="Q56" s="117"/>
    </row>
    <row r="57" spans="11:19">
      <c r="K57" s="113" t="s">
        <v>144</v>
      </c>
      <c r="L57" s="116"/>
      <c r="M57" s="537">
        <v>85.6</v>
      </c>
      <c r="N57" s="186">
        <v>5.82</v>
      </c>
      <c r="O57" s="359">
        <v>19.2</v>
      </c>
      <c r="P57" s="186">
        <v>6.98</v>
      </c>
      <c r="Q57" s="117"/>
    </row>
    <row r="58" spans="11:19">
      <c r="K58" s="113" t="s">
        <v>145</v>
      </c>
      <c r="L58" s="116"/>
      <c r="M58" s="537">
        <v>85.7</v>
      </c>
      <c r="N58" s="240">
        <v>5.84</v>
      </c>
      <c r="O58" s="359">
        <v>19.2</v>
      </c>
      <c r="P58" s="240">
        <v>6.97</v>
      </c>
    </row>
    <row r="59" spans="11:19" ht="14">
      <c r="K59" s="119" t="s">
        <v>133</v>
      </c>
      <c r="L59" s="435">
        <v>43355</v>
      </c>
    </row>
    <row r="60" spans="11:19">
      <c r="K60" s="112" t="s">
        <v>252</v>
      </c>
      <c r="L60" s="225" t="s">
        <v>135</v>
      </c>
      <c r="M60" s="225" t="s">
        <v>136</v>
      </c>
      <c r="N60" s="225" t="s">
        <v>137</v>
      </c>
      <c r="O60" s="225" t="s">
        <v>138</v>
      </c>
      <c r="P60" s="225" t="s">
        <v>139</v>
      </c>
      <c r="Q60" s="112" t="s">
        <v>149</v>
      </c>
      <c r="R60" s="112" t="s">
        <v>157</v>
      </c>
    </row>
    <row r="61" spans="11:19">
      <c r="K61" s="113" t="s">
        <v>239</v>
      </c>
      <c r="L61" s="114">
        <v>0.49305555555555558</v>
      </c>
      <c r="M61" s="537">
        <v>85.9</v>
      </c>
      <c r="N61" s="186">
        <v>7.5</v>
      </c>
      <c r="O61" s="359">
        <v>16.8</v>
      </c>
      <c r="P61" s="186">
        <v>8.98</v>
      </c>
      <c r="Q61" s="363">
        <v>2.1</v>
      </c>
      <c r="R61" s="364">
        <v>7</v>
      </c>
    </row>
    <row r="62" spans="11:19">
      <c r="K62" s="113" t="s">
        <v>140</v>
      </c>
      <c r="L62" s="116"/>
      <c r="M62" s="537">
        <v>82.9</v>
      </c>
      <c r="N62" s="186">
        <v>7.28</v>
      </c>
      <c r="O62" s="359">
        <v>16.2</v>
      </c>
      <c r="P62" s="186">
        <v>8.85</v>
      </c>
      <c r="Q62" s="117"/>
      <c r="R62" s="108" t="s">
        <v>253</v>
      </c>
      <c r="S62" s="126">
        <f>AVERAGE(N61:N64)</f>
        <v>7.1475000000000009</v>
      </c>
    </row>
    <row r="63" spans="11:19">
      <c r="K63" s="113" t="s">
        <v>240</v>
      </c>
      <c r="L63" s="116"/>
      <c r="M63" s="537">
        <v>82.7</v>
      </c>
      <c r="N63" s="186">
        <v>7.07</v>
      </c>
      <c r="O63" s="359">
        <v>16.2</v>
      </c>
      <c r="P63" s="186">
        <v>8.73</v>
      </c>
      <c r="Q63" s="117"/>
      <c r="R63" s="108" t="s">
        <v>246</v>
      </c>
      <c r="S63" s="126">
        <f>AVERAGE(O61:O64)</f>
        <v>16.3</v>
      </c>
    </row>
    <row r="64" spans="11:19">
      <c r="K64" s="113" t="s">
        <v>141</v>
      </c>
      <c r="L64" s="116"/>
      <c r="M64" s="537">
        <v>82.6</v>
      </c>
      <c r="N64" s="186">
        <v>6.74</v>
      </c>
      <c r="O64" s="359">
        <v>16</v>
      </c>
      <c r="P64" s="186">
        <v>8.69</v>
      </c>
      <c r="Q64" s="117"/>
      <c r="R64" s="108" t="s">
        <v>254</v>
      </c>
      <c r="S64" s="126">
        <f>AVERAGE(P61:P70)</f>
        <v>8.629999999999999</v>
      </c>
    </row>
    <row r="65" spans="11:19">
      <c r="K65" s="113" t="s">
        <v>241</v>
      </c>
      <c r="L65" s="116"/>
      <c r="M65" s="537">
        <v>82.6</v>
      </c>
      <c r="N65" s="186">
        <v>6.55</v>
      </c>
      <c r="O65" s="359">
        <v>15.9</v>
      </c>
      <c r="P65" s="186">
        <v>8.64</v>
      </c>
      <c r="Q65" s="117"/>
      <c r="R65" s="108" t="s">
        <v>255</v>
      </c>
      <c r="S65" s="538">
        <f>AVERAGE(M61:M70)</f>
        <v>83.02</v>
      </c>
    </row>
    <row r="66" spans="11:19">
      <c r="K66" s="113" t="s">
        <v>142</v>
      </c>
      <c r="L66" s="116"/>
      <c r="M66" s="537">
        <v>82.8</v>
      </c>
      <c r="N66" s="186">
        <v>6.33</v>
      </c>
      <c r="O66" s="359">
        <v>15.9</v>
      </c>
      <c r="P66" s="186">
        <v>8.58</v>
      </c>
      <c r="Q66" s="117"/>
    </row>
    <row r="67" spans="11:19">
      <c r="K67" s="113" t="s">
        <v>242</v>
      </c>
      <c r="L67" s="116"/>
      <c r="M67" s="537">
        <v>82.7</v>
      </c>
      <c r="N67" s="186">
        <v>6.18</v>
      </c>
      <c r="O67" s="359">
        <v>15.8</v>
      </c>
      <c r="P67" s="186">
        <v>8.5</v>
      </c>
      <c r="Q67" s="117"/>
    </row>
    <row r="68" spans="11:19">
      <c r="K68" s="113" t="s">
        <v>143</v>
      </c>
      <c r="L68" s="116"/>
      <c r="M68" s="537">
        <v>82.4</v>
      </c>
      <c r="N68" s="241">
        <v>6.16</v>
      </c>
      <c r="O68" s="359">
        <v>15.8</v>
      </c>
      <c r="P68" s="186">
        <v>8.48</v>
      </c>
      <c r="Q68" s="117"/>
    </row>
    <row r="69" spans="11:19">
      <c r="K69" s="113" t="s">
        <v>144</v>
      </c>
      <c r="L69" s="116"/>
      <c r="M69" s="537">
        <v>82.8</v>
      </c>
      <c r="N69" s="186">
        <v>6</v>
      </c>
      <c r="O69" s="359">
        <v>15.8</v>
      </c>
      <c r="P69" s="186">
        <v>8.43</v>
      </c>
      <c r="Q69" s="117"/>
    </row>
    <row r="70" spans="11:19">
      <c r="K70" s="113" t="s">
        <v>145</v>
      </c>
      <c r="L70" s="116"/>
      <c r="M70" s="537">
        <v>82.8</v>
      </c>
      <c r="N70" s="186">
        <v>5.92</v>
      </c>
      <c r="O70" s="359">
        <v>15.2</v>
      </c>
      <c r="P70" s="240">
        <v>8.42</v>
      </c>
    </row>
    <row r="71" spans="11:19" ht="14">
      <c r="K71" s="119" t="s">
        <v>133</v>
      </c>
      <c r="L71" s="435">
        <v>43397</v>
      </c>
    </row>
    <row r="72" spans="11:19">
      <c r="K72" s="112" t="s">
        <v>252</v>
      </c>
      <c r="L72" s="225" t="s">
        <v>135</v>
      </c>
      <c r="M72" s="225" t="s">
        <v>136</v>
      </c>
      <c r="N72" s="225" t="s">
        <v>137</v>
      </c>
      <c r="O72" s="225" t="s">
        <v>138</v>
      </c>
      <c r="P72" s="225" t="s">
        <v>139</v>
      </c>
      <c r="Q72" s="112" t="s">
        <v>149</v>
      </c>
      <c r="R72" s="112" t="s">
        <v>157</v>
      </c>
    </row>
    <row r="73" spans="11:19">
      <c r="K73" s="113" t="s">
        <v>239</v>
      </c>
      <c r="L73" s="114">
        <v>0.44097222222222227</v>
      </c>
      <c r="M73" s="537">
        <v>84.5</v>
      </c>
      <c r="N73" s="186">
        <v>11.27</v>
      </c>
      <c r="O73" s="359">
        <v>7.8</v>
      </c>
      <c r="P73" s="186">
        <v>8.11</v>
      </c>
      <c r="Q73" s="713">
        <v>2.4</v>
      </c>
      <c r="R73" s="714">
        <v>5.8</v>
      </c>
    </row>
    <row r="74" spans="11:19">
      <c r="K74" s="113" t="s">
        <v>140</v>
      </c>
      <c r="L74" s="116"/>
      <c r="M74" s="537">
        <v>84.1</v>
      </c>
      <c r="N74" s="186">
        <v>11.32</v>
      </c>
      <c r="O74" s="359">
        <v>7.8</v>
      </c>
      <c r="P74" s="186">
        <v>7.9</v>
      </c>
      <c r="Q74" s="117"/>
      <c r="R74" s="108" t="s">
        <v>253</v>
      </c>
      <c r="S74" s="126">
        <f>AVERAGE(N73:N76)</f>
        <v>11.115</v>
      </c>
    </row>
    <row r="75" spans="11:19">
      <c r="K75" s="113" t="s">
        <v>240</v>
      </c>
      <c r="L75" s="116"/>
      <c r="M75" s="537">
        <v>84.1</v>
      </c>
      <c r="N75" s="186">
        <v>11.11</v>
      </c>
      <c r="O75" s="359">
        <v>7.7</v>
      </c>
      <c r="P75" s="186">
        <v>7.85</v>
      </c>
      <c r="Q75" s="117"/>
      <c r="R75" s="108" t="s">
        <v>246</v>
      </c>
      <c r="S75" s="126">
        <f>AVERAGE(O73:O76)</f>
        <v>7.7249999999999996</v>
      </c>
    </row>
    <row r="76" spans="11:19">
      <c r="K76" s="113" t="s">
        <v>141</v>
      </c>
      <c r="L76" s="116"/>
      <c r="M76" s="537">
        <v>84.1</v>
      </c>
      <c r="N76" s="186">
        <v>10.76</v>
      </c>
      <c r="O76" s="359">
        <v>7.6</v>
      </c>
      <c r="P76" s="186">
        <v>7.82</v>
      </c>
      <c r="Q76" s="117"/>
      <c r="R76" s="108" t="s">
        <v>254</v>
      </c>
      <c r="S76" s="126">
        <f>AVERAGE(P73:P82)</f>
        <v>7.7830000000000013</v>
      </c>
    </row>
    <row r="77" spans="11:19">
      <c r="K77" s="113" t="s">
        <v>241</v>
      </c>
      <c r="L77" s="116"/>
      <c r="M77" s="537">
        <v>83.6</v>
      </c>
      <c r="N77" s="186">
        <v>10.29</v>
      </c>
      <c r="O77" s="359">
        <v>7.2</v>
      </c>
      <c r="P77" s="186">
        <v>7.81</v>
      </c>
      <c r="Q77" s="117"/>
      <c r="R77" s="108" t="s">
        <v>255</v>
      </c>
      <c r="S77" s="538">
        <f>AVERAGE(M73:M82)</f>
        <v>83.429999999999993</v>
      </c>
    </row>
    <row r="78" spans="11:19">
      <c r="K78" s="113" t="s">
        <v>142</v>
      </c>
      <c r="L78" s="116"/>
      <c r="M78" s="537">
        <v>83</v>
      </c>
      <c r="N78" s="186">
        <v>10.11</v>
      </c>
      <c r="O78" s="359">
        <v>7</v>
      </c>
      <c r="P78" s="186">
        <v>7.77</v>
      </c>
      <c r="Q78" s="117"/>
    </row>
    <row r="79" spans="11:19">
      <c r="K79" s="113" t="s">
        <v>242</v>
      </c>
      <c r="L79" s="116"/>
      <c r="M79" s="537">
        <v>83</v>
      </c>
      <c r="N79" s="241">
        <v>9.5399999999999991</v>
      </c>
      <c r="O79" s="359">
        <v>7</v>
      </c>
      <c r="P79" s="186">
        <v>7.72</v>
      </c>
      <c r="Q79" s="117"/>
    </row>
    <row r="80" spans="11:19">
      <c r="K80" s="113" t="s">
        <v>143</v>
      </c>
      <c r="L80" s="116"/>
      <c r="M80" s="537">
        <v>83.1</v>
      </c>
      <c r="N80" s="186">
        <v>9.5</v>
      </c>
      <c r="O80" s="359">
        <v>6.8</v>
      </c>
      <c r="P80" s="186">
        <v>7.68</v>
      </c>
      <c r="Q80" s="117"/>
    </row>
    <row r="81" spans="11:17">
      <c r="K81" s="113" t="s">
        <v>144</v>
      </c>
      <c r="L81" s="116"/>
      <c r="M81" s="537">
        <v>82.8</v>
      </c>
      <c r="N81" s="186">
        <v>9.3699999999999992</v>
      </c>
      <c r="O81" s="359">
        <v>6.6</v>
      </c>
      <c r="P81" s="186">
        <v>7.61</v>
      </c>
      <c r="Q81" s="117"/>
    </row>
    <row r="82" spans="11:17">
      <c r="K82" s="113" t="s">
        <v>145</v>
      </c>
      <c r="L82" s="116"/>
      <c r="M82" s="537">
        <v>82</v>
      </c>
      <c r="N82" s="240">
        <v>8.5399999999999991</v>
      </c>
      <c r="O82" s="359">
        <v>6.5</v>
      </c>
      <c r="P82" s="240">
        <v>7.56</v>
      </c>
    </row>
    <row r="109" spans="1:8" ht="14" customHeight="1">
      <c r="A109" s="2894" t="s">
        <v>1801</v>
      </c>
      <c r="B109" s="2619"/>
      <c r="C109" s="2619"/>
      <c r="D109" s="2619"/>
      <c r="E109" s="2619"/>
      <c r="F109" s="2619"/>
      <c r="G109" s="2619"/>
      <c r="H109" s="2619"/>
    </row>
    <row r="110" spans="1:8" ht="14" customHeight="1">
      <c r="A110" s="733"/>
      <c r="B110" s="733"/>
      <c r="C110" s="733"/>
      <c r="D110" s="733"/>
      <c r="E110" s="733"/>
      <c r="F110" s="733"/>
      <c r="G110" s="2619"/>
      <c r="H110" s="2619"/>
    </row>
    <row r="111" spans="1:8">
      <c r="A111" s="2884" t="s">
        <v>1802</v>
      </c>
      <c r="B111" s="2895" t="s">
        <v>1803</v>
      </c>
      <c r="C111" s="2619"/>
      <c r="D111" s="2619"/>
      <c r="E111" s="2619"/>
      <c r="F111" s="2619"/>
      <c r="G111" s="2619"/>
      <c r="H111" s="2619"/>
    </row>
    <row r="112" spans="1:8" ht="14" customHeight="1">
      <c r="A112" s="2884" t="s">
        <v>1804</v>
      </c>
      <c r="B112" s="2885" t="s">
        <v>1815</v>
      </c>
      <c r="C112" s="2619" t="s">
        <v>740</v>
      </c>
      <c r="D112" s="2619"/>
      <c r="E112" s="2619"/>
      <c r="F112" s="2619"/>
      <c r="G112" s="2619"/>
      <c r="H112" s="2619"/>
    </row>
    <row r="113" spans="1:14">
      <c r="A113" s="2884" t="s">
        <v>1774</v>
      </c>
      <c r="B113" s="2885" t="s">
        <v>1816</v>
      </c>
      <c r="C113" s="2619"/>
      <c r="D113" s="2619"/>
      <c r="E113" s="2619"/>
      <c r="F113" s="2619"/>
      <c r="G113" s="2619"/>
    </row>
    <row r="114" spans="1:14">
      <c r="A114" s="2884" t="s">
        <v>1775</v>
      </c>
      <c r="B114" s="2886">
        <v>43355</v>
      </c>
      <c r="C114" s="2619"/>
      <c r="D114" s="2619"/>
      <c r="E114" s="2619"/>
      <c r="F114" s="2619"/>
      <c r="G114" s="2890"/>
      <c r="L114" s="108" t="s">
        <v>1797</v>
      </c>
      <c r="M114" s="108" t="s">
        <v>1799</v>
      </c>
      <c r="N114" s="108" t="s">
        <v>1800</v>
      </c>
    </row>
    <row r="115" spans="1:14">
      <c r="A115" s="2884"/>
      <c r="B115" s="2619"/>
      <c r="C115" s="2619"/>
      <c r="D115" s="2619"/>
      <c r="E115" s="2619"/>
      <c r="F115" s="2619"/>
      <c r="G115" s="2891"/>
      <c r="K115" s="2619" t="s">
        <v>1791</v>
      </c>
      <c r="L115" s="108">
        <f>AVERAGE(B121:B124)</f>
        <v>130.09615384615387</v>
      </c>
      <c r="M115" s="108">
        <v>4</v>
      </c>
      <c r="N115" s="108">
        <f>AVERAGE(D121:D124)</f>
        <v>21971.794871794868</v>
      </c>
    </row>
    <row r="116" spans="1:14">
      <c r="A116" s="2884" t="s">
        <v>1776</v>
      </c>
      <c r="B116" s="2887">
        <v>1055.2243589743582</v>
      </c>
      <c r="C116" s="2619"/>
      <c r="D116" s="2619"/>
      <c r="E116" s="2619"/>
      <c r="F116" s="2619"/>
      <c r="G116" s="2619"/>
      <c r="K116" s="2619" t="s">
        <v>1788</v>
      </c>
      <c r="L116" s="108">
        <f>AVERAGE(B125:B135)</f>
        <v>35.480769230769212</v>
      </c>
      <c r="M116" s="108">
        <v>11</v>
      </c>
      <c r="N116" s="108">
        <f>AVERAGE(D125:D135)</f>
        <v>24481.730769230766</v>
      </c>
    </row>
    <row r="117" spans="1:14" ht="15">
      <c r="A117" s="2884" t="s">
        <v>1777</v>
      </c>
      <c r="B117" s="2887">
        <v>483524.03846153867</v>
      </c>
      <c r="C117" s="2619"/>
      <c r="D117" s="2619"/>
      <c r="E117" s="2619"/>
      <c r="F117" s="2619"/>
      <c r="G117" s="2619"/>
      <c r="K117" s="108" t="s">
        <v>1798</v>
      </c>
      <c r="L117" s="108">
        <f>AVERAGE(B136:B138)</f>
        <v>48.183760683760681</v>
      </c>
      <c r="M117" s="108">
        <v>3</v>
      </c>
      <c r="N117" s="108">
        <f>AVERAGE(D136:D138)</f>
        <v>42112.606837606836</v>
      </c>
    </row>
    <row r="118" spans="1:14">
      <c r="A118" s="2884" t="s">
        <v>1778</v>
      </c>
      <c r="B118" s="2888">
        <v>44.611549377441406</v>
      </c>
      <c r="C118" s="2619"/>
      <c r="D118" s="2619"/>
      <c r="E118" s="2619"/>
      <c r="F118" s="2619"/>
      <c r="G118" s="2619"/>
    </row>
    <row r="119" spans="1:14">
      <c r="A119" s="2619"/>
      <c r="B119" s="2884" t="s">
        <v>1779</v>
      </c>
      <c r="C119" s="2884" t="s">
        <v>1779</v>
      </c>
      <c r="D119" s="2884" t="s">
        <v>1780</v>
      </c>
      <c r="E119" s="2884" t="s">
        <v>1780</v>
      </c>
      <c r="F119" s="2619"/>
      <c r="G119" s="2619"/>
    </row>
    <row r="120" spans="1:14" ht="15">
      <c r="A120" s="2889" t="s">
        <v>1781</v>
      </c>
      <c r="B120" s="2884" t="s">
        <v>1782</v>
      </c>
      <c r="C120" s="2884" t="s">
        <v>1783</v>
      </c>
      <c r="D120" s="2884" t="s">
        <v>1784</v>
      </c>
      <c r="E120" s="2884" t="s">
        <v>1783</v>
      </c>
      <c r="F120" s="2890" t="s">
        <v>1785</v>
      </c>
      <c r="G120" s="2619"/>
    </row>
    <row r="121" spans="1:14">
      <c r="A121" s="2619" t="s">
        <v>1805</v>
      </c>
      <c r="B121" s="2892">
        <v>86.730769230769226</v>
      </c>
      <c r="C121" s="2893">
        <v>8.2191780821917853</v>
      </c>
      <c r="D121" s="2892">
        <v>1734.6153846153845</v>
      </c>
      <c r="E121" s="2893">
        <v>0.3587443946188339</v>
      </c>
      <c r="F121" s="2619" t="s">
        <v>1791</v>
      </c>
      <c r="G121" s="2619"/>
    </row>
    <row r="122" spans="1:14">
      <c r="A122" s="2619" t="s">
        <v>1811</v>
      </c>
      <c r="B122" s="2892">
        <v>14.455128205128204</v>
      </c>
      <c r="C122" s="2893">
        <v>1.3698630136986312</v>
      </c>
      <c r="D122" s="2892">
        <v>5492.9487179487178</v>
      </c>
      <c r="E122" s="2893">
        <v>1.1360239162929739</v>
      </c>
      <c r="F122" s="2619" t="s">
        <v>1791</v>
      </c>
      <c r="G122" s="2619"/>
    </row>
    <row r="123" spans="1:14">
      <c r="A123" s="2619" t="s">
        <v>1793</v>
      </c>
      <c r="B123" s="2892">
        <v>274.64743589743591</v>
      </c>
      <c r="C123" s="2893">
        <v>26.027397260273993</v>
      </c>
      <c r="D123" s="2892">
        <v>5492.9487179487187</v>
      </c>
      <c r="E123" s="2893">
        <v>1.1360239162929742</v>
      </c>
      <c r="F123" s="2619" t="s">
        <v>1786</v>
      </c>
      <c r="G123" s="2619"/>
    </row>
    <row r="124" spans="1:14">
      <c r="A124" s="2619" t="s">
        <v>1005</v>
      </c>
      <c r="B124" s="2892">
        <v>144.55128205128204</v>
      </c>
      <c r="C124" s="2893">
        <v>13.698630136986312</v>
      </c>
      <c r="D124" s="2892">
        <v>75166.666666666657</v>
      </c>
      <c r="E124" s="2893">
        <v>15.545590433482801</v>
      </c>
      <c r="F124" s="2619" t="s">
        <v>1786</v>
      </c>
      <c r="G124" s="2619"/>
    </row>
    <row r="125" spans="1:14">
      <c r="A125" s="2619" t="s">
        <v>1789</v>
      </c>
      <c r="B125" s="2892">
        <v>115.64102564102564</v>
      </c>
      <c r="C125" s="2893">
        <v>10.958904109589049</v>
      </c>
      <c r="D125" s="2892">
        <v>5782.0512820512813</v>
      </c>
      <c r="E125" s="2893">
        <v>1.1958146487294463</v>
      </c>
      <c r="F125" s="2619" t="s">
        <v>1788</v>
      </c>
      <c r="G125" s="2619"/>
    </row>
    <row r="126" spans="1:14">
      <c r="A126" s="2619" t="s">
        <v>1792</v>
      </c>
      <c r="B126" s="2892">
        <v>72.275641025641022</v>
      </c>
      <c r="C126" s="2893">
        <v>6.8493150684931559</v>
      </c>
      <c r="D126" s="2892">
        <v>26741.98717948718</v>
      </c>
      <c r="E126" s="2893">
        <v>5.5306427503736897</v>
      </c>
      <c r="F126" s="2619" t="s">
        <v>1788</v>
      </c>
      <c r="G126" s="2619"/>
    </row>
    <row r="127" spans="1:14">
      <c r="A127" s="2619" t="s">
        <v>1790</v>
      </c>
      <c r="B127" s="2892">
        <v>72.275641025641022</v>
      </c>
      <c r="C127" s="2893">
        <v>6.8493150684931559</v>
      </c>
      <c r="D127" s="2892">
        <v>127711.05769230769</v>
      </c>
      <c r="E127" s="2893">
        <v>26.412556053811649</v>
      </c>
      <c r="F127" s="2619" t="s">
        <v>1788</v>
      </c>
      <c r="G127" s="2619"/>
    </row>
    <row r="128" spans="1:14">
      <c r="A128" s="2619" t="s">
        <v>1807</v>
      </c>
      <c r="B128" s="2892">
        <v>28.910256410256409</v>
      </c>
      <c r="C128" s="2893">
        <v>2.7397260273972623</v>
      </c>
      <c r="D128" s="2892">
        <v>50592.948717948719</v>
      </c>
      <c r="E128" s="2893">
        <v>10.463378176382657</v>
      </c>
      <c r="F128" s="2619" t="s">
        <v>1788</v>
      </c>
      <c r="G128" s="2619"/>
    </row>
    <row r="129" spans="1:7">
      <c r="A129" s="2619" t="s">
        <v>1808</v>
      </c>
      <c r="B129" s="2892">
        <v>14.455128205128204</v>
      </c>
      <c r="C129" s="2893">
        <v>1.3698630136986312</v>
      </c>
      <c r="D129" s="2892">
        <v>2601.9230769230767</v>
      </c>
      <c r="E129" s="2893">
        <v>0.53811659192825079</v>
      </c>
      <c r="F129" s="2619" t="s">
        <v>1788</v>
      </c>
      <c r="G129" s="2619"/>
    </row>
    <row r="130" spans="1:7">
      <c r="A130" s="2619" t="s">
        <v>1809</v>
      </c>
      <c r="B130" s="2892">
        <v>14.455128205128204</v>
      </c>
      <c r="C130" s="2893">
        <v>1.3698630136986312</v>
      </c>
      <c r="D130" s="2892">
        <v>8673.076923076922</v>
      </c>
      <c r="E130" s="2893">
        <v>1.7937219730941694</v>
      </c>
      <c r="F130" s="2619" t="s">
        <v>1788</v>
      </c>
      <c r="G130" s="2619"/>
    </row>
    <row r="131" spans="1:7">
      <c r="A131" s="2619" t="s">
        <v>1810</v>
      </c>
      <c r="B131" s="2892">
        <v>14.455128205128204</v>
      </c>
      <c r="C131" s="2893">
        <v>1.3698630136986312</v>
      </c>
      <c r="D131" s="2892">
        <v>2023.7179487179487</v>
      </c>
      <c r="E131" s="2893">
        <v>0.41853512705530621</v>
      </c>
      <c r="F131" s="2619" t="s">
        <v>1788</v>
      </c>
      <c r="G131" s="2619"/>
    </row>
    <row r="132" spans="1:7">
      <c r="A132" s="2619" t="s">
        <v>1008</v>
      </c>
      <c r="B132" s="2892">
        <v>14.455128205128204</v>
      </c>
      <c r="C132" s="2893">
        <v>1.3698630136986312</v>
      </c>
      <c r="D132" s="2892">
        <v>23850.961538461539</v>
      </c>
      <c r="E132" s="2893">
        <v>4.9327354260089669</v>
      </c>
      <c r="F132" s="2619" t="s">
        <v>1788</v>
      </c>
      <c r="G132" s="2619"/>
    </row>
    <row r="133" spans="1:7">
      <c r="A133" s="2619" t="s">
        <v>1796</v>
      </c>
      <c r="B133" s="2892">
        <v>14.455128205128204</v>
      </c>
      <c r="C133" s="2893">
        <v>1.3698630136986312</v>
      </c>
      <c r="D133" s="2892">
        <v>12214.583333333332</v>
      </c>
      <c r="E133" s="2893">
        <v>2.5261584454409554</v>
      </c>
      <c r="F133" s="2619" t="s">
        <v>1788</v>
      </c>
      <c r="G133" s="2619"/>
    </row>
    <row r="134" spans="1:7">
      <c r="A134" s="2619" t="s">
        <v>1813</v>
      </c>
      <c r="B134" s="2892">
        <v>14.455128205128204</v>
      </c>
      <c r="C134" s="2893">
        <v>1.3698630136986312</v>
      </c>
      <c r="D134" s="2892">
        <v>2601.9230769230767</v>
      </c>
      <c r="E134" s="2893">
        <v>0.53811659192825079</v>
      </c>
      <c r="F134" s="2619" t="s">
        <v>1788</v>
      </c>
      <c r="G134" s="2619"/>
    </row>
    <row r="135" spans="1:7">
      <c r="A135" s="2619" t="s">
        <v>1814</v>
      </c>
      <c r="B135" s="2892">
        <v>14.455128205128204</v>
      </c>
      <c r="C135" s="2893">
        <v>1.3698630136986312</v>
      </c>
      <c r="D135" s="2892">
        <v>6504.8076923076924</v>
      </c>
      <c r="E135" s="2893">
        <v>1.3452914798206272</v>
      </c>
      <c r="F135" s="2619" t="s">
        <v>1788</v>
      </c>
      <c r="G135" s="2619"/>
    </row>
    <row r="136" spans="1:7">
      <c r="A136" s="2619" t="s">
        <v>1794</v>
      </c>
      <c r="B136" s="2892">
        <v>86.730769230769226</v>
      </c>
      <c r="C136" s="2893">
        <v>8.2191780821917853</v>
      </c>
      <c r="D136" s="2892">
        <v>2168.2692307692305</v>
      </c>
      <c r="E136" s="2893">
        <v>0.44843049327354234</v>
      </c>
      <c r="F136" s="2619" t="s">
        <v>1795</v>
      </c>
      <c r="G136" s="2619"/>
    </row>
    <row r="137" spans="1:7">
      <c r="A137" s="2619" t="s">
        <v>1806</v>
      </c>
      <c r="B137" s="2892">
        <v>43.365384615384613</v>
      </c>
      <c r="C137" s="2893">
        <v>4.1095890410958926</v>
      </c>
      <c r="D137" s="2892">
        <v>121423.07692307692</v>
      </c>
      <c r="E137" s="2893">
        <v>25.112107623318376</v>
      </c>
      <c r="F137" s="2619" t="s">
        <v>1795</v>
      </c>
      <c r="G137" s="2619"/>
    </row>
    <row r="138" spans="1:7">
      <c r="A138" s="2619" t="s">
        <v>1812</v>
      </c>
      <c r="B138" s="2892">
        <v>14.455128205128204</v>
      </c>
      <c r="C138" s="2893">
        <v>1.3698630136986312</v>
      </c>
      <c r="D138" s="2892">
        <v>2746.4743589743589</v>
      </c>
      <c r="E138" s="2893">
        <v>0.56801195814648697</v>
      </c>
      <c r="F138" s="2619" t="s">
        <v>1795</v>
      </c>
    </row>
  </sheetData>
  <sortState xmlns:xlrd2="http://schemas.microsoft.com/office/spreadsheetml/2017/richdata2" ref="A121:F138">
    <sortCondition ref="F121:F138"/>
  </sortState>
  <mergeCells count="12">
    <mergeCell ref="A21:A22"/>
    <mergeCell ref="A17:A20"/>
    <mergeCell ref="B2:I2"/>
    <mergeCell ref="N1:O1"/>
    <mergeCell ref="A4:A7"/>
    <mergeCell ref="A8:A9"/>
    <mergeCell ref="A11:A13"/>
    <mergeCell ref="U2:AH2"/>
    <mergeCell ref="U3:U6"/>
    <mergeCell ref="V3:AG3"/>
    <mergeCell ref="V4:AG4"/>
    <mergeCell ref="V5:AG5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AS82"/>
  <sheetViews>
    <sheetView topLeftCell="Y4" workbookViewId="0">
      <selection activeCell="AG6" sqref="AG6"/>
    </sheetView>
  </sheetViews>
  <sheetFormatPr defaultRowHeight="14"/>
  <cols>
    <col min="1" max="1" width="7.6328125" style="1200" bestFit="1" customWidth="1"/>
    <col min="2" max="2" width="11.6328125" style="1200" bestFit="1" customWidth="1"/>
    <col min="3" max="3" width="7.1796875" style="1200" customWidth="1"/>
    <col min="4" max="4" width="10.90625" style="1200" bestFit="1" customWidth="1"/>
    <col min="5" max="5" width="18.90625" style="1200" customWidth="1"/>
    <col min="6" max="6" width="8.7265625" style="1200"/>
    <col min="7" max="7" width="17.6328125" style="1200" customWidth="1"/>
    <col min="8" max="8" width="11.36328125" style="1200" bestFit="1" customWidth="1"/>
    <col min="9" max="13" width="8.7265625" style="1200"/>
    <col min="14" max="14" width="10.36328125" style="1200" customWidth="1"/>
    <col min="15" max="16" width="8.7265625" style="1200"/>
    <col min="17" max="17" width="12.1796875" style="1200" customWidth="1"/>
    <col min="18" max="18" width="8.08984375" style="1200" customWidth="1"/>
    <col min="19" max="19" width="7.36328125" style="1200" bestFit="1" customWidth="1"/>
    <col min="20" max="20" width="6.6328125" style="1200" bestFit="1" customWidth="1"/>
    <col min="21" max="21" width="8" style="1200" bestFit="1" customWidth="1"/>
    <col min="22" max="22" width="8.453125" style="1200" customWidth="1"/>
    <col min="23" max="23" width="8.7265625" style="1200"/>
    <col min="24" max="24" width="20" style="1200" bestFit="1" customWidth="1"/>
    <col min="25" max="25" width="11.54296875" style="1200" bestFit="1" customWidth="1"/>
    <col min="26" max="27" width="11.08984375" style="1200" bestFit="1" customWidth="1"/>
    <col min="28" max="28" width="14" style="1200" bestFit="1" customWidth="1"/>
    <col min="29" max="29" width="14.08984375" style="1200" bestFit="1" customWidth="1"/>
    <col min="30" max="30" width="11.08984375" style="1200" bestFit="1" customWidth="1"/>
    <col min="31" max="31" width="8.81640625" style="1200" bestFit="1" customWidth="1"/>
    <col min="32" max="32" width="11.08984375" style="1200" bestFit="1" customWidth="1"/>
    <col min="33" max="33" width="10.54296875" style="1200" customWidth="1"/>
    <col min="34" max="35" width="8.7265625" style="1200"/>
    <col min="36" max="37" width="8.453125" style="1200" bestFit="1" customWidth="1"/>
    <col min="38" max="38" width="11.1796875" style="1200" bestFit="1" customWidth="1"/>
    <col min="39" max="39" width="17.36328125" style="1200" bestFit="1" customWidth="1"/>
    <col min="40" max="40" width="11.1796875" style="1200" bestFit="1" customWidth="1"/>
    <col min="41" max="41" width="10.90625" style="1200" bestFit="1" customWidth="1"/>
    <col min="42" max="42" width="6.54296875" style="1200" bestFit="1" customWidth="1"/>
    <col min="43" max="43" width="6" style="1200" bestFit="1" customWidth="1"/>
    <col min="44" max="16384" width="8.7265625" style="1200"/>
  </cols>
  <sheetData>
    <row r="1" spans="1:41">
      <c r="A1" s="3190" t="s">
        <v>1465</v>
      </c>
      <c r="B1" s="3191"/>
      <c r="C1" s="3191"/>
      <c r="D1" s="3191"/>
      <c r="E1" s="3191"/>
      <c r="G1" s="1201" t="s">
        <v>170</v>
      </c>
      <c r="H1" s="1202"/>
      <c r="I1" s="1202" t="s">
        <v>171</v>
      </c>
      <c r="J1" s="1047" t="s">
        <v>1466</v>
      </c>
      <c r="K1" s="1202"/>
      <c r="L1" s="1202"/>
      <c r="M1" s="1202"/>
      <c r="N1" s="1202"/>
      <c r="R1" s="3193" t="s">
        <v>641</v>
      </c>
      <c r="S1" s="3193"/>
      <c r="T1" s="3193"/>
      <c r="U1" s="3193"/>
      <c r="V1" s="3193"/>
      <c r="X1" s="1203" t="s">
        <v>765</v>
      </c>
      <c r="Y1" s="1203"/>
      <c r="Z1" s="1203"/>
      <c r="AA1" s="1203"/>
      <c r="AB1" s="1203"/>
      <c r="AC1" s="1203" t="s">
        <v>649</v>
      </c>
      <c r="AD1" s="1204">
        <v>0.04</v>
      </c>
      <c r="AE1" s="1203"/>
      <c r="AF1" s="1203"/>
      <c r="AO1" s="1205">
        <v>2018</v>
      </c>
    </row>
    <row r="2" spans="1:41">
      <c r="A2" s="1206" t="s">
        <v>9</v>
      </c>
      <c r="B2" s="1206" t="s">
        <v>637</v>
      </c>
      <c r="C2" s="1207" t="s">
        <v>638</v>
      </c>
      <c r="D2" s="1207" t="s">
        <v>642</v>
      </c>
      <c r="E2" s="1207" t="s">
        <v>643</v>
      </c>
      <c r="F2" s="1208"/>
      <c r="G2" s="1209" t="s">
        <v>1241</v>
      </c>
      <c r="H2" s="1210" t="s">
        <v>135</v>
      </c>
      <c r="I2" s="1210" t="s">
        <v>136</v>
      </c>
      <c r="J2" s="1210" t="s">
        <v>137</v>
      </c>
      <c r="K2" s="1210" t="s">
        <v>138</v>
      </c>
      <c r="L2" s="1210" t="s">
        <v>139</v>
      </c>
      <c r="M2" s="1209" t="s">
        <v>149</v>
      </c>
      <c r="N2" s="1209" t="s">
        <v>1259</v>
      </c>
      <c r="P2" s="1211" t="s">
        <v>9</v>
      </c>
      <c r="Q2" s="1211" t="s">
        <v>640</v>
      </c>
      <c r="R2" s="1212">
        <v>25</v>
      </c>
      <c r="S2" s="1211">
        <v>60</v>
      </c>
      <c r="T2" s="1211">
        <v>120</v>
      </c>
      <c r="U2" s="1211">
        <v>200</v>
      </c>
      <c r="V2" s="1211" t="s">
        <v>639</v>
      </c>
      <c r="X2" s="1213"/>
      <c r="Y2" s="1213"/>
      <c r="Z2" s="1213"/>
      <c r="AA2" s="1213"/>
      <c r="AB2" s="1905" t="s">
        <v>1460</v>
      </c>
      <c r="AC2" s="1213"/>
      <c r="AD2" s="1214">
        <v>2.5000000000000001E-2</v>
      </c>
      <c r="AE2" s="1213"/>
      <c r="AF2" s="1204">
        <v>2018</v>
      </c>
      <c r="AO2" s="1215" t="s">
        <v>652</v>
      </c>
    </row>
    <row r="3" spans="1:41" ht="15.5">
      <c r="A3" s="1216" t="s">
        <v>627</v>
      </c>
      <c r="B3" s="1217" t="s">
        <v>368</v>
      </c>
      <c r="C3" s="1218" t="s">
        <v>1256</v>
      </c>
      <c r="D3" s="1219">
        <v>39.651482000000001</v>
      </c>
      <c r="E3" s="1219">
        <v>-105.14570000000001</v>
      </c>
      <c r="G3" s="1220" t="s">
        <v>239</v>
      </c>
      <c r="H3" s="1221">
        <v>0.47222222222222227</v>
      </c>
      <c r="I3" s="1222">
        <v>667.2</v>
      </c>
      <c r="J3" s="1224">
        <v>8.92</v>
      </c>
      <c r="K3" s="1222">
        <v>10.9</v>
      </c>
      <c r="L3" s="1224">
        <v>8.26</v>
      </c>
      <c r="M3" s="1225">
        <v>0.9</v>
      </c>
      <c r="N3" s="1226">
        <v>9.1999999999999993</v>
      </c>
      <c r="P3" s="1206" t="s">
        <v>627</v>
      </c>
      <c r="Q3" s="1206" t="s">
        <v>769</v>
      </c>
      <c r="R3" s="1227">
        <v>1</v>
      </c>
      <c r="S3" s="1206">
        <v>3</v>
      </c>
      <c r="T3" s="1206">
        <v>5</v>
      </c>
      <c r="U3" s="1206">
        <v>6</v>
      </c>
      <c r="V3" s="1206">
        <f>100-(R3+S3+T3+U3)</f>
        <v>85</v>
      </c>
      <c r="X3" s="3210" t="s">
        <v>650</v>
      </c>
      <c r="Y3" s="3198"/>
      <c r="Z3" s="1228"/>
      <c r="AA3" s="1228"/>
      <c r="AB3" s="3209" t="s">
        <v>64</v>
      </c>
      <c r="AC3" s="3209"/>
      <c r="AD3" s="1214"/>
      <c r="AE3" s="1214" t="s">
        <v>651</v>
      </c>
      <c r="AF3" s="1215" t="s">
        <v>652</v>
      </c>
      <c r="AH3" s="1229"/>
      <c r="AM3" s="3194" t="s">
        <v>657</v>
      </c>
      <c r="AN3" s="1230" t="s">
        <v>658</v>
      </c>
      <c r="AO3" s="1231"/>
    </row>
    <row r="4" spans="1:41" ht="15.5">
      <c r="A4" s="1216" t="s">
        <v>648</v>
      </c>
      <c r="B4" s="1217" t="s">
        <v>368</v>
      </c>
      <c r="C4" s="1218" t="s">
        <v>1256</v>
      </c>
      <c r="D4" s="1232">
        <v>39.653061000000001</v>
      </c>
      <c r="E4" s="1232">
        <v>-105.141098</v>
      </c>
      <c r="G4" s="1220" t="s">
        <v>140</v>
      </c>
      <c r="H4" s="1233"/>
      <c r="I4" s="1222">
        <v>667.7</v>
      </c>
      <c r="J4" s="1224">
        <v>8.66</v>
      </c>
      <c r="K4" s="1222">
        <v>10.9</v>
      </c>
      <c r="L4" s="1224">
        <v>8.27</v>
      </c>
      <c r="M4" s="1234"/>
      <c r="N4" s="1202"/>
      <c r="P4" s="1206" t="s">
        <v>628</v>
      </c>
      <c r="Q4" s="1206" t="s">
        <v>769</v>
      </c>
      <c r="R4" s="1227">
        <v>2</v>
      </c>
      <c r="S4" s="1206">
        <v>5</v>
      </c>
      <c r="T4" s="1206">
        <v>8</v>
      </c>
      <c r="U4" s="1206">
        <v>16</v>
      </c>
      <c r="V4" s="1206">
        <f t="shared" ref="V4:V9" si="0">100-(R4+S4+T4+U4)</f>
        <v>69</v>
      </c>
      <c r="X4" s="3210"/>
      <c r="Y4" s="3198"/>
      <c r="Z4" s="1228" t="s">
        <v>669</v>
      </c>
      <c r="AA4" s="1228" t="s">
        <v>670</v>
      </c>
      <c r="AB4" s="1214" t="s">
        <v>653</v>
      </c>
      <c r="AC4" s="1215" t="s">
        <v>654</v>
      </c>
      <c r="AD4" s="1214" t="s">
        <v>655</v>
      </c>
      <c r="AE4" s="1214" t="s">
        <v>655</v>
      </c>
      <c r="AF4" s="1215" t="s">
        <v>656</v>
      </c>
      <c r="AH4" s="1229"/>
      <c r="AM4" s="3194"/>
      <c r="AN4" s="1230" t="s">
        <v>659</v>
      </c>
      <c r="AO4" s="1231"/>
    </row>
    <row r="5" spans="1:41" ht="15.5">
      <c r="A5" s="1216" t="s">
        <v>646</v>
      </c>
      <c r="B5" s="1217" t="s">
        <v>368</v>
      </c>
      <c r="C5" s="1218" t="s">
        <v>1256</v>
      </c>
      <c r="D5" s="1232">
        <v>39.650140999999998</v>
      </c>
      <c r="E5" s="1232">
        <v>-105.144222</v>
      </c>
      <c r="G5" s="1220" t="s">
        <v>240</v>
      </c>
      <c r="H5" s="1233"/>
      <c r="I5" s="1222">
        <v>667.2</v>
      </c>
      <c r="J5" s="1224">
        <v>8.3800000000000008</v>
      </c>
      <c r="K5" s="1222">
        <v>10.9</v>
      </c>
      <c r="L5" s="1224">
        <v>8.26</v>
      </c>
      <c r="M5" s="1234" t="s">
        <v>927</v>
      </c>
      <c r="N5" s="1235">
        <v>8</v>
      </c>
      <c r="P5" s="1206" t="s">
        <v>629</v>
      </c>
      <c r="Q5" s="1206" t="s">
        <v>769</v>
      </c>
      <c r="R5" s="1227">
        <v>4</v>
      </c>
      <c r="S5" s="1206">
        <v>5</v>
      </c>
      <c r="T5" s="1206">
        <v>15</v>
      </c>
      <c r="U5" s="1206">
        <v>18</v>
      </c>
      <c r="V5" s="1206">
        <f t="shared" si="0"/>
        <v>58</v>
      </c>
      <c r="X5" s="3202" t="s">
        <v>657</v>
      </c>
      <c r="Y5" s="1236" t="s">
        <v>658</v>
      </c>
      <c r="Z5" s="1237">
        <v>19.191800000000001</v>
      </c>
      <c r="AA5" s="1237">
        <v>23.849399999999999</v>
      </c>
      <c r="AB5" s="1237">
        <f t="shared" ref="AB5:AB11" si="1">AA5-Z5</f>
        <v>4.6575999999999986</v>
      </c>
      <c r="AC5" s="1238">
        <f t="shared" ref="AC5:AC11" si="2">AB5/1000</f>
        <v>4.6575999999999987E-3</v>
      </c>
      <c r="AD5" s="1239">
        <v>0.7</v>
      </c>
      <c r="AE5" s="1239">
        <f t="shared" ref="AE5:AE11" si="3">AD5-$AD$1</f>
        <v>0.65999999999999992</v>
      </c>
      <c r="AF5" s="1239">
        <f>((AE5*$AD$2)/$AC5)</f>
        <v>3.5425970456887672</v>
      </c>
      <c r="AH5" s="1240"/>
      <c r="AI5" s="1229"/>
      <c r="AJ5" s="1241"/>
      <c r="AK5" s="1242"/>
      <c r="AM5" s="3194" t="s">
        <v>660</v>
      </c>
      <c r="AN5" s="1230" t="s">
        <v>661</v>
      </c>
      <c r="AO5" s="1231"/>
    </row>
    <row r="6" spans="1:41" ht="15.5">
      <c r="A6" s="1216" t="s">
        <v>644</v>
      </c>
      <c r="B6" s="1217" t="s">
        <v>368</v>
      </c>
      <c r="C6" s="1218" t="s">
        <v>1256</v>
      </c>
      <c r="D6" s="1232">
        <v>39.651350999999998</v>
      </c>
      <c r="E6" s="1232">
        <v>-105.14048699999999</v>
      </c>
      <c r="G6" s="1220" t="s">
        <v>141</v>
      </c>
      <c r="H6" s="1233"/>
      <c r="I6" s="1222">
        <v>667.3</v>
      </c>
      <c r="J6" s="1224">
        <v>8</v>
      </c>
      <c r="K6" s="1222">
        <v>10.8</v>
      </c>
      <c r="L6" s="1224">
        <v>8.19</v>
      </c>
      <c r="M6" s="1234" t="s">
        <v>928</v>
      </c>
      <c r="N6" s="1243">
        <v>24.52</v>
      </c>
      <c r="P6" s="1206" t="s">
        <v>630</v>
      </c>
      <c r="Q6" s="1206" t="s">
        <v>769</v>
      </c>
      <c r="R6" s="1227">
        <v>1</v>
      </c>
      <c r="S6" s="1206">
        <v>3</v>
      </c>
      <c r="T6" s="1206">
        <v>18</v>
      </c>
      <c r="U6" s="1206">
        <v>15</v>
      </c>
      <c r="V6" s="1206">
        <f t="shared" si="0"/>
        <v>63</v>
      </c>
      <c r="X6" s="3204"/>
      <c r="Y6" s="1236" t="s">
        <v>659</v>
      </c>
      <c r="Z6" s="1237">
        <v>19.130099999999999</v>
      </c>
      <c r="AA6" s="1237">
        <v>23.573899999999998</v>
      </c>
      <c r="AB6" s="1237">
        <f t="shared" si="1"/>
        <v>4.4437999999999995</v>
      </c>
      <c r="AC6" s="1238">
        <f t="shared" si="2"/>
        <v>4.4437999999999995E-3</v>
      </c>
      <c r="AD6" s="1239">
        <v>3.5</v>
      </c>
      <c r="AE6" s="1239">
        <f t="shared" si="3"/>
        <v>3.46</v>
      </c>
      <c r="AF6" s="1239">
        <f t="shared" ref="AF6:AF11" si="4">(AE6*$AD$2)/$AC6</f>
        <v>19.465322471758409</v>
      </c>
      <c r="AH6" s="1240"/>
      <c r="AI6" s="1229"/>
      <c r="AJ6" s="1241"/>
      <c r="AM6" s="3194"/>
      <c r="AN6" s="1230" t="s">
        <v>662</v>
      </c>
      <c r="AO6" s="1231"/>
    </row>
    <row r="7" spans="1:41">
      <c r="A7" s="1216" t="s">
        <v>645</v>
      </c>
      <c r="B7" s="1217" t="s">
        <v>368</v>
      </c>
      <c r="C7" s="1218" t="s">
        <v>1256</v>
      </c>
      <c r="D7" s="1232">
        <v>39.648722999999997</v>
      </c>
      <c r="E7" s="1232">
        <v>-105.14428700000001</v>
      </c>
      <c r="G7" s="1220" t="s">
        <v>241</v>
      </c>
      <c r="H7" s="1233"/>
      <c r="I7" s="1222">
        <v>671.7</v>
      </c>
      <c r="J7" s="1224">
        <v>8.02</v>
      </c>
      <c r="K7" s="1222">
        <v>10.7</v>
      </c>
      <c r="L7" s="1224">
        <v>8.17</v>
      </c>
      <c r="M7" s="1234" t="s">
        <v>929</v>
      </c>
      <c r="N7" s="1202">
        <v>5764</v>
      </c>
      <c r="P7" s="1206" t="s">
        <v>631</v>
      </c>
      <c r="Q7" s="1206" t="s">
        <v>769</v>
      </c>
      <c r="R7" s="1206">
        <v>13</v>
      </c>
      <c r="S7" s="1206">
        <v>45</v>
      </c>
      <c r="T7" s="1206">
        <v>2</v>
      </c>
      <c r="U7" s="1206">
        <v>4</v>
      </c>
      <c r="V7" s="1206">
        <f t="shared" si="0"/>
        <v>36</v>
      </c>
      <c r="X7" s="3202" t="s">
        <v>660</v>
      </c>
      <c r="Y7" s="1236" t="s">
        <v>661</v>
      </c>
      <c r="Z7" s="1237">
        <v>19.1371</v>
      </c>
      <c r="AA7" s="1237">
        <v>23.552299999999999</v>
      </c>
      <c r="AB7" s="1237">
        <f t="shared" si="1"/>
        <v>4.4151999999999987</v>
      </c>
      <c r="AC7" s="1238">
        <f t="shared" si="2"/>
        <v>4.4151999999999985E-3</v>
      </c>
      <c r="AD7" s="1239">
        <v>0.3</v>
      </c>
      <c r="AE7" s="1239">
        <f t="shared" si="3"/>
        <v>0.26</v>
      </c>
      <c r="AF7" s="1239">
        <f t="shared" si="4"/>
        <v>1.4721869903968117</v>
      </c>
      <c r="AH7" s="1244"/>
      <c r="AI7" s="1229"/>
      <c r="AM7" s="3194" t="s">
        <v>663</v>
      </c>
      <c r="AN7" s="1230" t="s">
        <v>664</v>
      </c>
      <c r="AO7" s="1231"/>
    </row>
    <row r="8" spans="1:41">
      <c r="A8" s="1216" t="s">
        <v>647</v>
      </c>
      <c r="B8" s="1217" t="s">
        <v>368</v>
      </c>
      <c r="C8" s="1218" t="s">
        <v>1256</v>
      </c>
      <c r="D8" s="1232">
        <v>39.650404999999999</v>
      </c>
      <c r="E8" s="1232">
        <v>-105.139538</v>
      </c>
      <c r="G8" s="1220" t="s">
        <v>142</v>
      </c>
      <c r="H8" s="1233"/>
      <c r="I8" s="1222">
        <v>671.6</v>
      </c>
      <c r="J8" s="1224">
        <v>7.92</v>
      </c>
      <c r="K8" s="1222">
        <v>10.7</v>
      </c>
      <c r="L8" s="1224">
        <v>8.16</v>
      </c>
      <c r="M8" s="1234" t="s">
        <v>930</v>
      </c>
      <c r="N8" s="14" t="s">
        <v>1467</v>
      </c>
      <c r="P8" s="1206" t="s">
        <v>632</v>
      </c>
      <c r="Q8" s="1206" t="s">
        <v>769</v>
      </c>
      <c r="R8" s="1206">
        <v>6</v>
      </c>
      <c r="S8" s="1206">
        <v>35</v>
      </c>
      <c r="T8" s="1206">
        <v>15</v>
      </c>
      <c r="U8" s="1206">
        <v>8</v>
      </c>
      <c r="V8" s="1206">
        <f t="shared" si="0"/>
        <v>36</v>
      </c>
      <c r="X8" s="3204"/>
      <c r="Y8" s="1236" t="s">
        <v>662</v>
      </c>
      <c r="Z8" s="1245">
        <v>19.2454</v>
      </c>
      <c r="AA8" s="1245">
        <v>23.655000000000001</v>
      </c>
      <c r="AB8" s="1237">
        <f t="shared" si="1"/>
        <v>4.4096000000000011</v>
      </c>
      <c r="AC8" s="1238">
        <f t="shared" si="2"/>
        <v>4.4096000000000014E-3</v>
      </c>
      <c r="AD8" s="1239">
        <v>0.68</v>
      </c>
      <c r="AE8" s="1239">
        <f t="shared" si="3"/>
        <v>0.64</v>
      </c>
      <c r="AF8" s="1239">
        <f t="shared" si="4"/>
        <v>3.6284470246734388</v>
      </c>
      <c r="AH8" s="1244"/>
      <c r="AI8" s="1229"/>
      <c r="AM8" s="3194"/>
      <c r="AN8" s="1230" t="s">
        <v>665</v>
      </c>
      <c r="AO8" s="1231"/>
    </row>
    <row r="9" spans="1:41">
      <c r="A9" s="1903" t="s">
        <v>1458</v>
      </c>
      <c r="B9" s="869" t="s">
        <v>368</v>
      </c>
      <c r="C9" s="1904" t="s">
        <v>1459</v>
      </c>
      <c r="D9" s="1918">
        <v>39.631399999999999</v>
      </c>
      <c r="E9" s="1918">
        <v>-105.3231</v>
      </c>
      <c r="G9" s="1220" t="s">
        <v>242</v>
      </c>
      <c r="H9" s="1233"/>
      <c r="I9" s="1222">
        <v>671.6</v>
      </c>
      <c r="J9" s="1224">
        <v>7.84</v>
      </c>
      <c r="K9" s="1222">
        <v>10.7</v>
      </c>
      <c r="L9" s="1224">
        <v>8.16</v>
      </c>
      <c r="M9" s="1234"/>
      <c r="N9" s="1202"/>
      <c r="P9" s="1903" t="s">
        <v>1458</v>
      </c>
      <c r="Q9" s="1206" t="s">
        <v>769</v>
      </c>
      <c r="R9" s="1206">
        <v>1</v>
      </c>
      <c r="S9" s="1206">
        <v>1</v>
      </c>
      <c r="T9" s="1206">
        <v>2</v>
      </c>
      <c r="U9" s="1206">
        <v>7</v>
      </c>
      <c r="V9" s="1206">
        <f t="shared" si="0"/>
        <v>89</v>
      </c>
      <c r="X9" s="3202" t="s">
        <v>663</v>
      </c>
      <c r="Y9" s="1236" t="s">
        <v>664</v>
      </c>
      <c r="Z9" s="1246">
        <v>19.147300000000001</v>
      </c>
      <c r="AA9" s="1246">
        <v>23.877800000000001</v>
      </c>
      <c r="AB9" s="1237">
        <f t="shared" si="1"/>
        <v>4.7304999999999993</v>
      </c>
      <c r="AC9" s="1238">
        <f t="shared" si="2"/>
        <v>4.7304999999999995E-3</v>
      </c>
      <c r="AD9" s="1239">
        <v>0.46</v>
      </c>
      <c r="AE9" s="1239">
        <f t="shared" si="3"/>
        <v>0.42000000000000004</v>
      </c>
      <c r="AF9" s="1239">
        <f t="shared" si="4"/>
        <v>2.2196385160131071</v>
      </c>
      <c r="AH9" s="1244"/>
      <c r="AI9" s="1229"/>
      <c r="AM9" s="1920" t="s">
        <v>1239</v>
      </c>
      <c r="AN9" s="1921" t="s">
        <v>1458</v>
      </c>
      <c r="AO9" s="1231"/>
    </row>
    <row r="10" spans="1:41" ht="14.5">
      <c r="A10" s="3192" t="s">
        <v>766</v>
      </c>
      <c r="B10" s="3192"/>
      <c r="C10" s="3192"/>
      <c r="D10" s="3192"/>
      <c r="E10" s="3192"/>
      <c r="G10" s="1220" t="s">
        <v>143</v>
      </c>
      <c r="H10" s="1233"/>
      <c r="I10" s="1222">
        <v>668</v>
      </c>
      <c r="J10" s="1224">
        <v>7.79</v>
      </c>
      <c r="K10" s="1222">
        <v>10.6</v>
      </c>
      <c r="L10" s="1224">
        <v>8.15</v>
      </c>
      <c r="M10" s="1234"/>
      <c r="N10" s="1202"/>
      <c r="R10" s="3193" t="s">
        <v>775</v>
      </c>
      <c r="S10" s="3193"/>
      <c r="T10" s="3193"/>
      <c r="U10" s="3193"/>
      <c r="V10" s="3193"/>
      <c r="X10" s="3204"/>
      <c r="Y10" s="1236" t="s">
        <v>665</v>
      </c>
      <c r="Z10" s="1245">
        <v>19.265499999999999</v>
      </c>
      <c r="AA10" s="1245">
        <v>23.856100000000001</v>
      </c>
      <c r="AB10" s="1237">
        <f t="shared" si="1"/>
        <v>4.590600000000002</v>
      </c>
      <c r="AC10" s="1238">
        <f t="shared" si="2"/>
        <v>4.590600000000002E-3</v>
      </c>
      <c r="AD10" s="1239">
        <v>1.31</v>
      </c>
      <c r="AE10" s="1239">
        <f t="shared" si="3"/>
        <v>1.27</v>
      </c>
      <c r="AF10" s="1239">
        <f t="shared" si="4"/>
        <v>6.916307236526813</v>
      </c>
      <c r="AH10" s="1240"/>
      <c r="AI10" s="1229"/>
      <c r="AJ10" s="1241"/>
    </row>
    <row r="11" spans="1:41">
      <c r="G11" s="1220" t="s">
        <v>144</v>
      </c>
      <c r="H11" s="1233"/>
      <c r="I11" s="1222">
        <v>668.6</v>
      </c>
      <c r="J11" s="1224">
        <v>7.93</v>
      </c>
      <c r="K11" s="1222">
        <v>10.6</v>
      </c>
      <c r="L11" s="1224">
        <v>8.15</v>
      </c>
      <c r="M11" s="1234"/>
      <c r="N11" s="1202"/>
      <c r="P11" s="1206"/>
      <c r="Q11" s="1247" t="s">
        <v>9</v>
      </c>
      <c r="R11" s="1248" t="s">
        <v>770</v>
      </c>
      <c r="S11" s="1247" t="s">
        <v>771</v>
      </c>
      <c r="T11" s="1247" t="s">
        <v>772</v>
      </c>
      <c r="U11" s="1247" t="s">
        <v>773</v>
      </c>
      <c r="V11" s="1247" t="s">
        <v>774</v>
      </c>
      <c r="X11" s="1904" t="s">
        <v>1461</v>
      </c>
      <c r="Y11" s="1906" t="s">
        <v>1458</v>
      </c>
      <c r="Z11" s="1246">
        <v>19.231300000000001</v>
      </c>
      <c r="AA11" s="1245">
        <v>23.794699999999999</v>
      </c>
      <c r="AB11" s="1246">
        <f t="shared" si="1"/>
        <v>4.5633999999999979</v>
      </c>
      <c r="AC11" s="1250">
        <f t="shared" si="2"/>
        <v>4.5633999999999978E-3</v>
      </c>
      <c r="AD11" s="1251">
        <v>0.85</v>
      </c>
      <c r="AE11" s="1239">
        <f t="shared" si="3"/>
        <v>0.80999999999999994</v>
      </c>
      <c r="AF11" s="1239">
        <f t="shared" si="4"/>
        <v>4.4374808257001384</v>
      </c>
    </row>
    <row r="12" spans="1:41">
      <c r="A12" s="1216" t="s">
        <v>9</v>
      </c>
      <c r="B12" s="1206" t="s">
        <v>135</v>
      </c>
      <c r="C12" s="1206" t="s">
        <v>1257</v>
      </c>
      <c r="D12" s="1206" t="s">
        <v>1258</v>
      </c>
      <c r="E12" s="1206" t="s">
        <v>5</v>
      </c>
      <c r="F12" s="1206"/>
      <c r="G12" s="1252" t="s">
        <v>145</v>
      </c>
      <c r="H12" s="1233"/>
      <c r="I12" s="1222">
        <v>669.6</v>
      </c>
      <c r="J12" s="1224">
        <v>7.9</v>
      </c>
      <c r="K12" s="1222">
        <v>10.6</v>
      </c>
      <c r="L12" s="1224">
        <v>8.16</v>
      </c>
      <c r="M12" s="1234"/>
      <c r="N12" s="1202"/>
      <c r="Q12" s="1206" t="s">
        <v>627</v>
      </c>
      <c r="R12" s="1253">
        <f>R3/100</f>
        <v>0.01</v>
      </c>
      <c r="S12" s="1253">
        <f t="shared" ref="S12:V12" si="5">S3/100</f>
        <v>0.03</v>
      </c>
      <c r="T12" s="1253">
        <f t="shared" si="5"/>
        <v>0.05</v>
      </c>
      <c r="U12" s="1253">
        <f t="shared" si="5"/>
        <v>0.06</v>
      </c>
      <c r="V12" s="1253">
        <f t="shared" si="5"/>
        <v>0.85</v>
      </c>
      <c r="W12" s="1815">
        <f t="shared" ref="W12:W18" si="6">SUM(R12:V12)</f>
        <v>1</v>
      </c>
      <c r="X12" s="1907"/>
      <c r="Y12" s="1249"/>
      <c r="Z12" s="1254"/>
      <c r="AA12" s="1254"/>
      <c r="AB12" s="1254"/>
      <c r="AC12" s="1255"/>
      <c r="AD12" s="1251"/>
      <c r="AE12" s="1239"/>
      <c r="AF12" s="1239"/>
      <c r="AK12" s="3197">
        <v>2018</v>
      </c>
      <c r="AL12" s="3197"/>
    </row>
    <row r="13" spans="1:41">
      <c r="A13" s="1216" t="s">
        <v>627</v>
      </c>
      <c r="B13" s="1256">
        <v>0.51736111111111105</v>
      </c>
      <c r="C13" s="1257">
        <v>1.5</v>
      </c>
      <c r="D13" s="1257">
        <v>5</v>
      </c>
      <c r="E13" s="1863" t="s">
        <v>1463</v>
      </c>
      <c r="F13" s="1206"/>
      <c r="G13" s="1252" t="s">
        <v>146</v>
      </c>
      <c r="H13" s="1233"/>
      <c r="I13" s="1258">
        <v>671.4</v>
      </c>
      <c r="J13" s="1224">
        <v>8.25</v>
      </c>
      <c r="K13" s="1222">
        <v>10.6</v>
      </c>
      <c r="L13" s="1224">
        <v>8.19</v>
      </c>
      <c r="M13" s="1234"/>
      <c r="N13" s="1202"/>
      <c r="Q13" s="1206" t="s">
        <v>628</v>
      </c>
      <c r="R13" s="1253">
        <f t="shared" ref="R13:V18" si="7">R4/100</f>
        <v>0.02</v>
      </c>
      <c r="S13" s="1253">
        <f t="shared" si="7"/>
        <v>0.05</v>
      </c>
      <c r="T13" s="1253">
        <f t="shared" si="7"/>
        <v>0.08</v>
      </c>
      <c r="U13" s="1253">
        <f t="shared" si="7"/>
        <v>0.16</v>
      </c>
      <c r="V13" s="1253">
        <f t="shared" si="7"/>
        <v>0.69</v>
      </c>
      <c r="W13" s="1815">
        <f t="shared" si="6"/>
        <v>1</v>
      </c>
      <c r="X13" s="1908"/>
      <c r="Y13" s="1249"/>
      <c r="Z13" s="1259"/>
      <c r="AA13" s="1254"/>
      <c r="AB13" s="1254"/>
      <c r="AC13" s="1255"/>
      <c r="AD13" s="1251"/>
      <c r="AE13" s="1239"/>
      <c r="AF13" s="1239"/>
      <c r="AK13" s="1260" t="s">
        <v>675</v>
      </c>
      <c r="AL13" s="1260" t="s">
        <v>776</v>
      </c>
    </row>
    <row r="14" spans="1:41">
      <c r="A14" s="1216" t="s">
        <v>648</v>
      </c>
      <c r="B14" s="1256">
        <v>0.47222222222222227</v>
      </c>
      <c r="C14" s="1257">
        <v>1.5</v>
      </c>
      <c r="D14" s="1257">
        <v>7</v>
      </c>
      <c r="E14" s="1863" t="s">
        <v>1463</v>
      </c>
      <c r="F14" s="1206"/>
      <c r="G14" s="1252" t="s">
        <v>147</v>
      </c>
      <c r="H14" s="1261"/>
      <c r="I14" s="1223">
        <v>671.5</v>
      </c>
      <c r="J14" s="1224">
        <v>8.24</v>
      </c>
      <c r="K14" s="1222">
        <v>10.6</v>
      </c>
      <c r="L14" s="1224">
        <v>8.2200000000000006</v>
      </c>
      <c r="M14" s="1234"/>
      <c r="N14" s="1202"/>
      <c r="Q14" s="1206" t="s">
        <v>629</v>
      </c>
      <c r="R14" s="1253">
        <f t="shared" si="7"/>
        <v>0.04</v>
      </c>
      <c r="S14" s="1253">
        <f t="shared" si="7"/>
        <v>0.05</v>
      </c>
      <c r="T14" s="1253">
        <f t="shared" si="7"/>
        <v>0.15</v>
      </c>
      <c r="U14" s="1253">
        <f t="shared" si="7"/>
        <v>0.18</v>
      </c>
      <c r="V14" s="1253">
        <f t="shared" si="7"/>
        <v>0.57999999999999996</v>
      </c>
      <c r="W14" s="1815">
        <f t="shared" si="6"/>
        <v>1</v>
      </c>
      <c r="Y14" s="1206"/>
      <c r="Z14" s="3211" t="s">
        <v>671</v>
      </c>
      <c r="AA14" s="3211"/>
      <c r="AB14" s="3211"/>
      <c r="AC14" s="3211" t="s">
        <v>672</v>
      </c>
      <c r="AD14" s="3211"/>
      <c r="AE14" s="3211"/>
      <c r="AF14" s="3195" t="s">
        <v>674</v>
      </c>
      <c r="AG14" s="3196"/>
      <c r="AH14" s="1262"/>
      <c r="AJ14" s="1263" t="s">
        <v>658</v>
      </c>
      <c r="AK14" s="1264">
        <f t="shared" ref="AK14:AK20" si="8">AE16</f>
        <v>0.22522265357387455</v>
      </c>
      <c r="AL14" s="1265">
        <f t="shared" ref="AL14:AL20" si="9">AH16</f>
        <v>0.11542036332910421</v>
      </c>
    </row>
    <row r="15" spans="1:41" ht="16.5" customHeight="1">
      <c r="A15" s="1216" t="s">
        <v>646</v>
      </c>
      <c r="B15" s="1256">
        <v>0.51388888888888895</v>
      </c>
      <c r="C15" s="1257">
        <v>1.5</v>
      </c>
      <c r="D15" s="1257">
        <v>4.8</v>
      </c>
      <c r="E15" s="1863" t="s">
        <v>1463</v>
      </c>
      <c r="F15" s="1206"/>
      <c r="G15" s="1252" t="s">
        <v>148</v>
      </c>
      <c r="H15" s="1261"/>
      <c r="I15" s="1223">
        <v>671.3</v>
      </c>
      <c r="J15" s="1224">
        <v>7.92</v>
      </c>
      <c r="K15" s="1222">
        <v>10.6</v>
      </c>
      <c r="L15" s="1224">
        <v>8.19</v>
      </c>
      <c r="M15" s="1234"/>
      <c r="N15" s="1202"/>
      <c r="Q15" s="1206" t="s">
        <v>630</v>
      </c>
      <c r="R15" s="1253">
        <f t="shared" si="7"/>
        <v>0.01</v>
      </c>
      <c r="S15" s="1253">
        <f t="shared" si="7"/>
        <v>0.03</v>
      </c>
      <c r="T15" s="1253">
        <f t="shared" si="7"/>
        <v>0.18</v>
      </c>
      <c r="U15" s="1253">
        <f t="shared" si="7"/>
        <v>0.15</v>
      </c>
      <c r="V15" s="1253">
        <f t="shared" si="7"/>
        <v>0.63</v>
      </c>
      <c r="W15" s="1815">
        <f t="shared" si="6"/>
        <v>1</v>
      </c>
      <c r="X15" s="1266" t="s">
        <v>650</v>
      </c>
      <c r="Y15" s="1214"/>
      <c r="Z15" s="1267" t="s">
        <v>669</v>
      </c>
      <c r="AA15" s="1267" t="s">
        <v>670</v>
      </c>
      <c r="AB15" s="1267" t="s">
        <v>666</v>
      </c>
      <c r="AC15" s="1267" t="s">
        <v>673</v>
      </c>
      <c r="AD15" s="1268" t="s">
        <v>667</v>
      </c>
      <c r="AE15" s="1267" t="s">
        <v>675</v>
      </c>
      <c r="AF15" s="1267" t="s">
        <v>674</v>
      </c>
      <c r="AG15" s="1267" t="s">
        <v>676</v>
      </c>
      <c r="AH15" s="1269" t="s">
        <v>668</v>
      </c>
      <c r="AJ15" s="1263" t="s">
        <v>659</v>
      </c>
      <c r="AK15" s="1264">
        <f t="shared" si="8"/>
        <v>0.24255715045188675</v>
      </c>
      <c r="AL15" s="1265">
        <f t="shared" si="9"/>
        <v>0.10622309197651691</v>
      </c>
    </row>
    <row r="16" spans="1:41" ht="15" customHeight="1">
      <c r="A16" s="1216" t="s">
        <v>644</v>
      </c>
      <c r="B16" s="1256">
        <v>0.47916666666666669</v>
      </c>
      <c r="C16" s="1257">
        <v>1.5</v>
      </c>
      <c r="D16" s="1257">
        <v>4.8</v>
      </c>
      <c r="E16" s="1863" t="s">
        <v>1464</v>
      </c>
      <c r="F16" s="1206"/>
      <c r="G16" s="1252" t="s">
        <v>167</v>
      </c>
      <c r="H16" s="1233"/>
      <c r="I16" s="1223"/>
      <c r="J16" s="1270"/>
      <c r="K16" s="1270"/>
      <c r="L16" s="1271"/>
      <c r="M16" s="1202"/>
      <c r="N16" s="1202"/>
      <c r="Q16" s="1206" t="s">
        <v>631</v>
      </c>
      <c r="R16" s="1253">
        <f t="shared" si="7"/>
        <v>0.13</v>
      </c>
      <c r="S16" s="1253">
        <f t="shared" si="7"/>
        <v>0.45</v>
      </c>
      <c r="T16" s="1253">
        <f t="shared" si="7"/>
        <v>0.02</v>
      </c>
      <c r="U16" s="1253">
        <f t="shared" si="7"/>
        <v>0.04</v>
      </c>
      <c r="V16" s="1253">
        <f t="shared" si="7"/>
        <v>0.36</v>
      </c>
      <c r="W16" s="1815">
        <f t="shared" si="6"/>
        <v>1</v>
      </c>
      <c r="X16" s="3199" t="s">
        <v>657</v>
      </c>
      <c r="Y16" s="1204" t="s">
        <v>658</v>
      </c>
      <c r="Z16" s="1272">
        <v>52.200200000000002</v>
      </c>
      <c r="AA16" s="1272">
        <v>57.454999999999998</v>
      </c>
      <c r="AB16" s="1273">
        <f t="shared" ref="AB16:AB22" si="10">AA16-Z16</f>
        <v>5.2547999999999959</v>
      </c>
      <c r="AC16" s="1273">
        <v>53.383699999999997</v>
      </c>
      <c r="AD16" s="1273">
        <f t="shared" ref="AD16:AD22" si="11">AC16-Z16</f>
        <v>1.1834999999999951</v>
      </c>
      <c r="AE16" s="1264">
        <f t="shared" ref="AE16:AE22" si="12">AD16/AB16</f>
        <v>0.22522265357387455</v>
      </c>
      <c r="AF16" s="1237">
        <v>53.247100000000003</v>
      </c>
      <c r="AG16" s="1273">
        <f t="shared" ref="AG16:AG22" si="13">AC16-AF16</f>
        <v>0.13659999999999428</v>
      </c>
      <c r="AH16" s="1265">
        <f t="shared" ref="AH16:AH22" si="14">1-(AD16-AG16)/AD16</f>
        <v>0.11542036332910421</v>
      </c>
      <c r="AJ16" s="1263" t="s">
        <v>661</v>
      </c>
      <c r="AK16" s="1264">
        <f t="shared" si="8"/>
        <v>0.30988838507150279</v>
      </c>
      <c r="AL16" s="1265">
        <f t="shared" si="9"/>
        <v>9.404018234002931E-2</v>
      </c>
    </row>
    <row r="17" spans="1:45" ht="13.75" customHeight="1">
      <c r="A17" s="1216" t="s">
        <v>645</v>
      </c>
      <c r="B17" s="1916">
        <v>0.5</v>
      </c>
      <c r="C17" s="1257">
        <v>1.5</v>
      </c>
      <c r="D17" s="1257">
        <v>2.2999999999999998</v>
      </c>
      <c r="E17" s="1863" t="s">
        <v>1462</v>
      </c>
      <c r="F17" s="1206"/>
      <c r="G17" s="1274" t="s">
        <v>168</v>
      </c>
      <c r="H17" s="1275"/>
      <c r="I17" s="1270"/>
      <c r="J17" s="1276"/>
      <c r="K17" s="1277"/>
      <c r="L17" s="1278"/>
      <c r="M17" s="1279"/>
      <c r="N17" s="1279"/>
      <c r="Q17" s="1206" t="s">
        <v>632</v>
      </c>
      <c r="R17" s="1253">
        <f t="shared" si="7"/>
        <v>0.06</v>
      </c>
      <c r="S17" s="1253">
        <f t="shared" si="7"/>
        <v>0.35</v>
      </c>
      <c r="T17" s="1253">
        <f t="shared" si="7"/>
        <v>0.15</v>
      </c>
      <c r="U17" s="1253">
        <f t="shared" si="7"/>
        <v>0.08</v>
      </c>
      <c r="V17" s="1253">
        <f t="shared" si="7"/>
        <v>0.36</v>
      </c>
      <c r="W17" s="1815">
        <f t="shared" si="6"/>
        <v>0.99999999999999989</v>
      </c>
      <c r="X17" s="3199"/>
      <c r="Y17" s="1204" t="s">
        <v>659</v>
      </c>
      <c r="Z17" s="1272">
        <v>48.388100000000001</v>
      </c>
      <c r="AA17" s="1272">
        <v>53.654899999999998</v>
      </c>
      <c r="AB17" s="1273">
        <f t="shared" si="10"/>
        <v>5.2667999999999964</v>
      </c>
      <c r="AC17" s="1280">
        <v>49.665599999999998</v>
      </c>
      <c r="AD17" s="1273">
        <f t="shared" si="11"/>
        <v>1.2774999999999963</v>
      </c>
      <c r="AE17" s="1264">
        <f t="shared" si="12"/>
        <v>0.24255715045188675</v>
      </c>
      <c r="AF17" s="1254">
        <v>49.529899999999998</v>
      </c>
      <c r="AG17" s="1273">
        <f t="shared" si="13"/>
        <v>0.13569999999999993</v>
      </c>
      <c r="AH17" s="1265">
        <f t="shared" si="14"/>
        <v>0.10622309197651691</v>
      </c>
      <c r="AJ17" s="1263" t="s">
        <v>662</v>
      </c>
      <c r="AK17" s="1264">
        <f t="shared" si="8"/>
        <v>0.2555862315530219</v>
      </c>
      <c r="AL17" s="1265">
        <f t="shared" si="9"/>
        <v>9.1311781162568106E-2</v>
      </c>
    </row>
    <row r="18" spans="1:45" ht="13.75" customHeight="1">
      <c r="A18" s="1216" t="s">
        <v>647</v>
      </c>
      <c r="B18" s="1915">
        <v>0.48958333333333331</v>
      </c>
      <c r="C18" s="1257">
        <v>1.5</v>
      </c>
      <c r="D18" s="1257">
        <v>4.2</v>
      </c>
      <c r="E18" s="1863" t="s">
        <v>1464</v>
      </c>
      <c r="F18" s="1206"/>
      <c r="G18" s="1281"/>
      <c r="H18" s="1282"/>
      <c r="I18" s="1283"/>
      <c r="J18" s="1284"/>
      <c r="K18" s="1283"/>
      <c r="L18" s="1284"/>
      <c r="M18" s="1285"/>
      <c r="N18" s="1285"/>
      <c r="Q18" s="1903" t="s">
        <v>1458</v>
      </c>
      <c r="R18" s="1253">
        <f t="shared" si="7"/>
        <v>0.01</v>
      </c>
      <c r="S18" s="1253">
        <f t="shared" si="7"/>
        <v>0.01</v>
      </c>
      <c r="T18" s="1253">
        <f t="shared" si="7"/>
        <v>0.02</v>
      </c>
      <c r="U18" s="1253">
        <f t="shared" si="7"/>
        <v>7.0000000000000007E-2</v>
      </c>
      <c r="V18" s="1253">
        <f t="shared" si="7"/>
        <v>0.89</v>
      </c>
      <c r="W18" s="1815">
        <f t="shared" si="6"/>
        <v>1</v>
      </c>
      <c r="X18" s="3199" t="s">
        <v>660</v>
      </c>
      <c r="Y18" s="1204" t="s">
        <v>661</v>
      </c>
      <c r="Z18" s="1272">
        <v>52.814</v>
      </c>
      <c r="AA18" s="1272">
        <v>58.548000000000002</v>
      </c>
      <c r="AB18" s="1273">
        <f t="shared" si="10"/>
        <v>5.7340000000000018</v>
      </c>
      <c r="AC18" s="1280">
        <v>54.590899999999998</v>
      </c>
      <c r="AD18" s="1273">
        <f t="shared" si="11"/>
        <v>1.7768999999999977</v>
      </c>
      <c r="AE18" s="1264">
        <f t="shared" si="12"/>
        <v>0.30988838507150279</v>
      </c>
      <c r="AF18" s="1254">
        <v>54.4238</v>
      </c>
      <c r="AG18" s="1273">
        <f t="shared" si="13"/>
        <v>0.16709999999999781</v>
      </c>
      <c r="AH18" s="1265">
        <f t="shared" si="14"/>
        <v>9.404018234002931E-2</v>
      </c>
      <c r="AJ18" s="1263" t="s">
        <v>664</v>
      </c>
      <c r="AK18" s="1264">
        <f t="shared" si="8"/>
        <v>0.70658872975788878</v>
      </c>
      <c r="AL18" s="1265">
        <f t="shared" si="9"/>
        <v>2.5442367289812418E-2</v>
      </c>
    </row>
    <row r="19" spans="1:45">
      <c r="A19" s="1913" t="s">
        <v>1458</v>
      </c>
      <c r="B19" s="1914">
        <v>0.4513888888888889</v>
      </c>
      <c r="C19" s="1257">
        <v>1.5</v>
      </c>
      <c r="D19" s="1917">
        <v>5.8</v>
      </c>
      <c r="E19" s="1863" t="s">
        <v>1463</v>
      </c>
      <c r="G19" s="1220"/>
      <c r="H19" s="1233"/>
      <c r="I19" s="1222"/>
      <c r="J19" s="1286"/>
      <c r="K19" s="1222"/>
      <c r="L19" s="1286"/>
      <c r="M19" s="1234"/>
      <c r="N19" s="1202"/>
      <c r="X19" s="3199"/>
      <c r="Y19" s="1204" t="s">
        <v>662</v>
      </c>
      <c r="Z19" s="1272">
        <v>76.429699999999997</v>
      </c>
      <c r="AA19" s="1272">
        <v>81.464399999999998</v>
      </c>
      <c r="AB19" s="1273">
        <f t="shared" si="10"/>
        <v>5.0347000000000008</v>
      </c>
      <c r="AC19" s="1280">
        <v>77.716499999999996</v>
      </c>
      <c r="AD19" s="1273">
        <f t="shared" si="11"/>
        <v>1.2867999999999995</v>
      </c>
      <c r="AE19" s="1264">
        <f t="shared" si="12"/>
        <v>0.2555862315530219</v>
      </c>
      <c r="AF19" s="1254">
        <v>77.599000000000004</v>
      </c>
      <c r="AG19" s="1273">
        <f t="shared" si="13"/>
        <v>0.11749999999999261</v>
      </c>
      <c r="AH19" s="1265">
        <f t="shared" si="14"/>
        <v>9.1311781162568106E-2</v>
      </c>
      <c r="AJ19" s="1263" t="s">
        <v>665</v>
      </c>
      <c r="AK19" s="1264">
        <f t="shared" si="8"/>
        <v>0.23692045937898709</v>
      </c>
      <c r="AL19" s="1265">
        <f t="shared" si="9"/>
        <v>0.1060807118882211</v>
      </c>
    </row>
    <row r="20" spans="1:45">
      <c r="B20" s="1912">
        <v>43397</v>
      </c>
      <c r="G20" s="1220"/>
      <c r="H20" s="1233"/>
      <c r="I20" s="1222"/>
      <c r="J20" s="1286"/>
      <c r="K20" s="1222"/>
      <c r="L20" s="1286"/>
      <c r="M20" s="1234"/>
      <c r="N20" s="1202"/>
      <c r="X20" s="3199" t="s">
        <v>663</v>
      </c>
      <c r="Y20" s="1204" t="s">
        <v>664</v>
      </c>
      <c r="Z20" s="1287">
        <v>50.941400000000002</v>
      </c>
      <c r="AA20" s="1272">
        <v>56.604100000000003</v>
      </c>
      <c r="AB20" s="1273">
        <f t="shared" si="10"/>
        <v>5.662700000000001</v>
      </c>
      <c r="AC20" s="1273">
        <v>54.942599999999999</v>
      </c>
      <c r="AD20" s="1273">
        <f t="shared" si="11"/>
        <v>4.0011999999999972</v>
      </c>
      <c r="AE20" s="1264">
        <f t="shared" si="12"/>
        <v>0.70658872975788878</v>
      </c>
      <c r="AF20" s="1288">
        <v>54.840800000000002</v>
      </c>
      <c r="AG20" s="1273">
        <f t="shared" si="13"/>
        <v>0.10179999999999723</v>
      </c>
      <c r="AH20" s="1265">
        <f t="shared" si="14"/>
        <v>2.5442367289812418E-2</v>
      </c>
      <c r="AJ20" s="1928" t="s">
        <v>1458</v>
      </c>
      <c r="AK20" s="1264">
        <f t="shared" si="8"/>
        <v>0.24207427900468212</v>
      </c>
      <c r="AL20" s="1265">
        <f t="shared" si="9"/>
        <v>0.14531561461793818</v>
      </c>
    </row>
    <row r="21" spans="1:45" ht="15.5">
      <c r="G21" s="1220"/>
      <c r="H21" s="1233"/>
      <c r="I21" s="1222"/>
      <c r="J21" s="1286"/>
      <c r="K21" s="1222"/>
      <c r="L21" s="1286"/>
      <c r="M21" s="1234"/>
      <c r="N21" s="1202"/>
      <c r="O21" s="1290"/>
      <c r="P21" s="1291"/>
      <c r="Q21" s="1290"/>
      <c r="X21" s="3199"/>
      <c r="Y21" s="1204" t="s">
        <v>665</v>
      </c>
      <c r="Z21" s="1272">
        <v>59.625500000000002</v>
      </c>
      <c r="AA21" s="1272">
        <v>65.032799999999995</v>
      </c>
      <c r="AB21" s="1273">
        <f t="shared" si="10"/>
        <v>5.4072999999999922</v>
      </c>
      <c r="AC21" s="1280">
        <v>60.906599999999997</v>
      </c>
      <c r="AD21" s="1273">
        <f t="shared" si="11"/>
        <v>1.281099999999995</v>
      </c>
      <c r="AE21" s="1264">
        <f t="shared" si="12"/>
        <v>0.23692045937898709</v>
      </c>
      <c r="AF21" s="1254">
        <v>60.770699999999998</v>
      </c>
      <c r="AG21" s="1273">
        <f t="shared" si="13"/>
        <v>0.13589999999999947</v>
      </c>
      <c r="AH21" s="1265">
        <f t="shared" si="14"/>
        <v>0.1060807118882211</v>
      </c>
    </row>
    <row r="22" spans="1:45" ht="15.5">
      <c r="G22" s="1220"/>
      <c r="H22" s="1233"/>
      <c r="I22" s="1222"/>
      <c r="J22" s="1286"/>
      <c r="K22" s="1222"/>
      <c r="L22" s="1286"/>
      <c r="M22" s="1234"/>
      <c r="N22" s="1202"/>
      <c r="O22" s="1290"/>
      <c r="P22" s="1291"/>
      <c r="Q22" s="1290"/>
      <c r="X22" s="1904" t="s">
        <v>1461</v>
      </c>
      <c r="Y22" s="1906" t="s">
        <v>1458</v>
      </c>
      <c r="Z22" s="1237">
        <v>83.938599999999994</v>
      </c>
      <c r="AA22" s="1237">
        <v>90.155699999999996</v>
      </c>
      <c r="AB22" s="1273">
        <f t="shared" si="10"/>
        <v>6.2171000000000021</v>
      </c>
      <c r="AC22" s="1273">
        <v>85.443600000000004</v>
      </c>
      <c r="AD22" s="1273">
        <f t="shared" si="11"/>
        <v>1.5050000000000097</v>
      </c>
      <c r="AE22" s="1264">
        <f t="shared" si="12"/>
        <v>0.24207427900468212</v>
      </c>
      <c r="AF22" s="1273">
        <v>85.224900000000005</v>
      </c>
      <c r="AG22" s="1273">
        <f t="shared" si="13"/>
        <v>0.21869999999999834</v>
      </c>
      <c r="AH22" s="1265">
        <f t="shared" si="14"/>
        <v>0.14531561461793818</v>
      </c>
    </row>
    <row r="23" spans="1:45" ht="15.5">
      <c r="G23" s="1220"/>
      <c r="H23" s="1233"/>
      <c r="I23" s="1222"/>
      <c r="J23" s="1286"/>
      <c r="K23" s="1222"/>
      <c r="L23" s="1286"/>
      <c r="M23" s="1234"/>
      <c r="N23" s="1202"/>
      <c r="O23" s="1290"/>
      <c r="P23" s="1291"/>
      <c r="Q23" s="1290"/>
      <c r="X23" s="1909"/>
      <c r="Y23" s="1249"/>
      <c r="Z23" s="1206"/>
      <c r="AA23" s="1206"/>
      <c r="AB23" s="1273"/>
      <c r="AC23" s="1206"/>
      <c r="AD23" s="1273"/>
      <c r="AE23" s="1264"/>
      <c r="AF23" s="1206"/>
      <c r="AG23" s="1273"/>
      <c r="AH23" s="1265"/>
    </row>
    <row r="24" spans="1:45" ht="15.5">
      <c r="G24" s="1220"/>
      <c r="H24" s="1233"/>
      <c r="I24" s="1222"/>
      <c r="J24" s="1286"/>
      <c r="K24" s="1222"/>
      <c r="L24" s="1286"/>
      <c r="M24" s="1234"/>
      <c r="N24" s="1202"/>
      <c r="O24" s="1290"/>
      <c r="P24" s="1291"/>
      <c r="Q24" s="1290"/>
      <c r="X24" s="1910"/>
      <c r="Y24" s="1249"/>
      <c r="Z24" s="1206"/>
      <c r="AA24" s="1206"/>
      <c r="AB24" s="1273"/>
      <c r="AC24" s="1206"/>
      <c r="AD24" s="1273"/>
      <c r="AE24" s="1264"/>
      <c r="AF24" s="1206"/>
      <c r="AG24" s="1273"/>
      <c r="AH24" s="1265"/>
    </row>
    <row r="25" spans="1:45" ht="13.75" customHeight="1">
      <c r="G25" s="1220"/>
      <c r="H25" s="1233"/>
      <c r="I25" s="1222"/>
      <c r="J25" s="1286"/>
      <c r="K25" s="1222"/>
      <c r="L25" s="1286"/>
      <c r="M25" s="1234"/>
      <c r="N25" s="1202"/>
      <c r="O25" s="1290"/>
      <c r="P25" s="1291"/>
      <c r="Q25" s="1290"/>
      <c r="X25" s="1213"/>
      <c r="Y25" s="1213"/>
      <c r="Z25" s="1292">
        <v>2010</v>
      </c>
      <c r="AA25" s="1292">
        <v>2011</v>
      </c>
      <c r="AB25" s="1293">
        <v>2012</v>
      </c>
      <c r="AC25" s="1293" t="s">
        <v>677</v>
      </c>
      <c r="AD25" s="1293">
        <v>2014</v>
      </c>
      <c r="AE25" s="1293">
        <v>2015</v>
      </c>
      <c r="AF25" s="1294">
        <v>2016</v>
      </c>
      <c r="AI25" s="1213"/>
    </row>
    <row r="26" spans="1:45" ht="13.75" customHeight="1">
      <c r="G26" s="1220"/>
      <c r="H26" s="1233"/>
      <c r="I26" s="1222"/>
      <c r="J26" s="1286"/>
      <c r="K26" s="1222"/>
      <c r="L26" s="1286"/>
      <c r="M26" s="1234"/>
      <c r="N26" s="1202"/>
      <c r="X26" s="3202" t="s">
        <v>650</v>
      </c>
      <c r="Y26" s="3212"/>
      <c r="Z26" s="1295" t="s">
        <v>652</v>
      </c>
      <c r="AA26" s="1295" t="s">
        <v>652</v>
      </c>
      <c r="AB26" s="1295" t="s">
        <v>652</v>
      </c>
      <c r="AC26" s="1296" t="s">
        <v>678</v>
      </c>
      <c r="AD26" s="1295" t="s">
        <v>652</v>
      </c>
      <c r="AE26" s="1295" t="s">
        <v>652</v>
      </c>
      <c r="AF26" s="1295" t="s">
        <v>652</v>
      </c>
      <c r="AJ26" s="1213"/>
      <c r="AK26" s="3200" t="s">
        <v>768</v>
      </c>
      <c r="AL26" s="3201"/>
      <c r="AM26" s="3201"/>
      <c r="AN26" s="3201"/>
      <c r="AO26" s="3201"/>
      <c r="AP26" s="3201"/>
      <c r="AQ26" s="3201"/>
      <c r="AR26" s="3201"/>
      <c r="AS26" s="3201"/>
    </row>
    <row r="27" spans="1:45">
      <c r="G27" s="1275"/>
      <c r="H27" s="1261"/>
      <c r="I27" s="1222"/>
      <c r="J27" s="1286"/>
      <c r="K27" s="1222"/>
      <c r="L27" s="1286"/>
      <c r="M27" s="1234"/>
      <c r="N27" s="1202"/>
      <c r="X27" s="3204"/>
      <c r="Y27" s="3213"/>
      <c r="Z27" s="1297" t="s">
        <v>656</v>
      </c>
      <c r="AA27" s="1297" t="s">
        <v>656</v>
      </c>
      <c r="AB27" s="1297" t="s">
        <v>656</v>
      </c>
      <c r="AC27" s="1298" t="s">
        <v>679</v>
      </c>
      <c r="AD27" s="1297" t="s">
        <v>656</v>
      </c>
      <c r="AE27" s="1297" t="s">
        <v>656</v>
      </c>
      <c r="AF27" s="1297" t="s">
        <v>656</v>
      </c>
      <c r="AJ27" s="1299"/>
      <c r="AK27" s="1300">
        <v>2010</v>
      </c>
      <c r="AL27" s="1300">
        <v>2011</v>
      </c>
      <c r="AM27" s="1300">
        <v>2012</v>
      </c>
      <c r="AN27" s="1300" t="s">
        <v>677</v>
      </c>
      <c r="AO27" s="1300">
        <v>2014</v>
      </c>
      <c r="AP27" s="1300">
        <v>2015</v>
      </c>
      <c r="AQ27" s="1300">
        <v>2016</v>
      </c>
      <c r="AR27" s="1301">
        <v>2017</v>
      </c>
      <c r="AS27" s="1911">
        <v>2018</v>
      </c>
    </row>
    <row r="28" spans="1:45">
      <c r="G28" s="1275"/>
      <c r="H28" s="1261"/>
      <c r="I28" s="1222"/>
      <c r="J28" s="1286"/>
      <c r="K28" s="1222"/>
      <c r="L28" s="1286"/>
      <c r="M28" s="1234"/>
      <c r="N28" s="1202"/>
      <c r="X28" s="3202" t="s">
        <v>657</v>
      </c>
      <c r="Y28" s="1236" t="s">
        <v>680</v>
      </c>
      <c r="Z28" s="1239">
        <v>2.6370406543767548</v>
      </c>
      <c r="AA28" s="1239">
        <v>2.4166805029663672</v>
      </c>
      <c r="AB28" s="1239">
        <v>1.2993262752646777</v>
      </c>
      <c r="AC28" s="1239"/>
      <c r="AD28" s="1206"/>
      <c r="AJ28" s="1214" t="s">
        <v>658</v>
      </c>
      <c r="AK28" s="1239">
        <v>4.1211823868514657</v>
      </c>
      <c r="AL28" s="1239">
        <v>6.1080592218524057</v>
      </c>
      <c r="AM28" s="1239">
        <v>3.0610045268376802</v>
      </c>
      <c r="AN28" s="1239">
        <v>844.92</v>
      </c>
      <c r="AO28" s="1302">
        <v>4.4800000000000004</v>
      </c>
      <c r="AP28" s="1231">
        <v>8.73</v>
      </c>
      <c r="AQ28" s="1231">
        <v>0.65</v>
      </c>
      <c r="AR28" s="1919">
        <v>11.817953231078702</v>
      </c>
      <c r="AS28" s="1206"/>
    </row>
    <row r="29" spans="1:45">
      <c r="G29" s="1275"/>
      <c r="H29" s="1261"/>
      <c r="I29" s="1222"/>
      <c r="J29" s="1286"/>
      <c r="K29" s="1222"/>
      <c r="L29" s="1286"/>
      <c r="M29" s="1234"/>
      <c r="N29" s="1202"/>
      <c r="X29" s="3203"/>
      <c r="Y29" s="1236" t="s">
        <v>681</v>
      </c>
      <c r="Z29" s="1239">
        <v>6.4286420729898124</v>
      </c>
      <c r="AA29" s="1239">
        <v>4.3739860395091013</v>
      </c>
      <c r="AB29" s="1239">
        <v>4.9860062560267178</v>
      </c>
      <c r="AC29" s="1239"/>
      <c r="AD29" s="1206"/>
      <c r="AJ29" s="1304" t="s">
        <v>659</v>
      </c>
      <c r="AK29" s="1239">
        <v>3.5015041672831289</v>
      </c>
      <c r="AL29" s="1239">
        <v>5.2067836979534228</v>
      </c>
      <c r="AM29" s="1239">
        <v>4.3813192103996146</v>
      </c>
      <c r="AN29" s="1239">
        <v>1129.92</v>
      </c>
      <c r="AO29" s="1302">
        <v>3.06</v>
      </c>
      <c r="AP29" s="1231">
        <v>8.43</v>
      </c>
      <c r="AQ29" s="1231">
        <v>0.47</v>
      </c>
      <c r="AR29" s="1919">
        <v>5.2066231999624746</v>
      </c>
      <c r="AS29" s="1206"/>
    </row>
    <row r="30" spans="1:45">
      <c r="G30" s="1233"/>
      <c r="H30" s="1233"/>
      <c r="I30" s="1233"/>
      <c r="J30" s="1233"/>
      <c r="K30" s="1233"/>
      <c r="L30" s="1233"/>
      <c r="M30" s="1202"/>
      <c r="N30" s="1202"/>
      <c r="X30" s="3203"/>
      <c r="Y30" s="1304" t="s">
        <v>658</v>
      </c>
      <c r="Z30" s="1239">
        <v>4.1211823868514657</v>
      </c>
      <c r="AA30" s="1239">
        <v>6.1080592218524057</v>
      </c>
      <c r="AB30" s="1239">
        <v>3.0610045268376802</v>
      </c>
      <c r="AC30" s="1239">
        <v>844.92</v>
      </c>
      <c r="AD30" s="1302">
        <v>4.4800000000000004</v>
      </c>
      <c r="AE30" s="1303">
        <v>8.73</v>
      </c>
      <c r="AF30" s="1303">
        <f>AF5</f>
        <v>3.5425970456887672</v>
      </c>
      <c r="AJ30" s="1304" t="s">
        <v>661</v>
      </c>
      <c r="AK30" s="1239">
        <v>7.4663283232480975</v>
      </c>
      <c r="AL30" s="1239">
        <v>3.3936332651670083</v>
      </c>
      <c r="AM30" s="1239">
        <v>4.8877805486284291</v>
      </c>
      <c r="AN30" s="1239">
        <v>1100.76</v>
      </c>
      <c r="AO30" s="1302">
        <v>8.07</v>
      </c>
      <c r="AP30" s="1231">
        <v>1.89</v>
      </c>
      <c r="AQ30" s="1231">
        <v>1.2</v>
      </c>
      <c r="AR30" s="1919">
        <v>3.8605494220945817</v>
      </c>
      <c r="AS30" s="1206"/>
    </row>
    <row r="31" spans="1:45">
      <c r="G31" s="1209" t="s">
        <v>633</v>
      </c>
      <c r="H31" s="1210" t="s">
        <v>135</v>
      </c>
      <c r="I31" s="1210" t="s">
        <v>136</v>
      </c>
      <c r="J31" s="1210" t="s">
        <v>137</v>
      </c>
      <c r="K31" s="1210" t="s">
        <v>138</v>
      </c>
      <c r="L31" s="1210" t="s">
        <v>139</v>
      </c>
      <c r="M31" s="1209" t="s">
        <v>149</v>
      </c>
      <c r="N31" s="1209" t="s">
        <v>157</v>
      </c>
      <c r="X31" s="3203"/>
      <c r="Y31" s="1236" t="s">
        <v>682</v>
      </c>
      <c r="Z31" s="1239">
        <v>5.3199349785724852</v>
      </c>
      <c r="AA31" s="1239">
        <v>2.7492439653545286</v>
      </c>
      <c r="AB31" s="1239">
        <v>4.6117707906816365</v>
      </c>
      <c r="AC31" s="1239"/>
      <c r="AD31" s="1206"/>
      <c r="AE31" s="1229"/>
      <c r="AJ31" s="1304" t="s">
        <v>662</v>
      </c>
      <c r="AK31" s="1239">
        <v>3.1283605435526449</v>
      </c>
      <c r="AL31" s="1239">
        <v>2.2027169018312818</v>
      </c>
      <c r="AM31" s="1239">
        <v>3.1931106219308645</v>
      </c>
      <c r="AN31" s="1239">
        <v>1052.08</v>
      </c>
      <c r="AO31" s="1302">
        <v>5.69</v>
      </c>
      <c r="AP31" s="1231">
        <v>1.42</v>
      </c>
      <c r="AQ31" s="1231">
        <v>3.97</v>
      </c>
      <c r="AR31" s="1919">
        <v>5.325566881630956</v>
      </c>
      <c r="AS31" s="1206"/>
    </row>
    <row r="32" spans="1:45">
      <c r="G32" s="1220" t="s">
        <v>239</v>
      </c>
      <c r="H32" s="1221"/>
      <c r="I32" s="1305"/>
      <c r="J32" s="1306"/>
      <c r="K32" s="1305"/>
      <c r="L32" s="1306"/>
      <c r="M32" s="1307"/>
      <c r="N32" s="1308"/>
      <c r="X32" s="3203"/>
      <c r="Y32" s="1304" t="s">
        <v>659</v>
      </c>
      <c r="Z32" s="1239">
        <v>3.5015041672831289</v>
      </c>
      <c r="AA32" s="1239">
        <v>5.2067836979534228</v>
      </c>
      <c r="AB32" s="1239">
        <v>4.3813192103996146</v>
      </c>
      <c r="AC32" s="1239">
        <v>1129.92</v>
      </c>
      <c r="AD32" s="1302">
        <v>3.06</v>
      </c>
      <c r="AE32" s="1303">
        <v>8.43</v>
      </c>
      <c r="AF32" s="1303">
        <f>AF6</f>
        <v>19.465322471758409</v>
      </c>
      <c r="AJ32" s="1304" t="s">
        <v>664</v>
      </c>
      <c r="AK32" s="1239">
        <v>7.3158675234799802</v>
      </c>
      <c r="AL32" s="1239">
        <v>8.1071638861629065</v>
      </c>
      <c r="AM32" s="1239">
        <v>3.88</v>
      </c>
      <c r="AN32" s="1239">
        <v>632.82000000000005</v>
      </c>
      <c r="AO32" s="1302">
        <v>3.79</v>
      </c>
      <c r="AP32" s="1231">
        <v>0.88</v>
      </c>
      <c r="AQ32" s="1231">
        <v>0.85</v>
      </c>
      <c r="AR32" s="1919">
        <v>4.1994750656167952</v>
      </c>
      <c r="AS32" s="1206"/>
    </row>
    <row r="33" spans="7:45">
      <c r="G33" s="1220" t="s">
        <v>140</v>
      </c>
      <c r="H33" s="1233"/>
      <c r="I33" s="1305"/>
      <c r="J33" s="1306"/>
      <c r="K33" s="1305"/>
      <c r="L33" s="1306"/>
      <c r="M33" s="1234"/>
      <c r="N33" s="1202"/>
      <c r="X33" s="3204"/>
      <c r="Y33" s="1236" t="s">
        <v>683</v>
      </c>
      <c r="Z33" s="1239">
        <v>4.0864126778461616</v>
      </c>
      <c r="AA33" s="1239">
        <v>1.0770068764942204</v>
      </c>
      <c r="AB33" s="1239">
        <v>4.5645645645645656</v>
      </c>
      <c r="AC33" s="1239"/>
      <c r="AD33" s="1206"/>
      <c r="AE33" s="1229"/>
      <c r="AJ33" s="1304" t="s">
        <v>665</v>
      </c>
      <c r="AK33" s="1239">
        <v>5.761255556383321</v>
      </c>
      <c r="AL33" s="1239">
        <v>1.9119371482176362</v>
      </c>
      <c r="AM33" s="1239">
        <v>3.9</v>
      </c>
      <c r="AN33" s="1239">
        <v>831.88</v>
      </c>
      <c r="AO33" s="1302">
        <v>4.8499999999999996</v>
      </c>
      <c r="AP33" s="1231">
        <v>7.25</v>
      </c>
      <c r="AQ33" s="1231">
        <v>3.64</v>
      </c>
      <c r="AR33" s="1919">
        <v>4.5097029632654513</v>
      </c>
      <c r="AS33" s="1206"/>
    </row>
    <row r="34" spans="7:45">
      <c r="G34" s="1220" t="s">
        <v>240</v>
      </c>
      <c r="H34" s="1233"/>
      <c r="I34" s="1305"/>
      <c r="J34" s="1306"/>
      <c r="K34" s="1305"/>
      <c r="L34" s="1306"/>
      <c r="M34" s="1234"/>
      <c r="N34" s="1202"/>
      <c r="X34" s="3202" t="s">
        <v>660</v>
      </c>
      <c r="Y34" s="1236" t="s">
        <v>684</v>
      </c>
      <c r="Z34" s="1239">
        <v>5.3938754995464242</v>
      </c>
      <c r="AA34" s="1239">
        <v>4.1364767922466621</v>
      </c>
      <c r="AB34" s="1239">
        <v>2.4698261801575097</v>
      </c>
      <c r="AC34" s="1239"/>
      <c r="AD34" s="1206"/>
      <c r="AE34" s="1229"/>
      <c r="AJ34" s="1214" t="s">
        <v>740</v>
      </c>
      <c r="AP34" s="1309">
        <v>0.54</v>
      </c>
      <c r="AS34" s="1206"/>
    </row>
    <row r="35" spans="7:45">
      <c r="G35" s="1220" t="s">
        <v>141</v>
      </c>
      <c r="H35" s="1233"/>
      <c r="I35" s="1305"/>
      <c r="J35" s="1306"/>
      <c r="K35" s="1305"/>
      <c r="L35" s="1306"/>
      <c r="M35" s="1234"/>
      <c r="N35" s="1202"/>
      <c r="X35" s="3203"/>
      <c r="Y35" s="1304" t="s">
        <v>661</v>
      </c>
      <c r="Z35" s="1239">
        <v>7.4663283232480975</v>
      </c>
      <c r="AA35" s="1239">
        <v>3.3936332651670083</v>
      </c>
      <c r="AB35" s="1239">
        <v>4.8877805486284291</v>
      </c>
      <c r="AC35" s="1239">
        <v>1100.76</v>
      </c>
      <c r="AD35" s="1302">
        <v>8.07</v>
      </c>
      <c r="AE35" s="1303">
        <v>1.89</v>
      </c>
      <c r="AF35" s="1303">
        <f>AF7</f>
        <v>1.4721869903968117</v>
      </c>
    </row>
    <row r="36" spans="7:45" ht="14" customHeight="1">
      <c r="G36" s="1220" t="s">
        <v>241</v>
      </c>
      <c r="H36" s="1233"/>
      <c r="I36" s="1305"/>
      <c r="J36" s="1306"/>
      <c r="K36" s="1305"/>
      <c r="L36" s="1306"/>
      <c r="M36" s="1234"/>
      <c r="N36" s="1202"/>
      <c r="X36" s="3203"/>
      <c r="Y36" s="1236" t="s">
        <v>685</v>
      </c>
      <c r="Z36" s="1239">
        <v>6.2458504438488198</v>
      </c>
      <c r="AA36" s="1239">
        <v>11.49762708547385</v>
      </c>
      <c r="AB36" s="1239">
        <v>3.34</v>
      </c>
      <c r="AC36" s="1239"/>
      <c r="AD36" s="1206"/>
      <c r="AE36" s="1229"/>
      <c r="AK36" s="3188" t="s">
        <v>767</v>
      </c>
      <c r="AL36" s="3189"/>
      <c r="AM36" s="3189"/>
      <c r="AN36" s="3189"/>
      <c r="AO36" s="3189"/>
      <c r="AP36" s="3189"/>
      <c r="AQ36" s="3189"/>
      <c r="AR36" s="3189"/>
    </row>
    <row r="37" spans="7:45">
      <c r="G37" s="1220" t="s">
        <v>142</v>
      </c>
      <c r="H37" s="1233"/>
      <c r="I37" s="1305"/>
      <c r="J37" s="1306"/>
      <c r="K37" s="1305"/>
      <c r="L37" s="1306"/>
      <c r="M37" s="1234"/>
      <c r="N37" s="1202"/>
      <c r="X37" s="3203"/>
      <c r="Y37" s="1304" t="s">
        <v>662</v>
      </c>
      <c r="Z37" s="1239">
        <v>3.1283605435526449</v>
      </c>
      <c r="AA37" s="1239">
        <v>2.2027169018312818</v>
      </c>
      <c r="AB37" s="1239">
        <v>3.1931106219308645</v>
      </c>
      <c r="AC37" s="1239">
        <v>1052.08</v>
      </c>
      <c r="AD37" s="1302">
        <v>5.69</v>
      </c>
      <c r="AE37" s="1303">
        <v>1.42</v>
      </c>
      <c r="AF37" s="1303">
        <f>AF8</f>
        <v>3.6284470246734388</v>
      </c>
      <c r="AJ37" s="1310"/>
      <c r="AK37" s="1311">
        <v>2010</v>
      </c>
      <c r="AL37" s="1311">
        <v>2011</v>
      </c>
      <c r="AM37" s="1311">
        <v>2012</v>
      </c>
      <c r="AN37" s="1311">
        <v>2014</v>
      </c>
      <c r="AO37" s="1311">
        <v>2015</v>
      </c>
      <c r="AP37" s="1311">
        <v>2016</v>
      </c>
      <c r="AQ37" s="1929">
        <v>2017</v>
      </c>
      <c r="AR37" s="1931">
        <v>2018</v>
      </c>
    </row>
    <row r="38" spans="7:45">
      <c r="G38" s="1220" t="s">
        <v>242</v>
      </c>
      <c r="H38" s="1233"/>
      <c r="I38" s="1305"/>
      <c r="J38" s="1306"/>
      <c r="K38" s="1305"/>
      <c r="L38" s="1306"/>
      <c r="M38" s="1234"/>
      <c r="N38" s="1202"/>
      <c r="X38" s="3204"/>
      <c r="Y38" s="1236" t="s">
        <v>686</v>
      </c>
      <c r="Z38" s="1239">
        <v>7.7125842038465304</v>
      </c>
      <c r="AA38" s="1239">
        <v>6.8606966890027588</v>
      </c>
      <c r="AB38" s="1239">
        <v>4.6649897095815236</v>
      </c>
      <c r="AC38" s="1239"/>
      <c r="AD38" s="1206"/>
      <c r="AE38" s="1229"/>
      <c r="AJ38" s="1304" t="s">
        <v>658</v>
      </c>
      <c r="AK38" s="1312">
        <v>0.107</v>
      </c>
      <c r="AL38" s="1312">
        <v>0.107</v>
      </c>
      <c r="AM38" s="1312">
        <v>9.4E-2</v>
      </c>
      <c r="AN38" s="1265">
        <v>0.1014961938927289</v>
      </c>
      <c r="AO38" s="1265">
        <v>9.5000000000000001E-2</v>
      </c>
      <c r="AP38" s="1289">
        <v>0.11</v>
      </c>
      <c r="AQ38" s="1930">
        <v>9.2390822924966587E-2</v>
      </c>
      <c r="AR38" s="1289">
        <v>0.11542036332910421</v>
      </c>
    </row>
    <row r="39" spans="7:45">
      <c r="G39" s="1220" t="s">
        <v>143</v>
      </c>
      <c r="H39" s="1233"/>
      <c r="I39" s="1305"/>
      <c r="J39" s="1306"/>
      <c r="K39" s="1305"/>
      <c r="L39" s="1306"/>
      <c r="M39" s="1234"/>
      <c r="N39" s="1202"/>
      <c r="X39" s="3202" t="s">
        <v>663</v>
      </c>
      <c r="Y39" s="1236" t="s">
        <v>687</v>
      </c>
      <c r="Z39" s="1239">
        <v>2.6890920647337797</v>
      </c>
      <c r="AA39" s="1239">
        <v>0.51812424813310021</v>
      </c>
      <c r="AB39" s="1239">
        <v>0.38</v>
      </c>
      <c r="AC39" s="1239"/>
      <c r="AD39" s="1206"/>
      <c r="AE39" s="1229"/>
      <c r="AJ39" s="1304" t="s">
        <v>659</v>
      </c>
      <c r="AK39" s="1312">
        <v>0.1</v>
      </c>
      <c r="AL39" s="1312">
        <v>3.5999999999999997E-2</v>
      </c>
      <c r="AM39" s="1312">
        <v>0.105</v>
      </c>
      <c r="AN39" s="1265">
        <v>9.451671332125966E-2</v>
      </c>
      <c r="AO39" s="1265">
        <v>0.122</v>
      </c>
      <c r="AP39" s="1289">
        <v>0.11</v>
      </c>
      <c r="AQ39" s="1930">
        <v>0.11189593677879306</v>
      </c>
      <c r="AR39" s="1289">
        <v>0.10622309197651691</v>
      </c>
    </row>
    <row r="40" spans="7:45">
      <c r="G40" s="1220" t="s">
        <v>144</v>
      </c>
      <c r="H40" s="1233"/>
      <c r="I40" s="1305"/>
      <c r="J40" s="1306"/>
      <c r="K40" s="1305"/>
      <c r="L40" s="1306"/>
      <c r="M40" s="1234"/>
      <c r="N40" s="1202"/>
      <c r="X40" s="3203"/>
      <c r="Y40" s="1236" t="s">
        <v>688</v>
      </c>
      <c r="Z40" s="1239">
        <v>1.7363694994294789</v>
      </c>
      <c r="AA40" s="1239">
        <v>3.224198541895535</v>
      </c>
      <c r="AB40" s="1239">
        <v>0.93</v>
      </c>
      <c r="AC40" s="1239">
        <v>632.82000000000005</v>
      </c>
      <c r="AD40" s="1206"/>
      <c r="AE40" s="1229"/>
      <c r="AJ40" s="1304" t="s">
        <v>661</v>
      </c>
      <c r="AK40" s="1312">
        <v>0.11</v>
      </c>
      <c r="AL40" s="1312">
        <v>0.11799999999999999</v>
      </c>
      <c r="AM40" s="1312">
        <v>0.13200000000000001</v>
      </c>
      <c r="AN40" s="1265">
        <v>0.10307328605201516</v>
      </c>
      <c r="AO40" s="1265">
        <v>0.122</v>
      </c>
      <c r="AP40" s="1289">
        <v>0.1</v>
      </c>
      <c r="AQ40" s="1930">
        <v>8.3871415677290839E-2</v>
      </c>
      <c r="AR40" s="1289">
        <v>9.404018234002931E-2</v>
      </c>
    </row>
    <row r="41" spans="7:45">
      <c r="G41" s="1220" t="s">
        <v>145</v>
      </c>
      <c r="H41" s="1233"/>
      <c r="I41" s="1305"/>
      <c r="J41" s="1306"/>
      <c r="K41" s="1305"/>
      <c r="L41" s="1306"/>
      <c r="M41" s="1234"/>
      <c r="N41" s="1202"/>
      <c r="X41" s="3203"/>
      <c r="Y41" s="1304" t="s">
        <v>664</v>
      </c>
      <c r="Z41" s="1239">
        <v>7.3158675234799802</v>
      </c>
      <c r="AA41" s="1239">
        <v>8.1071638861629065</v>
      </c>
      <c r="AB41" s="1239">
        <v>3.88</v>
      </c>
      <c r="AC41" s="1239"/>
      <c r="AD41" s="1302">
        <v>3.79</v>
      </c>
      <c r="AE41" s="1303">
        <v>0.88</v>
      </c>
      <c r="AF41" s="1303">
        <f>AF9</f>
        <v>2.2196385160131071</v>
      </c>
      <c r="AJ41" s="1304" t="s">
        <v>662</v>
      </c>
      <c r="AK41" s="1312">
        <v>0.128</v>
      </c>
      <c r="AL41" s="1312">
        <v>0.104</v>
      </c>
      <c r="AM41" s="1312">
        <v>0.109</v>
      </c>
      <c r="AN41" s="1265">
        <v>0.11220741807706158</v>
      </c>
      <c r="AO41" s="1265">
        <v>0.10100000000000001</v>
      </c>
      <c r="AP41" s="1289">
        <v>0.09</v>
      </c>
      <c r="AQ41" s="1930">
        <v>0.10041407867495833</v>
      </c>
      <c r="AR41" s="1289">
        <v>9.1311781162568106E-2</v>
      </c>
    </row>
    <row r="42" spans="7:45">
      <c r="G42" s="1220" t="s">
        <v>146</v>
      </c>
      <c r="H42" s="1233"/>
      <c r="I42" s="1313"/>
      <c r="J42" s="1306"/>
      <c r="K42" s="1305"/>
      <c r="L42" s="1306"/>
      <c r="M42" s="1234"/>
      <c r="N42" s="1202"/>
      <c r="X42" s="3203"/>
      <c r="Y42" s="1236" t="s">
        <v>689</v>
      </c>
      <c r="Z42" s="1239">
        <v>6.9890765132816881</v>
      </c>
      <c r="AA42" s="1239">
        <v>8.1487420849608192</v>
      </c>
      <c r="AB42" s="1239">
        <v>3.18</v>
      </c>
      <c r="AC42" s="1239"/>
      <c r="AD42" s="1206"/>
      <c r="AE42" s="1229"/>
      <c r="AF42" s="1229"/>
      <c r="AJ42" s="1304" t="s">
        <v>664</v>
      </c>
      <c r="AK42" s="1312">
        <v>0.11899999999999999</v>
      </c>
      <c r="AL42" s="1312">
        <v>0.109</v>
      </c>
      <c r="AM42" s="1312">
        <v>0.10299999999999999</v>
      </c>
      <c r="AN42" s="1265">
        <v>9.8831834607947311E-2</v>
      </c>
      <c r="AO42" s="1265">
        <v>1.7999999999999999E-2</v>
      </c>
      <c r="AP42" s="1289">
        <v>0.11</v>
      </c>
      <c r="AQ42" s="1930">
        <v>8.3990450698104513E-2</v>
      </c>
      <c r="AR42" s="1289">
        <v>2.5442367289812418E-2</v>
      </c>
    </row>
    <row r="43" spans="7:45">
      <c r="G43" s="1220" t="s">
        <v>147</v>
      </c>
      <c r="H43" s="1233"/>
      <c r="I43" s="1313"/>
      <c r="J43" s="1314"/>
      <c r="K43" s="1315"/>
      <c r="L43" s="1314"/>
      <c r="M43" s="1202"/>
      <c r="N43" s="1202"/>
      <c r="X43" s="3203"/>
      <c r="Y43" s="1304" t="s">
        <v>665</v>
      </c>
      <c r="Z43" s="1239">
        <v>5.761255556383321</v>
      </c>
      <c r="AA43" s="1239">
        <v>1.9119371482176362</v>
      </c>
      <c r="AB43" s="1239">
        <v>3.9</v>
      </c>
      <c r="AC43" s="1239">
        <v>831.88</v>
      </c>
      <c r="AD43" s="1302">
        <v>4.8499999999999996</v>
      </c>
      <c r="AE43" s="1303">
        <v>7.25</v>
      </c>
      <c r="AF43" s="1303">
        <f>AF10</f>
        <v>6.916307236526813</v>
      </c>
      <c r="AJ43" s="1304" t="s">
        <v>665</v>
      </c>
      <c r="AK43" s="1312">
        <v>0.104</v>
      </c>
      <c r="AL43" s="1312">
        <v>0.107</v>
      </c>
      <c r="AM43" s="1312">
        <v>0.129</v>
      </c>
      <c r="AN43" s="1265">
        <v>0.10322069693769864</v>
      </c>
      <c r="AO43" s="1316">
        <v>9.1999999999999998E-2</v>
      </c>
      <c r="AP43" s="1289">
        <v>0.11</v>
      </c>
      <c r="AQ43" s="1930">
        <v>9.6026760218649643E-2</v>
      </c>
      <c r="AR43" s="1289">
        <v>0.1060807118882211</v>
      </c>
    </row>
    <row r="44" spans="7:45">
      <c r="G44" s="1220" t="s">
        <v>148</v>
      </c>
      <c r="H44" s="1233"/>
      <c r="I44" s="1317"/>
      <c r="J44" s="1314"/>
      <c r="K44" s="1315"/>
      <c r="L44" s="1314"/>
      <c r="M44" s="1202"/>
      <c r="N44" s="1202"/>
      <c r="X44" s="3204"/>
      <c r="Y44" s="1236" t="s">
        <v>690</v>
      </c>
      <c r="Z44" s="1239">
        <v>8.1622495956202545</v>
      </c>
      <c r="AA44" s="1239">
        <v>3.1827308037048101</v>
      </c>
      <c r="AB44" s="1239">
        <v>1.34</v>
      </c>
      <c r="AC44" s="1239"/>
      <c r="AD44" s="1206"/>
      <c r="AE44" s="1229"/>
      <c r="AJ44" s="1214" t="s">
        <v>740</v>
      </c>
      <c r="AK44" s="1318"/>
      <c r="AL44" s="1318"/>
      <c r="AM44" s="1318"/>
      <c r="AN44" s="1318"/>
      <c r="AO44" s="1316">
        <v>0.16</v>
      </c>
      <c r="AP44" s="1319"/>
      <c r="AR44" s="1289">
        <v>0.14531561461793818</v>
      </c>
    </row>
    <row r="45" spans="7:45">
      <c r="G45" s="1209" t="s">
        <v>634</v>
      </c>
      <c r="H45" s="1210" t="s">
        <v>135</v>
      </c>
      <c r="I45" s="1210" t="s">
        <v>136</v>
      </c>
      <c r="J45" s="1210" t="s">
        <v>137</v>
      </c>
      <c r="K45" s="1210" t="s">
        <v>138</v>
      </c>
      <c r="L45" s="1210" t="s">
        <v>139</v>
      </c>
      <c r="M45" s="1209" t="s">
        <v>149</v>
      </c>
      <c r="N45" s="1209" t="s">
        <v>157</v>
      </c>
      <c r="X45" s="1320" t="s">
        <v>764</v>
      </c>
      <c r="Y45" s="1214" t="s">
        <v>740</v>
      </c>
      <c r="AE45" s="1303">
        <v>0.54</v>
      </c>
    </row>
    <row r="46" spans="7:45">
      <c r="G46" s="1220" t="s">
        <v>239</v>
      </c>
      <c r="H46" s="1221"/>
      <c r="I46" s="1321"/>
      <c r="J46" s="1224"/>
      <c r="K46" s="1223"/>
      <c r="L46" s="1224"/>
      <c r="M46" s="1322"/>
      <c r="N46" s="1226"/>
    </row>
    <row r="47" spans="7:45" ht="14" customHeight="1">
      <c r="G47" s="1220" t="s">
        <v>140</v>
      </c>
      <c r="H47" s="1233"/>
      <c r="I47" s="1321"/>
      <c r="J47" s="1224"/>
      <c r="K47" s="1223"/>
      <c r="L47" s="1224"/>
      <c r="M47" s="1234"/>
      <c r="N47" s="1202"/>
      <c r="X47" s="3205" t="s">
        <v>650</v>
      </c>
      <c r="Y47" s="3207"/>
      <c r="Z47" s="3198">
        <v>2010</v>
      </c>
      <c r="AA47" s="3198"/>
      <c r="AB47" s="3198">
        <v>2011</v>
      </c>
      <c r="AC47" s="3198"/>
      <c r="AD47" s="3198">
        <v>2012</v>
      </c>
      <c r="AE47" s="3198"/>
      <c r="AF47" s="3198">
        <v>2014</v>
      </c>
      <c r="AG47" s="3198"/>
      <c r="AH47" s="3198">
        <v>2015</v>
      </c>
      <c r="AI47" s="3198"/>
      <c r="AK47" s="1213"/>
      <c r="AL47" s="3187" t="s">
        <v>768</v>
      </c>
      <c r="AM47" s="3187"/>
      <c r="AN47" s="3187"/>
      <c r="AO47" s="3187"/>
      <c r="AP47" s="3187"/>
      <c r="AQ47" s="3187"/>
      <c r="AR47" s="3187"/>
      <c r="AS47" s="3187"/>
    </row>
    <row r="48" spans="7:45">
      <c r="G48" s="1220" t="s">
        <v>240</v>
      </c>
      <c r="H48" s="1233"/>
      <c r="I48" s="1321"/>
      <c r="J48" s="1224"/>
      <c r="K48" s="1223"/>
      <c r="L48" s="1224"/>
      <c r="M48" s="1234"/>
      <c r="N48" s="1202"/>
      <c r="X48" s="3206"/>
      <c r="Y48" s="3208"/>
      <c r="Z48" s="1215" t="s">
        <v>691</v>
      </c>
      <c r="AA48" s="1214" t="s">
        <v>692</v>
      </c>
      <c r="AB48" s="1215" t="s">
        <v>691</v>
      </c>
      <c r="AC48" s="1214" t="s">
        <v>692</v>
      </c>
      <c r="AD48" s="1215" t="s">
        <v>691</v>
      </c>
      <c r="AE48" s="1214" t="s">
        <v>692</v>
      </c>
      <c r="AF48" s="1215" t="s">
        <v>691</v>
      </c>
      <c r="AG48" s="1214" t="s">
        <v>692</v>
      </c>
      <c r="AH48" s="1215" t="s">
        <v>691</v>
      </c>
      <c r="AI48" s="1214" t="s">
        <v>692</v>
      </c>
      <c r="AK48" s="1323"/>
      <c r="AL48" s="1902">
        <v>2010</v>
      </c>
      <c r="AM48" s="1902">
        <v>2011</v>
      </c>
      <c r="AN48" s="1902">
        <v>2012</v>
      </c>
      <c r="AO48" s="1902">
        <v>2014</v>
      </c>
      <c r="AP48" s="1902">
        <v>2015</v>
      </c>
      <c r="AQ48" s="1902">
        <v>2016</v>
      </c>
      <c r="AR48" s="1902">
        <v>2017</v>
      </c>
      <c r="AS48" s="1926">
        <v>2018</v>
      </c>
    </row>
    <row r="49" spans="7:45">
      <c r="G49" s="1220" t="s">
        <v>141</v>
      </c>
      <c r="H49" s="1233"/>
      <c r="I49" s="1321"/>
      <c r="J49" s="1224"/>
      <c r="K49" s="1223"/>
      <c r="L49" s="1224"/>
      <c r="M49" s="1234"/>
      <c r="N49" s="1202"/>
      <c r="X49" s="3202" t="s">
        <v>657</v>
      </c>
      <c r="Y49" s="1236" t="s">
        <v>680</v>
      </c>
      <c r="Z49" s="1204">
        <v>9.1999999999999993</v>
      </c>
      <c r="AA49" s="1324">
        <v>90.77</v>
      </c>
      <c r="AB49" s="1325">
        <v>0.47</v>
      </c>
      <c r="AC49" s="1204">
        <v>99.86</v>
      </c>
      <c r="AD49" s="1204">
        <v>0.04</v>
      </c>
      <c r="AE49" s="1204">
        <v>83.62</v>
      </c>
      <c r="AF49" s="1206"/>
      <c r="AG49" s="1206"/>
      <c r="AK49" s="1304" t="s">
        <v>658</v>
      </c>
      <c r="AL49" s="1922">
        <v>4.1211823868514657</v>
      </c>
      <c r="AM49" s="1922">
        <v>6.1080592218524057</v>
      </c>
      <c r="AN49" s="1922">
        <v>3.0610045268376802</v>
      </c>
      <c r="AO49" s="1923">
        <v>4.4800000000000004</v>
      </c>
      <c r="AP49" s="1924">
        <v>8.73</v>
      </c>
      <c r="AQ49" s="1925">
        <v>0.65</v>
      </c>
      <c r="AR49" s="1927">
        <v>11.817953231078702</v>
      </c>
      <c r="AS49" s="1206"/>
    </row>
    <row r="50" spans="7:45">
      <c r="G50" s="1220" t="s">
        <v>241</v>
      </c>
      <c r="H50" s="1233"/>
      <c r="I50" s="1321"/>
      <c r="J50" s="1224"/>
      <c r="K50" s="1223"/>
      <c r="L50" s="1224"/>
      <c r="M50" s="1234"/>
      <c r="N50" s="1202"/>
      <c r="X50" s="3203"/>
      <c r="Y50" s="1236" t="s">
        <v>681</v>
      </c>
      <c r="Z50" s="1204">
        <v>12</v>
      </c>
      <c r="AA50" s="1324">
        <v>88.02</v>
      </c>
      <c r="AB50" s="1204">
        <v>12.11</v>
      </c>
      <c r="AC50" s="1204">
        <v>60.71</v>
      </c>
      <c r="AD50" s="1204">
        <v>9.7899999999999991</v>
      </c>
      <c r="AE50" s="1204">
        <v>26.63</v>
      </c>
      <c r="AF50" s="1206"/>
      <c r="AG50" s="1206"/>
      <c r="AK50" s="1304" t="s">
        <v>659</v>
      </c>
      <c r="AL50" s="1239">
        <v>3.5015041672831289</v>
      </c>
      <c r="AM50" s="1239">
        <v>5.2067836979534228</v>
      </c>
      <c r="AN50" s="1239">
        <v>4.3813192103996146</v>
      </c>
      <c r="AO50" s="1302">
        <v>3.06</v>
      </c>
      <c r="AP50" s="1303">
        <v>8.43</v>
      </c>
      <c r="AQ50" s="1231">
        <v>0.47</v>
      </c>
      <c r="AR50" s="1919">
        <v>5.2066231999624746</v>
      </c>
      <c r="AS50" s="1206"/>
    </row>
    <row r="51" spans="7:45">
      <c r="G51" s="1220" t="s">
        <v>142</v>
      </c>
      <c r="H51" s="1233"/>
      <c r="I51" s="1321"/>
      <c r="J51" s="1224"/>
      <c r="K51" s="1223"/>
      <c r="L51" s="1224"/>
      <c r="M51" s="1234"/>
      <c r="N51" s="1202"/>
      <c r="X51" s="3203"/>
      <c r="Y51" s="1304" t="s">
        <v>658</v>
      </c>
      <c r="Z51" s="1214">
        <v>10.7</v>
      </c>
      <c r="AA51" s="1326">
        <v>89.3</v>
      </c>
      <c r="AB51" s="1214">
        <v>10.72</v>
      </c>
      <c r="AC51" s="1214">
        <v>45.92</v>
      </c>
      <c r="AD51" s="1214">
        <v>9.35</v>
      </c>
      <c r="AE51" s="1214">
        <v>22.62</v>
      </c>
      <c r="AF51" s="1326">
        <v>10.1</v>
      </c>
      <c r="AG51" s="1214"/>
      <c r="AK51" s="1304" t="s">
        <v>661</v>
      </c>
      <c r="AL51" s="1239">
        <v>7.4663283232480975</v>
      </c>
      <c r="AM51" s="1239">
        <v>3.3936332651670083</v>
      </c>
      <c r="AN51" s="1239">
        <v>4.8877805486284291</v>
      </c>
      <c r="AO51" s="1302">
        <v>8.07</v>
      </c>
      <c r="AP51" s="1303">
        <v>1.89</v>
      </c>
      <c r="AQ51" s="1231">
        <v>1.2</v>
      </c>
      <c r="AR51" s="1919">
        <v>3.8605494220945817</v>
      </c>
      <c r="AS51" s="1206"/>
    </row>
    <row r="52" spans="7:45">
      <c r="G52" s="1220" t="s">
        <v>242</v>
      </c>
      <c r="H52" s="1233"/>
      <c r="I52" s="1321"/>
      <c r="J52" s="1224"/>
      <c r="K52" s="1223"/>
      <c r="L52" s="1224"/>
      <c r="M52" s="1234"/>
      <c r="N52" s="1202"/>
      <c r="X52" s="3203"/>
      <c r="Y52" s="1236" t="s">
        <v>682</v>
      </c>
      <c r="Z52" s="1204">
        <v>9.5</v>
      </c>
      <c r="AA52" s="1324">
        <v>90.5</v>
      </c>
      <c r="AB52" s="1204">
        <v>10.78</v>
      </c>
      <c r="AC52" s="1204">
        <v>31.17</v>
      </c>
      <c r="AD52" s="1204">
        <v>10.66</v>
      </c>
      <c r="AE52" s="1204">
        <v>22.6</v>
      </c>
      <c r="AF52" s="1327"/>
      <c r="AG52" s="1206"/>
      <c r="AK52" s="1304" t="s">
        <v>662</v>
      </c>
      <c r="AL52" s="1239">
        <v>3.1283605435526449</v>
      </c>
      <c r="AM52" s="1239">
        <v>2.2027169018312818</v>
      </c>
      <c r="AN52" s="1239">
        <v>3.1931106219308645</v>
      </c>
      <c r="AO52" s="1302">
        <v>5.69</v>
      </c>
      <c r="AP52" s="1303">
        <v>1.42</v>
      </c>
      <c r="AQ52" s="1231">
        <v>3.97</v>
      </c>
      <c r="AR52" s="1919">
        <v>5.325566881630956</v>
      </c>
      <c r="AS52" s="1206"/>
    </row>
    <row r="53" spans="7:45">
      <c r="G53" s="1220" t="s">
        <v>143</v>
      </c>
      <c r="H53" s="1233"/>
      <c r="I53" s="1321"/>
      <c r="J53" s="1224"/>
      <c r="K53" s="1223"/>
      <c r="L53" s="1224"/>
      <c r="M53" s="1234"/>
      <c r="N53" s="1202"/>
      <c r="X53" s="3203"/>
      <c r="Y53" s="1304" t="s">
        <v>659</v>
      </c>
      <c r="Z53" s="1214">
        <v>10</v>
      </c>
      <c r="AA53" s="1326">
        <v>90</v>
      </c>
      <c r="AB53" s="1214">
        <v>3.55</v>
      </c>
      <c r="AC53" s="1214">
        <v>88.11</v>
      </c>
      <c r="AD53" s="1214">
        <v>10.51</v>
      </c>
      <c r="AE53" s="1214">
        <v>19.510000000000002</v>
      </c>
      <c r="AF53" s="1326">
        <v>9.5</v>
      </c>
      <c r="AG53" s="1214"/>
      <c r="AK53" s="1304" t="s">
        <v>664</v>
      </c>
      <c r="AL53" s="1239">
        <v>7.3158675234799802</v>
      </c>
      <c r="AM53" s="1239">
        <v>8.1071638861629065</v>
      </c>
      <c r="AN53" s="1239">
        <v>3.88</v>
      </c>
      <c r="AO53" s="1302">
        <v>3.79</v>
      </c>
      <c r="AP53" s="1303">
        <v>0.88</v>
      </c>
      <c r="AQ53" s="1231">
        <v>0.85</v>
      </c>
      <c r="AR53" s="1919">
        <v>4.1994750656167952</v>
      </c>
      <c r="AS53" s="1206"/>
    </row>
    <row r="54" spans="7:45">
      <c r="G54" s="1220" t="s">
        <v>144</v>
      </c>
      <c r="H54" s="1233"/>
      <c r="I54" s="1321"/>
      <c r="J54" s="1224"/>
      <c r="K54" s="1223"/>
      <c r="L54" s="1224"/>
      <c r="M54" s="1234"/>
      <c r="N54" s="1202"/>
      <c r="X54" s="3204"/>
      <c r="Y54" s="1236" t="s">
        <v>683</v>
      </c>
      <c r="Z54" s="1204">
        <v>10</v>
      </c>
      <c r="AA54" s="1324">
        <v>90</v>
      </c>
      <c r="AB54" s="1204">
        <v>9.59</v>
      </c>
      <c r="AC54" s="1204">
        <v>40.130000000000003</v>
      </c>
      <c r="AD54" s="1204">
        <v>12.07</v>
      </c>
      <c r="AE54" s="1204">
        <v>25.5</v>
      </c>
      <c r="AF54" s="1327"/>
      <c r="AG54" s="1206"/>
      <c r="AK54" s="1304" t="s">
        <v>665</v>
      </c>
      <c r="AL54" s="1239">
        <v>5.761255556383321</v>
      </c>
      <c r="AM54" s="1239">
        <v>1.9119371482176362</v>
      </c>
      <c r="AN54" s="1239">
        <v>3.9</v>
      </c>
      <c r="AO54" s="1302">
        <v>4.8499999999999996</v>
      </c>
      <c r="AP54" s="1303">
        <v>7.25</v>
      </c>
      <c r="AQ54" s="1231">
        <v>3.64</v>
      </c>
      <c r="AR54" s="1919">
        <v>4.5097029632654513</v>
      </c>
      <c r="AS54" s="1206"/>
    </row>
    <row r="55" spans="7:45">
      <c r="G55" s="1220" t="s">
        <v>145</v>
      </c>
      <c r="H55" s="1233"/>
      <c r="I55" s="1328"/>
      <c r="J55" s="1271"/>
      <c r="K55" s="1270"/>
      <c r="L55" s="1271"/>
      <c r="M55" s="1202"/>
      <c r="N55" s="1202"/>
      <c r="X55" s="3202" t="s">
        <v>660</v>
      </c>
      <c r="Y55" s="1236" t="s">
        <v>684</v>
      </c>
      <c r="Z55" s="1204">
        <v>9.4499999999999993</v>
      </c>
      <c r="AA55" s="1324">
        <v>90.6</v>
      </c>
      <c r="AB55" s="1204">
        <v>2.89</v>
      </c>
      <c r="AC55" s="1204">
        <v>80.349999999999994</v>
      </c>
      <c r="AD55" s="1204">
        <v>4.93</v>
      </c>
      <c r="AE55" s="1204">
        <v>73.02</v>
      </c>
      <c r="AF55" s="1327"/>
      <c r="AG55" s="1206"/>
      <c r="AK55" s="1214" t="s">
        <v>740</v>
      </c>
      <c r="AP55" s="1329">
        <v>0.54</v>
      </c>
      <c r="AS55" s="1206"/>
    </row>
    <row r="56" spans="7:45">
      <c r="G56" s="1220" t="s">
        <v>146</v>
      </c>
      <c r="H56" s="1279"/>
      <c r="I56" s="1328"/>
      <c r="J56" s="1330"/>
      <c r="K56" s="1331"/>
      <c r="L56" s="1330"/>
      <c r="M56" s="1332"/>
      <c r="N56" s="1332"/>
      <c r="X56" s="3203"/>
      <c r="Y56" s="1304" t="s">
        <v>661</v>
      </c>
      <c r="Z56" s="1214">
        <v>11</v>
      </c>
      <c r="AA56" s="1326">
        <v>89</v>
      </c>
      <c r="AB56" s="1214">
        <v>11.87</v>
      </c>
      <c r="AC56" s="1214">
        <v>31.66</v>
      </c>
      <c r="AD56" s="1214">
        <v>13.15</v>
      </c>
      <c r="AE56" s="1214">
        <v>27.18</v>
      </c>
      <c r="AF56" s="1326">
        <v>10.3</v>
      </c>
      <c r="AG56" s="1214"/>
    </row>
    <row r="57" spans="7:45">
      <c r="G57" s="1220" t="s">
        <v>147</v>
      </c>
      <c r="H57" s="1333"/>
      <c r="I57" s="1334"/>
      <c r="J57" s="1330"/>
      <c r="K57" s="1331"/>
      <c r="L57" s="1330"/>
      <c r="M57" s="1335"/>
      <c r="N57" s="1335"/>
      <c r="X57" s="3203"/>
      <c r="Y57" s="1236" t="s">
        <v>685</v>
      </c>
      <c r="Z57" s="1204">
        <v>11.7</v>
      </c>
      <c r="AA57" s="1324">
        <v>88.3</v>
      </c>
      <c r="AB57" s="1204">
        <v>10.7</v>
      </c>
      <c r="AC57" s="1204">
        <v>38.56</v>
      </c>
      <c r="AD57" s="1204">
        <v>11.67</v>
      </c>
      <c r="AE57" s="1204">
        <v>19.98</v>
      </c>
      <c r="AF57" s="1327"/>
      <c r="AG57" s="1206"/>
    </row>
    <row r="58" spans="7:45">
      <c r="G58" s="1336" t="s">
        <v>148</v>
      </c>
      <c r="H58" s="1206"/>
      <c r="I58" s="1334"/>
      <c r="J58" s="1231"/>
      <c r="K58" s="1257"/>
      <c r="L58" s="1231"/>
      <c r="X58" s="3203"/>
      <c r="Y58" s="1304" t="s">
        <v>662</v>
      </c>
      <c r="Z58" s="1214">
        <v>12.8</v>
      </c>
      <c r="AA58" s="1326">
        <v>87.2</v>
      </c>
      <c r="AB58" s="1214">
        <v>10.44</v>
      </c>
      <c r="AC58" s="1214">
        <v>56.14</v>
      </c>
      <c r="AD58" s="1214">
        <v>10.87</v>
      </c>
      <c r="AE58" s="1214">
        <v>21.96</v>
      </c>
      <c r="AF58" s="1326">
        <v>11.2</v>
      </c>
      <c r="AG58" s="1214"/>
    </row>
    <row r="59" spans="7:45">
      <c r="G59" s="1336" t="s">
        <v>167</v>
      </c>
      <c r="H59" s="1206"/>
      <c r="I59" s="1334"/>
      <c r="J59" s="1231"/>
      <c r="K59" s="1257"/>
      <c r="L59" s="1231"/>
      <c r="X59" s="3204"/>
      <c r="Y59" s="1236" t="s">
        <v>686</v>
      </c>
      <c r="Z59" s="1204">
        <v>11.5</v>
      </c>
      <c r="AA59" s="1324">
        <v>88.5</v>
      </c>
      <c r="AB59" s="1204">
        <v>9.5399999999999991</v>
      </c>
      <c r="AC59" s="1204">
        <v>37.53</v>
      </c>
      <c r="AD59" s="1204">
        <v>11.29</v>
      </c>
      <c r="AE59" s="1204">
        <v>22.24</v>
      </c>
      <c r="AF59" s="1327"/>
      <c r="AG59" s="1206"/>
    </row>
    <row r="60" spans="7:45">
      <c r="G60" s="1209" t="s">
        <v>635</v>
      </c>
      <c r="H60" s="1210" t="s">
        <v>135</v>
      </c>
      <c r="I60" s="1210" t="s">
        <v>136</v>
      </c>
      <c r="J60" s="1210" t="s">
        <v>137</v>
      </c>
      <c r="K60" s="1210" t="s">
        <v>138</v>
      </c>
      <c r="L60" s="1210" t="s">
        <v>139</v>
      </c>
      <c r="M60" s="1209" t="s">
        <v>149</v>
      </c>
      <c r="N60" s="1209" t="s">
        <v>157</v>
      </c>
      <c r="X60" s="3202" t="s">
        <v>663</v>
      </c>
      <c r="Y60" s="1236" t="s">
        <v>687</v>
      </c>
      <c r="Z60" s="1204">
        <v>11.2</v>
      </c>
      <c r="AA60" s="1324">
        <v>88.8</v>
      </c>
      <c r="AB60" s="1204">
        <v>8.48</v>
      </c>
      <c r="AC60" s="1204">
        <v>61.08</v>
      </c>
      <c r="AD60" s="1204">
        <v>7.68</v>
      </c>
      <c r="AE60" s="1204">
        <v>48.06</v>
      </c>
      <c r="AF60" s="1327"/>
      <c r="AG60" s="1206"/>
    </row>
    <row r="61" spans="7:45">
      <c r="G61" s="1220" t="s">
        <v>239</v>
      </c>
      <c r="H61" s="1221"/>
      <c r="I61" s="1222"/>
      <c r="J61" s="1286"/>
      <c r="K61" s="1222"/>
      <c r="L61" s="1286"/>
      <c r="M61" s="1225"/>
      <c r="N61" s="1226"/>
      <c r="X61" s="3203"/>
      <c r="Y61" s="1236" t="s">
        <v>688</v>
      </c>
      <c r="Z61" s="1204">
        <v>11.7</v>
      </c>
      <c r="AA61" s="1324">
        <v>88.3</v>
      </c>
      <c r="AB61" s="1204">
        <v>8.3699999999999992</v>
      </c>
      <c r="AC61" s="1204">
        <v>96.98</v>
      </c>
      <c r="AD61" s="1204">
        <v>10.54</v>
      </c>
      <c r="AE61" s="1204">
        <v>42.81</v>
      </c>
      <c r="AF61" s="1327"/>
      <c r="AG61" s="1206"/>
    </row>
    <row r="62" spans="7:45">
      <c r="G62" s="1220" t="s">
        <v>140</v>
      </c>
      <c r="H62" s="1233"/>
      <c r="I62" s="1222"/>
      <c r="J62" s="1286"/>
      <c r="K62" s="1222"/>
      <c r="L62" s="1286"/>
      <c r="M62" s="1234"/>
      <c r="N62" s="1202"/>
      <c r="X62" s="3203"/>
      <c r="Y62" s="1304" t="s">
        <v>664</v>
      </c>
      <c r="Z62" s="1214">
        <v>11.9</v>
      </c>
      <c r="AA62" s="1326">
        <v>88.1</v>
      </c>
      <c r="AB62" s="1214">
        <v>10.94</v>
      </c>
      <c r="AC62" s="1214">
        <v>93.25</v>
      </c>
      <c r="AD62" s="1214">
        <v>10.31</v>
      </c>
      <c r="AE62" s="1214">
        <v>42.05</v>
      </c>
      <c r="AF62" s="1326">
        <v>9.9</v>
      </c>
      <c r="AG62" s="1214"/>
    </row>
    <row r="63" spans="7:45">
      <c r="G63" s="1220" t="s">
        <v>240</v>
      </c>
      <c r="H63" s="1233"/>
      <c r="I63" s="1222"/>
      <c r="J63" s="1286"/>
      <c r="K63" s="1222"/>
      <c r="L63" s="1286"/>
      <c r="M63" s="1234"/>
      <c r="N63" s="1202"/>
      <c r="X63" s="3203"/>
      <c r="Y63" s="1236" t="s">
        <v>689</v>
      </c>
      <c r="Z63" s="1204">
        <v>12.7</v>
      </c>
      <c r="AA63" s="1324">
        <v>87.3</v>
      </c>
      <c r="AB63" s="1204">
        <v>10.95</v>
      </c>
      <c r="AC63" s="1204">
        <v>94.5</v>
      </c>
      <c r="AD63" s="1204">
        <v>19.010000000000002</v>
      </c>
      <c r="AE63" s="1204">
        <v>36.15</v>
      </c>
      <c r="AF63" s="1206"/>
      <c r="AG63" s="1206"/>
    </row>
    <row r="64" spans="7:45">
      <c r="G64" s="1220" t="s">
        <v>141</v>
      </c>
      <c r="H64" s="1233"/>
      <c r="I64" s="1222"/>
      <c r="J64" s="1286"/>
      <c r="K64" s="1222"/>
      <c r="L64" s="1286"/>
      <c r="M64" s="1234"/>
      <c r="N64" s="1202"/>
      <c r="X64" s="3203"/>
      <c r="Y64" s="1304" t="s">
        <v>665</v>
      </c>
      <c r="Z64" s="1214">
        <v>10.4</v>
      </c>
      <c r="AA64" s="1326">
        <v>89.6</v>
      </c>
      <c r="AB64" s="1214">
        <v>10.66</v>
      </c>
      <c r="AC64" s="1214">
        <v>60.57</v>
      </c>
      <c r="AD64" s="1214">
        <v>12.86</v>
      </c>
      <c r="AE64" s="1214">
        <v>39.340000000000003</v>
      </c>
      <c r="AF64" s="1214">
        <v>10.3</v>
      </c>
      <c r="AG64" s="1214"/>
    </row>
    <row r="65" spans="7:38">
      <c r="G65" s="1220" t="s">
        <v>241</v>
      </c>
      <c r="H65" s="1233"/>
      <c r="I65" s="1222"/>
      <c r="J65" s="1286"/>
      <c r="K65" s="1222"/>
      <c r="L65" s="1286"/>
      <c r="M65" s="1234"/>
      <c r="N65" s="1202"/>
      <c r="X65" s="3204"/>
      <c r="Y65" s="1236" t="s">
        <v>690</v>
      </c>
      <c r="Z65" s="1204">
        <v>10.7</v>
      </c>
      <c r="AA65" s="1324">
        <v>89.3</v>
      </c>
      <c r="AB65" s="1204">
        <v>10.75</v>
      </c>
      <c r="AC65" s="1204">
        <v>96.31</v>
      </c>
      <c r="AD65" s="1204">
        <v>4.82</v>
      </c>
      <c r="AE65" s="1204">
        <v>85.74</v>
      </c>
      <c r="AF65" s="1206"/>
      <c r="AG65" s="1206"/>
    </row>
    <row r="66" spans="7:38">
      <c r="G66" s="1220" t="s">
        <v>142</v>
      </c>
      <c r="H66" s="1233"/>
      <c r="I66" s="1337"/>
      <c r="J66" s="1286"/>
      <c r="K66" s="1222"/>
      <c r="L66" s="1286"/>
      <c r="M66" s="1234"/>
      <c r="N66" s="1202"/>
    </row>
    <row r="67" spans="7:38">
      <c r="G67" s="1220" t="s">
        <v>242</v>
      </c>
      <c r="H67" s="1233"/>
      <c r="I67" s="1337"/>
      <c r="J67" s="1286"/>
      <c r="K67" s="1222"/>
      <c r="L67" s="1286"/>
      <c r="M67" s="1234"/>
      <c r="N67" s="1202"/>
    </row>
    <row r="68" spans="7:38">
      <c r="G68" s="1220" t="s">
        <v>143</v>
      </c>
      <c r="H68" s="1233"/>
      <c r="I68" s="1337"/>
      <c r="J68" s="1286"/>
      <c r="K68" s="1222"/>
      <c r="L68" s="1286"/>
      <c r="M68" s="1234"/>
      <c r="N68" s="1202"/>
    </row>
    <row r="69" spans="7:38">
      <c r="G69" s="1220" t="s">
        <v>144</v>
      </c>
      <c r="H69" s="1233"/>
      <c r="I69" s="1337"/>
      <c r="J69" s="1286"/>
      <c r="K69" s="1222"/>
      <c r="L69" s="1286"/>
      <c r="M69" s="1234"/>
      <c r="N69" s="1202"/>
    </row>
    <row r="70" spans="7:38">
      <c r="G70" s="1220" t="s">
        <v>145</v>
      </c>
      <c r="H70" s="1233"/>
      <c r="I70" s="1337"/>
      <c r="J70" s="1286"/>
      <c r="K70" s="1222"/>
      <c r="L70" s="1286"/>
      <c r="M70" s="1234"/>
      <c r="N70" s="1202"/>
    </row>
    <row r="71" spans="7:38">
      <c r="G71" s="1209" t="s">
        <v>636</v>
      </c>
      <c r="H71" s="1210" t="s">
        <v>135</v>
      </c>
      <c r="I71" s="1210" t="s">
        <v>136</v>
      </c>
      <c r="J71" s="1210" t="s">
        <v>137</v>
      </c>
      <c r="K71" s="1210" t="s">
        <v>138</v>
      </c>
      <c r="L71" s="1210" t="s">
        <v>139</v>
      </c>
      <c r="M71" s="1209" t="s">
        <v>149</v>
      </c>
      <c r="N71" s="1209" t="s">
        <v>157</v>
      </c>
    </row>
    <row r="72" spans="7:38">
      <c r="G72" s="1220" t="s">
        <v>239</v>
      </c>
      <c r="H72" s="1221"/>
      <c r="I72" s="1223"/>
      <c r="J72" s="1224"/>
      <c r="K72" s="1223"/>
      <c r="L72" s="1224"/>
      <c r="M72" s="1307"/>
      <c r="N72" s="1308"/>
    </row>
    <row r="73" spans="7:38">
      <c r="G73" s="1220" t="s">
        <v>140</v>
      </c>
      <c r="H73" s="1233"/>
      <c r="I73" s="1223"/>
      <c r="J73" s="1224"/>
      <c r="K73" s="1223"/>
      <c r="L73" s="1224"/>
      <c r="M73" s="1234"/>
      <c r="N73" s="1202"/>
    </row>
    <row r="74" spans="7:38">
      <c r="G74" s="1220" t="s">
        <v>240</v>
      </c>
      <c r="H74" s="1233"/>
      <c r="I74" s="1223"/>
      <c r="J74" s="1224"/>
      <c r="K74" s="1223"/>
      <c r="L74" s="1224"/>
      <c r="M74" s="1234"/>
      <c r="N74" s="1202"/>
      <c r="AL74" s="1211" t="s">
        <v>1260</v>
      </c>
    </row>
    <row r="75" spans="7:38">
      <c r="G75" s="1220" t="s">
        <v>141</v>
      </c>
      <c r="H75" s="1233"/>
      <c r="I75" s="1223"/>
      <c r="J75" s="1224"/>
      <c r="K75" s="1223"/>
      <c r="L75" s="1224"/>
      <c r="M75" s="1234"/>
      <c r="N75" s="1202"/>
      <c r="AL75" s="1300" t="s">
        <v>677</v>
      </c>
    </row>
    <row r="76" spans="7:38">
      <c r="G76" s="1220" t="s">
        <v>241</v>
      </c>
      <c r="H76" s="1233"/>
      <c r="I76" s="1223"/>
      <c r="J76" s="1224"/>
      <c r="K76" s="1223"/>
      <c r="L76" s="1224"/>
      <c r="M76" s="1234"/>
      <c r="N76" s="1202"/>
      <c r="AK76" s="1214" t="s">
        <v>658</v>
      </c>
      <c r="AL76" s="1239">
        <v>844.92</v>
      </c>
    </row>
    <row r="77" spans="7:38">
      <c r="G77" s="1220" t="s">
        <v>142</v>
      </c>
      <c r="H77" s="1233"/>
      <c r="I77" s="1223"/>
      <c r="J77" s="1224"/>
      <c r="K77" s="1223"/>
      <c r="L77" s="1224"/>
      <c r="M77" s="1234"/>
      <c r="N77" s="1202"/>
      <c r="AK77" s="1304" t="s">
        <v>659</v>
      </c>
      <c r="AL77" s="1239">
        <v>1129.92</v>
      </c>
    </row>
    <row r="78" spans="7:38">
      <c r="G78" s="1220" t="s">
        <v>242</v>
      </c>
      <c r="H78" s="1233"/>
      <c r="I78" s="1223"/>
      <c r="J78" s="1224"/>
      <c r="K78" s="1223"/>
      <c r="L78" s="1224"/>
      <c r="M78" s="1234"/>
      <c r="N78" s="1202"/>
      <c r="AK78" s="1304" t="s">
        <v>661</v>
      </c>
      <c r="AL78" s="1239">
        <v>1100.76</v>
      </c>
    </row>
    <row r="79" spans="7:38">
      <c r="G79" s="1220" t="s">
        <v>143</v>
      </c>
      <c r="H79" s="1233"/>
      <c r="I79" s="1223"/>
      <c r="J79" s="1224"/>
      <c r="K79" s="1223"/>
      <c r="L79" s="1224"/>
      <c r="M79" s="1234"/>
      <c r="N79" s="1202"/>
      <c r="AK79" s="1304" t="s">
        <v>662</v>
      </c>
      <c r="AL79" s="1239">
        <v>1052.08</v>
      </c>
    </row>
    <row r="80" spans="7:38">
      <c r="G80" s="1220" t="s">
        <v>144</v>
      </c>
      <c r="H80" s="1233"/>
      <c r="I80" s="1223"/>
      <c r="J80" s="1224"/>
      <c r="K80" s="1223"/>
      <c r="L80" s="1224"/>
      <c r="M80" s="1234"/>
      <c r="N80" s="1202"/>
      <c r="AK80" s="1304" t="s">
        <v>664</v>
      </c>
      <c r="AL80" s="1239">
        <v>632.82000000000005</v>
      </c>
    </row>
    <row r="81" spans="7:38">
      <c r="G81" s="1220" t="s">
        <v>145</v>
      </c>
      <c r="H81" s="1206"/>
      <c r="I81" s="1257"/>
      <c r="J81" s="1231"/>
      <c r="K81" s="1257"/>
      <c r="L81" s="1231"/>
      <c r="AK81" s="1304" t="s">
        <v>665</v>
      </c>
      <c r="AL81" s="1239">
        <v>831.88</v>
      </c>
    </row>
    <row r="82" spans="7:38">
      <c r="G82" s="1220" t="s">
        <v>146</v>
      </c>
      <c r="H82" s="1206"/>
      <c r="I82" s="1257"/>
      <c r="J82" s="1231"/>
      <c r="K82" s="1257"/>
      <c r="L82" s="1231"/>
    </row>
  </sheetData>
  <mergeCells count="38">
    <mergeCell ref="X34:X38"/>
    <mergeCell ref="X39:X44"/>
    <mergeCell ref="X26:X27"/>
    <mergeCell ref="X49:X54"/>
    <mergeCell ref="AB3:AC3"/>
    <mergeCell ref="X5:X6"/>
    <mergeCell ref="X7:X8"/>
    <mergeCell ref="X9:X10"/>
    <mergeCell ref="X3:X4"/>
    <mergeCell ref="Y3:Y4"/>
    <mergeCell ref="X16:X17"/>
    <mergeCell ref="Z14:AB14"/>
    <mergeCell ref="AC14:AE14"/>
    <mergeCell ref="Y26:Y27"/>
    <mergeCell ref="X60:X65"/>
    <mergeCell ref="AF47:AG47"/>
    <mergeCell ref="X47:X48"/>
    <mergeCell ref="Y47:Y48"/>
    <mergeCell ref="Z47:AA47"/>
    <mergeCell ref="AB47:AC47"/>
    <mergeCell ref="AD47:AE47"/>
    <mergeCell ref="X55:X59"/>
    <mergeCell ref="AL47:AS47"/>
    <mergeCell ref="AK36:AR36"/>
    <mergeCell ref="A1:E1"/>
    <mergeCell ref="A10:E10"/>
    <mergeCell ref="R1:V1"/>
    <mergeCell ref="R10:V10"/>
    <mergeCell ref="AM3:AM4"/>
    <mergeCell ref="AM5:AM6"/>
    <mergeCell ref="AM7:AM8"/>
    <mergeCell ref="AF14:AG14"/>
    <mergeCell ref="AK12:AL12"/>
    <mergeCell ref="AH47:AI47"/>
    <mergeCell ref="X18:X19"/>
    <mergeCell ref="X20:X21"/>
    <mergeCell ref="AK26:AS26"/>
    <mergeCell ref="X28:X33"/>
  </mergeCells>
  <pageMargins left="0.75" right="0.25" top="0.5" bottom="0.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3" tint="0.59999389629810485"/>
  </sheetPr>
  <dimension ref="A1:F58"/>
  <sheetViews>
    <sheetView topLeftCell="A37" workbookViewId="0">
      <selection activeCell="A54" sqref="A54:F54"/>
    </sheetView>
  </sheetViews>
  <sheetFormatPr defaultRowHeight="14"/>
  <cols>
    <col min="1" max="1" width="10.90625" bestFit="1" customWidth="1"/>
    <col min="2" max="2" width="37" bestFit="1" customWidth="1"/>
    <col min="3" max="3" width="9.1796875" bestFit="1" customWidth="1"/>
    <col min="4" max="4" width="11.36328125" bestFit="1" customWidth="1"/>
    <col min="5" max="5" width="7.81640625" bestFit="1" customWidth="1"/>
    <col min="6" max="6" width="8.1796875" customWidth="1"/>
  </cols>
  <sheetData>
    <row r="1" spans="1:6" ht="24" customHeight="1">
      <c r="A1" s="492" t="s">
        <v>214</v>
      </c>
      <c r="B1" s="3215" t="s">
        <v>823</v>
      </c>
      <c r="C1" s="3223">
        <v>2016</v>
      </c>
      <c r="D1" s="3224"/>
      <c r="E1" s="3225"/>
      <c r="F1" s="3215" t="s">
        <v>385</v>
      </c>
    </row>
    <row r="2" spans="1:6">
      <c r="A2" s="493"/>
      <c r="B2" s="3216"/>
      <c r="C2" s="494" t="s">
        <v>386</v>
      </c>
      <c r="D2" s="494" t="s">
        <v>346</v>
      </c>
      <c r="E2" s="494" t="s">
        <v>322</v>
      </c>
      <c r="F2" s="3216"/>
    </row>
    <row r="3" spans="1:6">
      <c r="A3" s="3217" t="s">
        <v>800</v>
      </c>
      <c r="B3" s="3218"/>
      <c r="C3" s="3218"/>
      <c r="D3" s="3218"/>
      <c r="E3" s="3218"/>
      <c r="F3" s="3219"/>
    </row>
    <row r="4" spans="1:6">
      <c r="A4" s="498" t="s">
        <v>292</v>
      </c>
      <c r="B4" s="498" t="s">
        <v>810</v>
      </c>
      <c r="C4" s="499" t="s">
        <v>262</v>
      </c>
      <c r="D4" s="499" t="s">
        <v>262</v>
      </c>
      <c r="E4" s="499" t="s">
        <v>262</v>
      </c>
      <c r="F4" s="499" t="s">
        <v>323</v>
      </c>
    </row>
    <row r="5" spans="1:6" s="358" customFormat="1">
      <c r="A5" s="498" t="s">
        <v>866</v>
      </c>
      <c r="B5" s="498" t="s">
        <v>867</v>
      </c>
      <c r="C5" s="499" t="s">
        <v>262</v>
      </c>
      <c r="D5" s="499"/>
      <c r="E5" s="499"/>
      <c r="F5" s="499"/>
    </row>
    <row r="6" spans="1:6">
      <c r="A6" s="498" t="s">
        <v>291</v>
      </c>
      <c r="B6" s="498" t="s">
        <v>324</v>
      </c>
      <c r="C6" s="499" t="s">
        <v>262</v>
      </c>
      <c r="D6" s="499" t="s">
        <v>262</v>
      </c>
      <c r="E6" s="499" t="s">
        <v>262</v>
      </c>
      <c r="F6" s="499" t="s">
        <v>323</v>
      </c>
    </row>
    <row r="7" spans="1:6">
      <c r="A7" s="498" t="s">
        <v>217</v>
      </c>
      <c r="B7" s="498" t="s">
        <v>218</v>
      </c>
      <c r="C7" s="499" t="s">
        <v>262</v>
      </c>
      <c r="D7" s="499" t="s">
        <v>348</v>
      </c>
      <c r="E7" s="499" t="s">
        <v>262</v>
      </c>
      <c r="F7" s="499"/>
    </row>
    <row r="8" spans="1:6">
      <c r="A8" s="3217" t="s">
        <v>801</v>
      </c>
      <c r="B8" s="3218"/>
      <c r="C8" s="3218"/>
      <c r="D8" s="3218"/>
      <c r="E8" s="3218"/>
      <c r="F8" s="3219"/>
    </row>
    <row r="9" spans="1:6">
      <c r="A9" s="498" t="s">
        <v>325</v>
      </c>
      <c r="B9" s="498" t="s">
        <v>345</v>
      </c>
      <c r="C9" s="499" t="s">
        <v>262</v>
      </c>
      <c r="D9" s="499" t="s">
        <v>348</v>
      </c>
      <c r="E9" s="499" t="s">
        <v>262</v>
      </c>
      <c r="F9" s="499" t="s">
        <v>323</v>
      </c>
    </row>
    <row r="10" spans="1:6">
      <c r="A10" s="500" t="s">
        <v>503</v>
      </c>
      <c r="B10" s="498" t="s">
        <v>473</v>
      </c>
      <c r="C10" s="499" t="s">
        <v>326</v>
      </c>
      <c r="D10" s="499"/>
      <c r="E10" s="499" t="s">
        <v>262</v>
      </c>
      <c r="F10" s="501"/>
    </row>
    <row r="11" spans="1:6">
      <c r="A11" s="3214" t="s">
        <v>327</v>
      </c>
      <c r="B11" s="3214"/>
      <c r="C11" s="3214"/>
      <c r="D11" s="3214"/>
      <c r="E11" s="3214"/>
      <c r="F11" s="3214"/>
    </row>
    <row r="12" spans="1:6">
      <c r="A12" s="498" t="s">
        <v>812</v>
      </c>
      <c r="B12" s="498" t="s">
        <v>813</v>
      </c>
      <c r="C12" s="499" t="s">
        <v>262</v>
      </c>
      <c r="D12" s="499"/>
      <c r="E12" s="499" t="s">
        <v>262</v>
      </c>
      <c r="F12" s="499" t="s">
        <v>323</v>
      </c>
    </row>
    <row r="13" spans="1:6">
      <c r="A13" s="498" t="s">
        <v>196</v>
      </c>
      <c r="B13" s="498" t="s">
        <v>351</v>
      </c>
      <c r="C13" s="499" t="s">
        <v>353</v>
      </c>
      <c r="D13" s="501"/>
      <c r="E13" s="501"/>
      <c r="F13" s="501"/>
    </row>
    <row r="14" spans="1:6">
      <c r="A14" s="498" t="s">
        <v>350</v>
      </c>
      <c r="B14" s="498" t="s">
        <v>352</v>
      </c>
      <c r="C14" s="499" t="s">
        <v>353</v>
      </c>
      <c r="D14" s="501"/>
      <c r="E14" s="501"/>
      <c r="F14" s="501"/>
    </row>
    <row r="15" spans="1:6">
      <c r="A15" s="3214" t="s">
        <v>802</v>
      </c>
      <c r="B15" s="3214"/>
      <c r="C15" s="3214"/>
      <c r="D15" s="3214"/>
      <c r="E15" s="3214"/>
      <c r="F15" s="3214"/>
    </row>
    <row r="16" spans="1:6">
      <c r="A16" s="498" t="s">
        <v>811</v>
      </c>
      <c r="B16" s="498" t="s">
        <v>814</v>
      </c>
      <c r="C16" s="499" t="s">
        <v>262</v>
      </c>
      <c r="D16" s="499"/>
      <c r="E16" s="499" t="s">
        <v>368</v>
      </c>
      <c r="F16" s="499" t="s">
        <v>328</v>
      </c>
    </row>
    <row r="17" spans="1:6">
      <c r="A17" s="3214" t="s">
        <v>803</v>
      </c>
      <c r="B17" s="3214"/>
      <c r="C17" s="3214"/>
      <c r="D17" s="3214"/>
      <c r="E17" s="3214"/>
      <c r="F17" s="3214"/>
    </row>
    <row r="18" spans="1:6">
      <c r="A18" s="498" t="s">
        <v>514</v>
      </c>
      <c r="B18" s="498" t="s">
        <v>820</v>
      </c>
      <c r="C18" s="499" t="s">
        <v>262</v>
      </c>
      <c r="D18" s="499" t="s">
        <v>262</v>
      </c>
      <c r="E18" s="499" t="s">
        <v>262</v>
      </c>
      <c r="F18" s="499" t="s">
        <v>323</v>
      </c>
    </row>
    <row r="19" spans="1:6">
      <c r="A19" s="498" t="s">
        <v>204</v>
      </c>
      <c r="B19" s="498" t="s">
        <v>220</v>
      </c>
      <c r="C19" s="499" t="s">
        <v>262</v>
      </c>
      <c r="D19" s="499" t="s">
        <v>262</v>
      </c>
      <c r="E19" s="499" t="s">
        <v>262</v>
      </c>
      <c r="F19" s="499"/>
    </row>
    <row r="20" spans="1:6">
      <c r="A20" s="498" t="s">
        <v>205</v>
      </c>
      <c r="B20" s="498" t="s">
        <v>221</v>
      </c>
      <c r="C20" s="499" t="s">
        <v>262</v>
      </c>
      <c r="D20" s="499" t="s">
        <v>262</v>
      </c>
      <c r="E20" s="499" t="s">
        <v>262</v>
      </c>
      <c r="F20" s="499"/>
    </row>
    <row r="21" spans="1:6">
      <c r="A21" s="498" t="s">
        <v>206</v>
      </c>
      <c r="B21" s="498" t="s">
        <v>222</v>
      </c>
      <c r="C21" s="499" t="s">
        <v>262</v>
      </c>
      <c r="D21" s="499" t="s">
        <v>262</v>
      </c>
      <c r="E21" s="499" t="s">
        <v>262</v>
      </c>
      <c r="F21" s="499"/>
    </row>
    <row r="22" spans="1:6">
      <c r="A22" s="498" t="s">
        <v>207</v>
      </c>
      <c r="B22" s="498" t="s">
        <v>329</v>
      </c>
      <c r="C22" s="499" t="s">
        <v>262</v>
      </c>
      <c r="D22" s="499" t="s">
        <v>262</v>
      </c>
      <c r="E22" s="499" t="s">
        <v>326</v>
      </c>
      <c r="F22" s="499"/>
    </row>
    <row r="23" spans="1:6">
      <c r="A23" s="498" t="s">
        <v>208</v>
      </c>
      <c r="B23" s="498" t="s">
        <v>515</v>
      </c>
      <c r="C23" s="499" t="s">
        <v>262</v>
      </c>
      <c r="D23" s="499" t="s">
        <v>348</v>
      </c>
      <c r="E23" s="499" t="s">
        <v>262</v>
      </c>
      <c r="F23" s="499" t="s">
        <v>323</v>
      </c>
    </row>
    <row r="24" spans="1:6">
      <c r="A24" s="500" t="s">
        <v>463</v>
      </c>
      <c r="B24" s="498" t="s">
        <v>508</v>
      </c>
      <c r="C24" s="499" t="s">
        <v>262</v>
      </c>
      <c r="D24" s="499"/>
      <c r="E24" s="499" t="s">
        <v>330</v>
      </c>
      <c r="F24" s="499"/>
    </row>
    <row r="25" spans="1:6">
      <c r="A25" s="500" t="s">
        <v>464</v>
      </c>
      <c r="B25" s="498" t="s">
        <v>397</v>
      </c>
      <c r="C25" s="499" t="s">
        <v>262</v>
      </c>
      <c r="D25" s="499"/>
      <c r="E25" s="499" t="s">
        <v>330</v>
      </c>
      <c r="F25" s="499"/>
    </row>
    <row r="26" spans="1:6">
      <c r="A26" s="500" t="s">
        <v>465</v>
      </c>
      <c r="B26" s="498" t="s">
        <v>396</v>
      </c>
      <c r="C26" s="499" t="s">
        <v>262</v>
      </c>
      <c r="D26" s="499"/>
      <c r="E26" s="499" t="s">
        <v>330</v>
      </c>
      <c r="F26" s="499"/>
    </row>
    <row r="27" spans="1:6">
      <c r="A27" s="3214" t="s">
        <v>804</v>
      </c>
      <c r="B27" s="3214"/>
      <c r="C27" s="3214"/>
      <c r="D27" s="3214"/>
      <c r="E27" s="3214"/>
      <c r="F27" s="3214"/>
    </row>
    <row r="28" spans="1:6" s="358" customFormat="1">
      <c r="A28" s="498" t="s">
        <v>331</v>
      </c>
      <c r="B28" s="498" t="s">
        <v>819</v>
      </c>
      <c r="C28" s="499" t="s">
        <v>262</v>
      </c>
      <c r="D28" s="499" t="s">
        <v>504</v>
      </c>
      <c r="E28" s="499" t="s">
        <v>262</v>
      </c>
      <c r="F28" s="499" t="s">
        <v>323</v>
      </c>
    </row>
    <row r="29" spans="1:6">
      <c r="A29" s="505" t="s">
        <v>815</v>
      </c>
      <c r="B29" s="505" t="s">
        <v>816</v>
      </c>
      <c r="C29" s="506" t="s">
        <v>262</v>
      </c>
      <c r="D29" s="508" t="s">
        <v>817</v>
      </c>
      <c r="E29" s="507" t="s">
        <v>262</v>
      </c>
      <c r="F29" s="508" t="s">
        <v>323</v>
      </c>
    </row>
    <row r="30" spans="1:6">
      <c r="A30" s="3217" t="s">
        <v>805</v>
      </c>
      <c r="B30" s="3218"/>
      <c r="C30" s="3218"/>
      <c r="D30" s="3218"/>
      <c r="E30" s="3218"/>
      <c r="F30" s="3219"/>
    </row>
    <row r="31" spans="1:6">
      <c r="A31" s="498" t="s">
        <v>211</v>
      </c>
      <c r="B31" s="498" t="s">
        <v>531</v>
      </c>
      <c r="C31" s="499" t="s">
        <v>262</v>
      </c>
      <c r="D31" s="499" t="s">
        <v>262</v>
      </c>
      <c r="E31" s="499" t="s">
        <v>262</v>
      </c>
      <c r="F31" s="499" t="s">
        <v>323</v>
      </c>
    </row>
    <row r="32" spans="1:6">
      <c r="A32" s="500" t="s">
        <v>506</v>
      </c>
      <c r="B32" s="498" t="s">
        <v>365</v>
      </c>
      <c r="C32" s="501"/>
      <c r="D32" s="501"/>
      <c r="E32" s="499" t="s">
        <v>501</v>
      </c>
      <c r="F32" s="501"/>
    </row>
    <row r="33" spans="1:6">
      <c r="A33" s="3214" t="s">
        <v>806</v>
      </c>
      <c r="B33" s="3214"/>
      <c r="C33" s="3214"/>
      <c r="D33" s="3214"/>
      <c r="E33" s="3214"/>
      <c r="F33" s="3214"/>
    </row>
    <row r="34" spans="1:6">
      <c r="A34" s="498" t="s">
        <v>332</v>
      </c>
      <c r="B34" s="498" t="s">
        <v>333</v>
      </c>
      <c r="C34" s="499"/>
      <c r="D34" s="499" t="s">
        <v>262</v>
      </c>
      <c r="E34" s="499" t="s">
        <v>262</v>
      </c>
      <c r="F34" s="499"/>
    </row>
    <row r="35" spans="1:6">
      <c r="A35" s="498" t="s">
        <v>334</v>
      </c>
      <c r="B35" s="498" t="s">
        <v>335</v>
      </c>
      <c r="C35" s="499"/>
      <c r="D35" s="499" t="s">
        <v>262</v>
      </c>
      <c r="E35" s="499" t="s">
        <v>262</v>
      </c>
      <c r="F35" s="499" t="s">
        <v>323</v>
      </c>
    </row>
    <row r="36" spans="1:6">
      <c r="A36" s="500" t="s">
        <v>466</v>
      </c>
      <c r="B36" s="498" t="s">
        <v>387</v>
      </c>
      <c r="C36" s="499"/>
      <c r="D36" s="499"/>
      <c r="E36" s="499" t="s">
        <v>262</v>
      </c>
      <c r="F36" s="499"/>
    </row>
    <row r="37" spans="1:6">
      <c r="A37" s="498" t="s">
        <v>868</v>
      </c>
      <c r="B37" s="498" t="s">
        <v>364</v>
      </c>
      <c r="C37" s="499"/>
      <c r="D37" s="499" t="s">
        <v>262</v>
      </c>
      <c r="E37" s="499" t="s">
        <v>262</v>
      </c>
      <c r="F37" s="501"/>
    </row>
    <row r="38" spans="1:6">
      <c r="A38" s="3214" t="s">
        <v>807</v>
      </c>
      <c r="B38" s="3214"/>
      <c r="C38" s="3214"/>
      <c r="D38" s="3214"/>
      <c r="E38" s="3214"/>
      <c r="F38" s="3214"/>
    </row>
    <row r="39" spans="1:6">
      <c r="A39" s="498" t="s">
        <v>213</v>
      </c>
      <c r="B39" s="498" t="s">
        <v>336</v>
      </c>
      <c r="C39" s="499" t="s">
        <v>262</v>
      </c>
      <c r="D39" s="499" t="s">
        <v>262</v>
      </c>
      <c r="E39" s="499" t="s">
        <v>262</v>
      </c>
      <c r="F39" s="499" t="s">
        <v>323</v>
      </c>
    </row>
    <row r="40" spans="1:6">
      <c r="A40" s="498" t="s">
        <v>212</v>
      </c>
      <c r="B40" s="498" t="s">
        <v>337</v>
      </c>
      <c r="C40" s="499" t="s">
        <v>262</v>
      </c>
      <c r="D40" s="499" t="s">
        <v>818</v>
      </c>
      <c r="E40" s="499" t="s">
        <v>262</v>
      </c>
      <c r="F40" s="499" t="s">
        <v>323</v>
      </c>
    </row>
    <row r="41" spans="1:6">
      <c r="A41" s="500" t="s">
        <v>516</v>
      </c>
      <c r="B41" s="498" t="s">
        <v>394</v>
      </c>
      <c r="C41" s="499"/>
      <c r="D41" s="499"/>
      <c r="E41" s="499" t="s">
        <v>262</v>
      </c>
      <c r="F41" s="499"/>
    </row>
    <row r="42" spans="1:6">
      <c r="A42" s="498" t="s">
        <v>502</v>
      </c>
      <c r="B42" s="498" t="s">
        <v>362</v>
      </c>
      <c r="C42" s="499"/>
      <c r="D42" s="499" t="s">
        <v>262</v>
      </c>
      <c r="E42" s="499" t="s">
        <v>262</v>
      </c>
      <c r="F42" s="501"/>
    </row>
    <row r="43" spans="1:6">
      <c r="A43" s="496" t="s">
        <v>361</v>
      </c>
      <c r="B43" s="496" t="s">
        <v>363</v>
      </c>
      <c r="C43" s="499"/>
      <c r="D43" s="499" t="s">
        <v>262</v>
      </c>
      <c r="E43" s="499" t="s">
        <v>262</v>
      </c>
      <c r="F43" s="499"/>
    </row>
    <row r="44" spans="1:6">
      <c r="A44" s="500" t="s">
        <v>509</v>
      </c>
      <c r="B44" s="498" t="s">
        <v>512</v>
      </c>
      <c r="C44" s="499" t="s">
        <v>262</v>
      </c>
      <c r="D44" s="499"/>
      <c r="E44" s="499" t="s">
        <v>330</v>
      </c>
      <c r="F44" s="499"/>
    </row>
    <row r="45" spans="1:6">
      <c r="A45" s="3220" t="s">
        <v>228</v>
      </c>
      <c r="B45" s="3221"/>
      <c r="C45" s="3221"/>
      <c r="D45" s="3221"/>
      <c r="E45" s="3221"/>
      <c r="F45" s="3222"/>
    </row>
    <row r="46" spans="1:6">
      <c r="A46" s="498" t="s">
        <v>338</v>
      </c>
      <c r="B46" s="498" t="s">
        <v>349</v>
      </c>
      <c r="C46" s="499" t="s">
        <v>262</v>
      </c>
      <c r="D46" s="499" t="s">
        <v>262</v>
      </c>
      <c r="E46" s="499" t="s">
        <v>262</v>
      </c>
      <c r="F46" s="499" t="s">
        <v>323</v>
      </c>
    </row>
    <row r="47" spans="1:6">
      <c r="A47" s="502" t="s">
        <v>505</v>
      </c>
      <c r="B47" s="498" t="s">
        <v>395</v>
      </c>
      <c r="C47" s="499"/>
      <c r="D47" s="499"/>
      <c r="E47" s="499" t="s">
        <v>262</v>
      </c>
      <c r="F47" s="499"/>
    </row>
    <row r="48" spans="1:6">
      <c r="A48" s="498" t="s">
        <v>209</v>
      </c>
      <c r="B48" s="498" t="s">
        <v>293</v>
      </c>
      <c r="C48" s="499" t="s">
        <v>262</v>
      </c>
      <c r="D48" s="499" t="s">
        <v>262</v>
      </c>
      <c r="E48" s="499" t="s">
        <v>262</v>
      </c>
      <c r="F48" s="501"/>
    </row>
    <row r="49" spans="1:6">
      <c r="A49" s="3214" t="s">
        <v>808</v>
      </c>
      <c r="B49" s="3214"/>
      <c r="C49" s="3214"/>
      <c r="D49" s="3214"/>
      <c r="E49" s="3214"/>
      <c r="F49" s="3214"/>
    </row>
    <row r="50" spans="1:6">
      <c r="A50" s="495" t="s">
        <v>507</v>
      </c>
      <c r="B50" s="496" t="s">
        <v>388</v>
      </c>
      <c r="C50" s="497"/>
      <c r="D50" s="497"/>
      <c r="E50" s="497" t="s">
        <v>262</v>
      </c>
      <c r="F50" s="497"/>
    </row>
    <row r="51" spans="1:6">
      <c r="A51" s="495" t="s">
        <v>513</v>
      </c>
      <c r="B51" s="496" t="s">
        <v>510</v>
      </c>
      <c r="C51" s="497"/>
      <c r="D51" s="497"/>
      <c r="E51" s="497" t="s">
        <v>262</v>
      </c>
      <c r="F51" s="497"/>
    </row>
    <row r="52" spans="1:6">
      <c r="A52" s="495" t="s">
        <v>511</v>
      </c>
      <c r="B52" s="496" t="s">
        <v>389</v>
      </c>
      <c r="C52" s="497"/>
      <c r="D52" s="497"/>
      <c r="E52" s="497" t="s">
        <v>262</v>
      </c>
      <c r="F52" s="497"/>
    </row>
    <row r="53" spans="1:6">
      <c r="A53" s="498" t="s">
        <v>210</v>
      </c>
      <c r="B53" s="498" t="s">
        <v>229</v>
      </c>
      <c r="C53" s="499" t="s">
        <v>262</v>
      </c>
      <c r="D53" s="499" t="s">
        <v>262</v>
      </c>
      <c r="E53" s="499" t="s">
        <v>262</v>
      </c>
      <c r="F53" s="499" t="s">
        <v>323</v>
      </c>
    </row>
    <row r="54" spans="1:6">
      <c r="A54" s="3214" t="s">
        <v>809</v>
      </c>
      <c r="B54" s="3214"/>
      <c r="C54" s="3214"/>
      <c r="D54" s="3214"/>
      <c r="E54" s="3214"/>
      <c r="F54" s="3214"/>
    </row>
    <row r="55" spans="1:6">
      <c r="A55" s="498" t="s">
        <v>202</v>
      </c>
      <c r="B55" s="498" t="s">
        <v>339</v>
      </c>
      <c r="C55" s="499"/>
      <c r="D55" s="499" t="s">
        <v>262</v>
      </c>
      <c r="E55" s="499" t="s">
        <v>262</v>
      </c>
      <c r="F55" s="499" t="s">
        <v>323</v>
      </c>
    </row>
    <row r="56" spans="1:6">
      <c r="A56" s="498" t="s">
        <v>203</v>
      </c>
      <c r="B56" s="498" t="s">
        <v>340</v>
      </c>
      <c r="C56" s="499"/>
      <c r="D56" s="499" t="s">
        <v>262</v>
      </c>
      <c r="E56" s="499" t="s">
        <v>262</v>
      </c>
      <c r="F56" s="499" t="s">
        <v>323</v>
      </c>
    </row>
    <row r="57" spans="1:6">
      <c r="A57" s="3214" t="s">
        <v>822</v>
      </c>
      <c r="B57" s="3214"/>
      <c r="C57" s="3214"/>
      <c r="D57" s="3214"/>
      <c r="E57" s="3214"/>
      <c r="F57" s="3214"/>
    </row>
    <row r="58" spans="1:6">
      <c r="A58" s="498"/>
      <c r="B58" s="498" t="s">
        <v>821</v>
      </c>
      <c r="C58" s="499"/>
      <c r="D58" s="499"/>
      <c r="E58" s="499"/>
      <c r="F58" s="499"/>
    </row>
  </sheetData>
  <mergeCells count="16">
    <mergeCell ref="A54:F54"/>
    <mergeCell ref="A57:F57"/>
    <mergeCell ref="B1:B2"/>
    <mergeCell ref="A27:F27"/>
    <mergeCell ref="A30:F30"/>
    <mergeCell ref="A33:F33"/>
    <mergeCell ref="A38:F38"/>
    <mergeCell ref="A45:F45"/>
    <mergeCell ref="A49:F49"/>
    <mergeCell ref="C1:E1"/>
    <mergeCell ref="F1:F2"/>
    <mergeCell ref="A3:F3"/>
    <mergeCell ref="A8:F8"/>
    <mergeCell ref="A11:F11"/>
    <mergeCell ref="A15:F15"/>
    <mergeCell ref="A17:F17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3" tint="0.59999389629810485"/>
  </sheetPr>
  <dimension ref="A1:F51"/>
  <sheetViews>
    <sheetView topLeftCell="B7" workbookViewId="0">
      <selection activeCell="D24" sqref="D24"/>
    </sheetView>
  </sheetViews>
  <sheetFormatPr defaultColWidth="49.6328125" defaultRowHeight="14"/>
  <cols>
    <col min="3" max="3" width="22.453125" bestFit="1" customWidth="1"/>
    <col min="4" max="4" width="45" bestFit="1" customWidth="1"/>
    <col min="5" max="5" width="24.6328125" bestFit="1" customWidth="1"/>
    <col min="6" max="6" width="21.36328125" bestFit="1" customWidth="1"/>
  </cols>
  <sheetData>
    <row r="1" spans="1:6" ht="15" thickBot="1">
      <c r="A1" s="3233" t="s">
        <v>824</v>
      </c>
      <c r="B1" s="3234"/>
      <c r="D1" s="3226" t="s">
        <v>850</v>
      </c>
      <c r="E1" s="3226"/>
      <c r="F1" s="3226"/>
    </row>
    <row r="2" spans="1:6" ht="15" thickBot="1">
      <c r="A2" s="509" t="s">
        <v>825</v>
      </c>
      <c r="B2" s="510" t="s">
        <v>342</v>
      </c>
      <c r="D2" s="379" t="s">
        <v>366</v>
      </c>
      <c r="E2" s="380" t="s">
        <v>859</v>
      </c>
      <c r="F2" s="380" t="s">
        <v>854</v>
      </c>
    </row>
    <row r="3" spans="1:6" ht="15" thickBot="1">
      <c r="A3" s="511" t="s">
        <v>354</v>
      </c>
      <c r="B3" s="512" t="s">
        <v>180</v>
      </c>
      <c r="D3" s="3241" t="s">
        <v>367</v>
      </c>
      <c r="E3" s="3241"/>
      <c r="F3" s="3241"/>
    </row>
    <row r="4" spans="1:6" ht="15" thickBot="1">
      <c r="A4" s="511" t="s">
        <v>358</v>
      </c>
      <c r="B4" s="512" t="s">
        <v>64</v>
      </c>
      <c r="D4" s="503" t="s">
        <v>852</v>
      </c>
      <c r="E4" s="504" t="s">
        <v>851</v>
      </c>
      <c r="F4" s="382"/>
    </row>
    <row r="5" spans="1:6" ht="15" thickBot="1">
      <c r="A5" s="511" t="s">
        <v>826</v>
      </c>
      <c r="B5" s="513" t="s">
        <v>356</v>
      </c>
      <c r="D5" s="503" t="s">
        <v>369</v>
      </c>
      <c r="E5" s="504" t="s">
        <v>368</v>
      </c>
      <c r="F5" s="383" t="s">
        <v>863</v>
      </c>
    </row>
    <row r="6" spans="1:6" ht="15" thickBot="1">
      <c r="A6" s="511" t="s">
        <v>827</v>
      </c>
      <c r="B6" s="514" t="s">
        <v>828</v>
      </c>
      <c r="D6" s="503" t="s">
        <v>370</v>
      </c>
      <c r="E6" s="504"/>
      <c r="F6" s="383" t="s">
        <v>864</v>
      </c>
    </row>
    <row r="7" spans="1:6" ht="15" thickBot="1">
      <c r="A7" s="511" t="s">
        <v>829</v>
      </c>
      <c r="B7" s="515"/>
      <c r="D7" s="503" t="s">
        <v>376</v>
      </c>
      <c r="E7" s="504"/>
      <c r="F7" s="383" t="s">
        <v>864</v>
      </c>
    </row>
    <row r="8" spans="1:6" ht="15" thickBot="1">
      <c r="A8" s="516" t="s">
        <v>830</v>
      </c>
      <c r="B8" s="515"/>
      <c r="D8" s="503" t="s">
        <v>251</v>
      </c>
      <c r="E8" s="504" t="s">
        <v>368</v>
      </c>
      <c r="F8" s="383" t="s">
        <v>863</v>
      </c>
    </row>
    <row r="9" spans="1:6" ht="15" thickBot="1">
      <c r="A9" s="517" t="s">
        <v>831</v>
      </c>
      <c r="B9" s="515"/>
      <c r="D9" s="3242" t="s">
        <v>371</v>
      </c>
      <c r="E9" s="3243" t="s">
        <v>858</v>
      </c>
      <c r="F9" s="383" t="s">
        <v>863</v>
      </c>
    </row>
    <row r="10" spans="1:6" ht="14.5">
      <c r="A10" s="516" t="s">
        <v>832</v>
      </c>
      <c r="B10" s="515"/>
      <c r="D10" s="3242"/>
      <c r="E10" s="3243"/>
      <c r="F10" s="383" t="s">
        <v>372</v>
      </c>
    </row>
    <row r="11" spans="1:6" ht="14.5">
      <c r="A11" s="3235" t="s">
        <v>833</v>
      </c>
      <c r="B11" s="3235"/>
      <c r="D11" s="503" t="s">
        <v>373</v>
      </c>
      <c r="E11" s="504" t="s">
        <v>368</v>
      </c>
      <c r="F11" s="383" t="s">
        <v>863</v>
      </c>
    </row>
    <row r="12" spans="1:6" ht="15" thickBot="1">
      <c r="A12" s="519" t="s">
        <v>341</v>
      </c>
      <c r="B12" s="520" t="s">
        <v>342</v>
      </c>
      <c r="D12" s="3241" t="s">
        <v>857</v>
      </c>
      <c r="E12" s="3241"/>
      <c r="F12" s="3241"/>
    </row>
    <row r="13" spans="1:6" ht="15" thickBot="1">
      <c r="A13" s="518" t="s">
        <v>381</v>
      </c>
      <c r="B13" s="512" t="s">
        <v>180</v>
      </c>
      <c r="D13" s="503" t="s">
        <v>374</v>
      </c>
      <c r="E13" s="504"/>
      <c r="F13" s="504" t="s">
        <v>856</v>
      </c>
    </row>
    <row r="14" spans="1:6" ht="15" thickBot="1">
      <c r="A14" s="511" t="s">
        <v>383</v>
      </c>
      <c r="B14" s="521" t="s">
        <v>165</v>
      </c>
      <c r="D14" s="503" t="s">
        <v>849</v>
      </c>
      <c r="E14" s="504"/>
      <c r="F14" s="504" t="s">
        <v>865</v>
      </c>
    </row>
    <row r="15" spans="1:6" ht="15" thickBot="1">
      <c r="A15" s="515"/>
      <c r="B15" s="511" t="s">
        <v>343</v>
      </c>
      <c r="D15" s="503" t="s">
        <v>855</v>
      </c>
      <c r="E15" s="504" t="s">
        <v>860</v>
      </c>
      <c r="F15" s="504"/>
    </row>
    <row r="16" spans="1:6" ht="15" thickBot="1">
      <c r="A16" s="515"/>
      <c r="B16" s="522" t="s">
        <v>382</v>
      </c>
      <c r="D16" s="526" t="s">
        <v>861</v>
      </c>
      <c r="F16" s="527" t="s">
        <v>862</v>
      </c>
    </row>
    <row r="17" spans="1:6" ht="15" thickBot="1">
      <c r="A17" s="515"/>
      <c r="B17" s="511" t="s">
        <v>64</v>
      </c>
      <c r="D17" s="3227" t="s">
        <v>848</v>
      </c>
      <c r="E17" s="3228"/>
      <c r="F17" s="3229"/>
    </row>
    <row r="18" spans="1:6" ht="15" thickBot="1">
      <c r="A18" s="3236" t="s">
        <v>834</v>
      </c>
      <c r="B18" s="3237"/>
      <c r="D18" s="503" t="s">
        <v>248</v>
      </c>
      <c r="E18" s="504" t="s">
        <v>368</v>
      </c>
      <c r="F18" s="504" t="s">
        <v>375</v>
      </c>
    </row>
    <row r="19" spans="1:6" ht="15" thickBot="1">
      <c r="A19" s="518" t="s">
        <v>355</v>
      </c>
      <c r="B19" s="523" t="s">
        <v>835</v>
      </c>
      <c r="D19" s="503" t="s">
        <v>63</v>
      </c>
      <c r="E19" s="504" t="s">
        <v>368</v>
      </c>
      <c r="F19" s="504" t="s">
        <v>375</v>
      </c>
    </row>
    <row r="20" spans="1:6" ht="15" thickBot="1">
      <c r="A20" s="518" t="s">
        <v>556</v>
      </c>
      <c r="B20" s="521" t="s">
        <v>836</v>
      </c>
      <c r="D20" s="3230" t="s">
        <v>377</v>
      </c>
      <c r="E20" s="3231"/>
      <c r="F20" s="3232"/>
    </row>
    <row r="21" spans="1:6" ht="15" thickBot="1">
      <c r="A21" s="518" t="s">
        <v>837</v>
      </c>
      <c r="B21" s="515"/>
      <c r="D21" s="384" t="s">
        <v>378</v>
      </c>
      <c r="E21" s="277"/>
      <c r="F21" s="385" t="s">
        <v>853</v>
      </c>
    </row>
    <row r="22" spans="1:6" ht="15" thickBot="1">
      <c r="A22" s="3238" t="s">
        <v>838</v>
      </c>
      <c r="B22" s="3239"/>
      <c r="D22" s="384" t="s">
        <v>379</v>
      </c>
      <c r="E22" s="277"/>
      <c r="F22" s="385" t="s">
        <v>853</v>
      </c>
    </row>
    <row r="23" spans="1:6" ht="15" thickBot="1">
      <c r="A23" s="518" t="s">
        <v>839</v>
      </c>
      <c r="B23" s="521" t="s">
        <v>840</v>
      </c>
      <c r="D23" s="384" t="s">
        <v>380</v>
      </c>
      <c r="E23" s="277"/>
      <c r="F23" s="385" t="s">
        <v>853</v>
      </c>
    </row>
    <row r="24" spans="1:6" ht="15" thickBot="1">
      <c r="A24" s="518" t="s">
        <v>841</v>
      </c>
      <c r="B24" s="521" t="s">
        <v>842</v>
      </c>
    </row>
    <row r="25" spans="1:6" ht="15" thickBot="1">
      <c r="A25" s="3236" t="s">
        <v>347</v>
      </c>
      <c r="B25" s="3240"/>
    </row>
    <row r="26" spans="1:6" ht="15" thickBot="1">
      <c r="A26" s="519" t="s">
        <v>341</v>
      </c>
      <c r="B26" s="520" t="s">
        <v>342</v>
      </c>
    </row>
    <row r="27" spans="1:6" ht="15" thickBot="1">
      <c r="A27" s="511" t="s">
        <v>344</v>
      </c>
      <c r="B27" s="512" t="s">
        <v>843</v>
      </c>
    </row>
    <row r="28" spans="1:6" ht="15" thickBot="1">
      <c r="A28" s="511" t="s">
        <v>358</v>
      </c>
      <c r="B28" s="512" t="s">
        <v>844</v>
      </c>
    </row>
    <row r="29" spans="1:6" ht="29.5" thickBot="1">
      <c r="A29" s="511" t="s">
        <v>553</v>
      </c>
      <c r="B29" s="512" t="s">
        <v>845</v>
      </c>
    </row>
    <row r="30" spans="1:6" ht="29.5" thickBot="1">
      <c r="A30" s="511" t="s">
        <v>554</v>
      </c>
      <c r="B30" s="512" t="s">
        <v>357</v>
      </c>
    </row>
    <row r="31" spans="1:6" ht="29.5" thickBot="1">
      <c r="A31" s="511" t="s">
        <v>555</v>
      </c>
      <c r="B31" s="512" t="s">
        <v>846</v>
      </c>
    </row>
    <row r="32" spans="1:6" ht="15" thickBot="1">
      <c r="A32" s="524" t="s">
        <v>847</v>
      </c>
      <c r="B32" s="525"/>
    </row>
    <row r="33" spans="1:2" ht="15" thickBot="1">
      <c r="A33" s="524" t="s">
        <v>359</v>
      </c>
      <c r="B33" s="515"/>
    </row>
    <row r="50" ht="16.75" customHeight="1"/>
    <row r="51" s="358" customFormat="1" ht="16.75" customHeight="1"/>
  </sheetData>
  <mergeCells count="12">
    <mergeCell ref="A22:B22"/>
    <mergeCell ref="A25:B25"/>
    <mergeCell ref="D3:F3"/>
    <mergeCell ref="D9:D10"/>
    <mergeCell ref="E9:E10"/>
    <mergeCell ref="D12:F12"/>
    <mergeCell ref="D1:F1"/>
    <mergeCell ref="D17:F17"/>
    <mergeCell ref="D20:F20"/>
    <mergeCell ref="A1:B1"/>
    <mergeCell ref="A11:B11"/>
    <mergeCell ref="A18:B18"/>
  </mergeCells>
  <pageMargins left="0.7" right="0.7" top="0.75" bottom="0.75" header="0.3" footer="0.3"/>
  <pageSetup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</sheetPr>
  <dimension ref="A1:W33"/>
  <sheetViews>
    <sheetView topLeftCell="A28" workbookViewId="0">
      <selection activeCell="A4" sqref="A4"/>
    </sheetView>
  </sheetViews>
  <sheetFormatPr defaultColWidth="8.90625" defaultRowHeight="13"/>
  <cols>
    <col min="1" max="1" width="24.90625" style="381" customWidth="1"/>
    <col min="2" max="2" width="26.54296875" style="381" customWidth="1"/>
    <col min="3" max="3" width="14.54296875" style="381" customWidth="1"/>
    <col min="4" max="4" width="14.90625" style="381" customWidth="1"/>
    <col min="5" max="5" width="30.08984375" style="381" customWidth="1"/>
    <col min="6" max="6" width="8.6328125" style="381" bestFit="1" customWidth="1"/>
    <col min="7" max="7" width="21.81640625" style="381" customWidth="1"/>
    <col min="8" max="8" width="17.1796875" style="381" bestFit="1" customWidth="1"/>
    <col min="9" max="9" width="9.453125" style="381" bestFit="1" customWidth="1"/>
    <col min="10" max="10" width="17.1796875" style="381" bestFit="1" customWidth="1"/>
    <col min="11" max="12" width="8.90625" style="381"/>
    <col min="13" max="13" width="19.90625" style="381" bestFit="1" customWidth="1"/>
    <col min="14" max="14" width="40.36328125" style="381" bestFit="1" customWidth="1"/>
    <col min="15" max="15" width="21.08984375" style="381" bestFit="1" customWidth="1"/>
    <col min="16" max="16" width="8.81640625" style="381" bestFit="1" customWidth="1"/>
    <col min="17" max="17" width="13.90625" style="381" bestFit="1" customWidth="1"/>
    <col min="18" max="18" width="8" style="381" bestFit="1" customWidth="1"/>
    <col min="19" max="19" width="14" style="381" bestFit="1" customWidth="1"/>
    <col min="20" max="20" width="14.81640625" style="381" bestFit="1" customWidth="1"/>
    <col min="21" max="21" width="11.36328125" style="381" customWidth="1"/>
    <col min="22" max="22" width="18.90625" style="381" bestFit="1" customWidth="1"/>
    <col min="23" max="23" width="7.54296875" style="381" bestFit="1" customWidth="1"/>
    <col min="24" max="16384" width="8.90625" style="381"/>
  </cols>
  <sheetData>
    <row r="1" spans="1:23" ht="39">
      <c r="A1" s="386" t="s">
        <v>425</v>
      </c>
      <c r="B1" s="387" t="s">
        <v>426</v>
      </c>
      <c r="C1" s="387" t="s">
        <v>427</v>
      </c>
      <c r="D1" s="387" t="s">
        <v>697</v>
      </c>
      <c r="E1" s="387" t="s">
        <v>428</v>
      </c>
      <c r="G1" s="388" t="s">
        <v>425</v>
      </c>
      <c r="H1" s="388" t="s">
        <v>441</v>
      </c>
      <c r="I1" s="389" t="s">
        <v>442</v>
      </c>
      <c r="J1" s="388" t="s">
        <v>443</v>
      </c>
      <c r="M1" s="390" t="s">
        <v>445</v>
      </c>
      <c r="N1" s="390" t="s">
        <v>426</v>
      </c>
      <c r="O1" s="390" t="s">
        <v>446</v>
      </c>
    </row>
    <row r="2" spans="1:23" ht="26">
      <c r="A2" s="391" t="s">
        <v>64</v>
      </c>
      <c r="B2" s="391" t="s">
        <v>569</v>
      </c>
      <c r="C2" s="392" t="s">
        <v>429</v>
      </c>
      <c r="D2" s="393" t="s">
        <v>432</v>
      </c>
      <c r="E2" s="391" t="s">
        <v>430</v>
      </c>
      <c r="G2" s="394" t="s">
        <v>27</v>
      </c>
      <c r="H2" s="395">
        <v>106</v>
      </c>
      <c r="I2" s="395">
        <v>1</v>
      </c>
      <c r="J2" s="396" t="s">
        <v>432</v>
      </c>
      <c r="M2" s="397" t="s">
        <v>447</v>
      </c>
      <c r="N2" s="391" t="s">
        <v>569</v>
      </c>
      <c r="O2" s="397" t="s">
        <v>448</v>
      </c>
    </row>
    <row r="3" spans="1:23" ht="26">
      <c r="A3" s="391" t="s">
        <v>431</v>
      </c>
      <c r="B3" s="391" t="s">
        <v>569</v>
      </c>
      <c r="C3" s="392" t="s">
        <v>432</v>
      </c>
      <c r="D3" s="393" t="s">
        <v>432</v>
      </c>
      <c r="E3" s="391" t="s">
        <v>430</v>
      </c>
      <c r="G3" s="394" t="s">
        <v>384</v>
      </c>
      <c r="H3" s="395">
        <v>103</v>
      </c>
      <c r="I3" s="395">
        <v>1</v>
      </c>
      <c r="J3" s="396" t="s">
        <v>432</v>
      </c>
      <c r="M3" s="394" t="s">
        <v>431</v>
      </c>
      <c r="N3" s="391" t="s">
        <v>569</v>
      </c>
      <c r="O3" s="397" t="s">
        <v>448</v>
      </c>
    </row>
    <row r="4" spans="1:23" ht="26">
      <c r="A4" s="391" t="s">
        <v>181</v>
      </c>
      <c r="B4" s="391" t="s">
        <v>570</v>
      </c>
      <c r="C4" s="392" t="s">
        <v>429</v>
      </c>
      <c r="D4" s="393" t="s">
        <v>432</v>
      </c>
      <c r="E4" s="391" t="s">
        <v>430</v>
      </c>
      <c r="G4" s="394" t="s">
        <v>28</v>
      </c>
      <c r="H4" s="395">
        <v>102</v>
      </c>
      <c r="I4" s="395">
        <v>1</v>
      </c>
      <c r="J4" s="396" t="s">
        <v>432</v>
      </c>
      <c r="M4" s="397" t="s">
        <v>181</v>
      </c>
      <c r="N4" s="391" t="s">
        <v>570</v>
      </c>
      <c r="O4" s="397" t="s">
        <v>451</v>
      </c>
    </row>
    <row r="5" spans="1:23">
      <c r="A5" s="391" t="s">
        <v>433</v>
      </c>
      <c r="B5" s="391" t="s">
        <v>571</v>
      </c>
      <c r="C5" s="392" t="s">
        <v>432</v>
      </c>
      <c r="D5" s="392" t="s">
        <v>429</v>
      </c>
      <c r="E5" s="391" t="s">
        <v>434</v>
      </c>
      <c r="G5" s="394" t="s">
        <v>698</v>
      </c>
      <c r="H5" s="395">
        <v>98</v>
      </c>
      <c r="I5" s="395">
        <v>1</v>
      </c>
      <c r="J5" s="396" t="s">
        <v>432</v>
      </c>
      <c r="M5" s="397" t="s">
        <v>449</v>
      </c>
      <c r="N5" s="391" t="s">
        <v>571</v>
      </c>
      <c r="O5" s="397" t="s">
        <v>448</v>
      </c>
    </row>
    <row r="6" spans="1:23">
      <c r="A6" s="391" t="s">
        <v>267</v>
      </c>
      <c r="B6" s="391" t="s">
        <v>572</v>
      </c>
      <c r="C6" s="398" t="s">
        <v>432</v>
      </c>
      <c r="D6" s="398" t="s">
        <v>432</v>
      </c>
      <c r="E6" s="399" t="s">
        <v>435</v>
      </c>
      <c r="G6" s="394" t="s">
        <v>467</v>
      </c>
      <c r="H6" s="395">
        <v>93</v>
      </c>
      <c r="I6" s="395">
        <v>1</v>
      </c>
      <c r="J6" s="396" t="s">
        <v>432</v>
      </c>
      <c r="M6" s="397" t="s">
        <v>343</v>
      </c>
      <c r="N6" s="391" t="s">
        <v>572</v>
      </c>
      <c r="O6" s="397" t="s">
        <v>450</v>
      </c>
    </row>
    <row r="7" spans="1:23" ht="26">
      <c r="A7" s="391" t="s">
        <v>436</v>
      </c>
      <c r="B7" s="400" t="s">
        <v>437</v>
      </c>
      <c r="C7" s="401" t="s">
        <v>432</v>
      </c>
      <c r="D7" s="401"/>
      <c r="E7" s="394" t="s">
        <v>438</v>
      </c>
      <c r="G7" s="3244" t="s">
        <v>444</v>
      </c>
      <c r="H7" s="3244"/>
      <c r="I7" s="3244"/>
      <c r="J7" s="3244"/>
      <c r="M7" s="394" t="s">
        <v>436</v>
      </c>
      <c r="N7" s="400" t="s">
        <v>437</v>
      </c>
      <c r="O7" s="402" t="s">
        <v>452</v>
      </c>
    </row>
    <row r="8" spans="1:23">
      <c r="A8" s="391" t="s">
        <v>699</v>
      </c>
      <c r="B8" s="400" t="s">
        <v>439</v>
      </c>
      <c r="C8" s="401" t="s">
        <v>432</v>
      </c>
      <c r="D8" s="401"/>
      <c r="E8" s="394" t="s">
        <v>440</v>
      </c>
      <c r="M8" s="394" t="s">
        <v>699</v>
      </c>
      <c r="N8" s="400" t="s">
        <v>439</v>
      </c>
      <c r="O8" s="397" t="s">
        <v>453</v>
      </c>
    </row>
    <row r="12" spans="1:23">
      <c r="A12" s="403" t="s">
        <v>424</v>
      </c>
    </row>
    <row r="13" spans="1:23">
      <c r="M13" s="3245" t="s">
        <v>603</v>
      </c>
      <c r="N13" s="3245"/>
      <c r="O13" s="3245"/>
      <c r="P13" s="3245"/>
      <c r="Q13" s="3245" t="s">
        <v>604</v>
      </c>
      <c r="R13" s="3245"/>
      <c r="S13" s="3245"/>
    </row>
    <row r="14" spans="1:23">
      <c r="M14" s="390" t="s">
        <v>445</v>
      </c>
      <c r="N14" s="390" t="s">
        <v>426</v>
      </c>
      <c r="O14" s="390" t="s">
        <v>574</v>
      </c>
      <c r="P14" s="390" t="s">
        <v>602</v>
      </c>
      <c r="Q14" s="390" t="s">
        <v>426</v>
      </c>
      <c r="R14" s="390" t="s">
        <v>607</v>
      </c>
      <c r="S14" s="366" t="s">
        <v>5</v>
      </c>
      <c r="T14" s="390" t="s">
        <v>615</v>
      </c>
      <c r="V14" s="404" t="s">
        <v>616</v>
      </c>
      <c r="W14" s="404"/>
    </row>
    <row r="15" spans="1:23">
      <c r="M15" s="397" t="s">
        <v>447</v>
      </c>
      <c r="N15" s="391" t="s">
        <v>569</v>
      </c>
      <c r="O15" s="405" t="s">
        <v>451</v>
      </c>
      <c r="P15" s="406">
        <v>8</v>
      </c>
      <c r="Q15" s="277" t="s">
        <v>605</v>
      </c>
      <c r="R15" s="407">
        <v>0.01</v>
      </c>
      <c r="S15" s="277"/>
      <c r="T15" s="408" t="s">
        <v>27</v>
      </c>
      <c r="V15" s="404" t="s">
        <v>8</v>
      </c>
      <c r="W15" s="404" t="s">
        <v>482</v>
      </c>
    </row>
    <row r="16" spans="1:23" ht="26">
      <c r="A16" s="386" t="s">
        <v>455</v>
      </c>
      <c r="B16" s="386" t="s">
        <v>432</v>
      </c>
      <c r="C16" s="386" t="s">
        <v>429</v>
      </c>
      <c r="D16" s="386"/>
      <c r="E16" s="387" t="s">
        <v>456</v>
      </c>
      <c r="M16" s="394" t="s">
        <v>431</v>
      </c>
      <c r="N16" s="391" t="s">
        <v>569</v>
      </c>
      <c r="O16" s="405" t="s">
        <v>451</v>
      </c>
      <c r="P16" s="406">
        <v>8</v>
      </c>
      <c r="Q16" s="277"/>
      <c r="R16" s="277"/>
      <c r="S16" s="277"/>
      <c r="T16" s="277"/>
      <c r="V16" s="404" t="s">
        <v>267</v>
      </c>
      <c r="W16" s="404" t="s">
        <v>618</v>
      </c>
    </row>
    <row r="17" spans="1:23" ht="26">
      <c r="A17" s="391" t="s">
        <v>457</v>
      </c>
      <c r="B17" s="392"/>
      <c r="C17" s="409"/>
      <c r="D17" s="409"/>
      <c r="E17" s="409"/>
      <c r="M17" s="397" t="s">
        <v>181</v>
      </c>
      <c r="N17" s="391" t="s">
        <v>570</v>
      </c>
      <c r="O17" s="405" t="s">
        <v>573</v>
      </c>
      <c r="P17" s="406">
        <v>42</v>
      </c>
      <c r="Q17" s="277" t="s">
        <v>606</v>
      </c>
      <c r="R17" s="410">
        <v>0.1</v>
      </c>
      <c r="S17" s="277" t="s">
        <v>610</v>
      </c>
      <c r="T17" s="408" t="s">
        <v>28</v>
      </c>
      <c r="V17" s="404" t="s">
        <v>619</v>
      </c>
      <c r="W17" s="404" t="s">
        <v>620</v>
      </c>
    </row>
    <row r="18" spans="1:23" ht="26">
      <c r="A18" s="391" t="s">
        <v>458</v>
      </c>
      <c r="B18" s="392"/>
      <c r="C18" s="409"/>
      <c r="D18" s="409"/>
      <c r="E18" s="409"/>
      <c r="M18" s="397" t="s">
        <v>449</v>
      </c>
      <c r="N18" s="391" t="s">
        <v>571</v>
      </c>
      <c r="O18" s="405" t="s">
        <v>451</v>
      </c>
      <c r="P18" s="406">
        <v>8</v>
      </c>
      <c r="Q18" s="277" t="s">
        <v>606</v>
      </c>
      <c r="R18" s="407">
        <v>0.02</v>
      </c>
      <c r="S18" s="277" t="s">
        <v>611</v>
      </c>
      <c r="T18" s="408" t="s">
        <v>612</v>
      </c>
      <c r="V18" s="404" t="s">
        <v>621</v>
      </c>
      <c r="W18" s="404" t="s">
        <v>622</v>
      </c>
    </row>
    <row r="19" spans="1:23" ht="26">
      <c r="A19" s="391" t="s">
        <v>459</v>
      </c>
      <c r="B19" s="392"/>
      <c r="C19" s="409"/>
      <c r="D19" s="409"/>
      <c r="E19" s="409"/>
      <c r="M19" s="397" t="s">
        <v>343</v>
      </c>
      <c r="N19" s="391" t="s">
        <v>572</v>
      </c>
      <c r="O19" s="405" t="s">
        <v>575</v>
      </c>
      <c r="P19" s="406">
        <v>35</v>
      </c>
      <c r="Q19" s="277" t="s">
        <v>608</v>
      </c>
      <c r="R19" s="407">
        <v>0.03</v>
      </c>
      <c r="S19" s="277"/>
      <c r="T19" s="408" t="s">
        <v>467</v>
      </c>
      <c r="V19" s="404" t="s">
        <v>623</v>
      </c>
      <c r="W19" s="404" t="s">
        <v>620</v>
      </c>
    </row>
    <row r="20" spans="1:23" ht="26">
      <c r="A20" s="391" t="s">
        <v>460</v>
      </c>
      <c r="B20" s="392"/>
      <c r="C20" s="409"/>
      <c r="D20" s="409"/>
      <c r="E20" s="409"/>
      <c r="M20" s="394" t="s">
        <v>436</v>
      </c>
      <c r="N20" s="400" t="s">
        <v>437</v>
      </c>
      <c r="O20" s="402" t="s">
        <v>452</v>
      </c>
      <c r="P20" s="277"/>
      <c r="Q20" s="277" t="s">
        <v>609</v>
      </c>
      <c r="R20" s="411">
        <v>5</v>
      </c>
      <c r="S20" s="277"/>
      <c r="T20" s="277"/>
      <c r="V20" s="404" t="s">
        <v>624</v>
      </c>
      <c r="W20" s="404" t="s">
        <v>625</v>
      </c>
    </row>
    <row r="21" spans="1:23" ht="26">
      <c r="A21" s="391" t="s">
        <v>461</v>
      </c>
      <c r="B21" s="392"/>
      <c r="C21" s="409"/>
      <c r="D21" s="409"/>
      <c r="E21" s="409"/>
      <c r="M21" s="412" t="s">
        <v>699</v>
      </c>
      <c r="N21" s="413" t="s">
        <v>439</v>
      </c>
      <c r="O21" s="414" t="s">
        <v>453</v>
      </c>
      <c r="P21" s="415"/>
      <c r="Q21" s="415"/>
      <c r="R21" s="415"/>
      <c r="S21" s="415"/>
      <c r="T21" s="277"/>
      <c r="V21" s="404" t="s">
        <v>181</v>
      </c>
      <c r="W21" s="404" t="s">
        <v>622</v>
      </c>
    </row>
    <row r="22" spans="1:23" ht="26">
      <c r="A22" s="391" t="s">
        <v>454</v>
      </c>
      <c r="B22" s="392"/>
      <c r="C22" s="409"/>
      <c r="D22" s="409"/>
      <c r="E22" s="409"/>
      <c r="M22" s="416" t="s">
        <v>576</v>
      </c>
      <c r="N22" s="394" t="s">
        <v>606</v>
      </c>
      <c r="O22" s="277"/>
      <c r="P22" s="277">
        <v>5</v>
      </c>
      <c r="Q22" s="277" t="s">
        <v>606</v>
      </c>
      <c r="R22" s="410">
        <v>0.1</v>
      </c>
      <c r="S22" s="277"/>
      <c r="T22" s="408" t="s">
        <v>613</v>
      </c>
      <c r="V22" s="404" t="s">
        <v>117</v>
      </c>
      <c r="W22" s="404" t="s">
        <v>625</v>
      </c>
    </row>
    <row r="23" spans="1:23">
      <c r="M23" s="402" t="s">
        <v>616</v>
      </c>
      <c r="N23" s="277" t="s">
        <v>617</v>
      </c>
      <c r="O23" s="277"/>
      <c r="P23" s="277"/>
      <c r="Q23" s="277"/>
      <c r="R23" s="277"/>
      <c r="S23" s="277"/>
      <c r="T23" s="408" t="s">
        <v>614</v>
      </c>
      <c r="V23" s="404" t="s">
        <v>626</v>
      </c>
      <c r="W23" s="404" t="s">
        <v>622</v>
      </c>
    </row>
    <row r="26" spans="1:23">
      <c r="A26" s="417" t="s">
        <v>557</v>
      </c>
      <c r="B26" s="418"/>
      <c r="C26" s="418"/>
      <c r="D26" s="418"/>
      <c r="E26" s="418"/>
      <c r="F26" s="418"/>
      <c r="G26" s="418"/>
      <c r="H26" s="418"/>
    </row>
    <row r="27" spans="1:23" ht="39">
      <c r="A27" s="386" t="s">
        <v>425</v>
      </c>
      <c r="B27" s="387" t="s">
        <v>426</v>
      </c>
      <c r="C27" s="387" t="s">
        <v>427</v>
      </c>
      <c r="D27" s="387"/>
      <c r="E27" s="387" t="s">
        <v>697</v>
      </c>
      <c r="F27" s="387" t="s">
        <v>558</v>
      </c>
      <c r="G27" s="386" t="s">
        <v>559</v>
      </c>
      <c r="H27" s="418"/>
    </row>
    <row r="28" spans="1:23" ht="39">
      <c r="A28" s="391" t="s">
        <v>560</v>
      </c>
      <c r="B28" s="391" t="s">
        <v>561</v>
      </c>
      <c r="C28" s="393" t="s">
        <v>429</v>
      </c>
      <c r="D28" s="393"/>
      <c r="E28" s="393" t="s">
        <v>432</v>
      </c>
      <c r="F28" s="419">
        <v>41627</v>
      </c>
      <c r="G28" s="420" t="s">
        <v>562</v>
      </c>
      <c r="H28" s="418"/>
    </row>
    <row r="29" spans="1:23" ht="39">
      <c r="A29" s="391" t="s">
        <v>431</v>
      </c>
      <c r="B29" s="391" t="s">
        <v>561</v>
      </c>
      <c r="C29" s="393" t="s">
        <v>432</v>
      </c>
      <c r="D29" s="393"/>
      <c r="E29" s="393" t="s">
        <v>432</v>
      </c>
      <c r="F29" s="419">
        <v>41629</v>
      </c>
      <c r="G29" s="392" t="s">
        <v>563</v>
      </c>
      <c r="H29" s="418"/>
    </row>
    <row r="30" spans="1:23" ht="39">
      <c r="A30" s="420" t="s">
        <v>181</v>
      </c>
      <c r="B30" s="391" t="s">
        <v>564</v>
      </c>
      <c r="C30" s="393" t="s">
        <v>429</v>
      </c>
      <c r="D30" s="393"/>
      <c r="E30" s="393" t="s">
        <v>432</v>
      </c>
      <c r="F30" s="419">
        <v>41627</v>
      </c>
      <c r="G30" s="420" t="s">
        <v>562</v>
      </c>
      <c r="H30" s="418"/>
    </row>
    <row r="31" spans="1:23" ht="26">
      <c r="A31" s="391" t="s">
        <v>433</v>
      </c>
      <c r="B31" s="391" t="s">
        <v>565</v>
      </c>
      <c r="C31" s="392" t="s">
        <v>432</v>
      </c>
      <c r="D31" s="392"/>
      <c r="E31" s="392" t="s">
        <v>429</v>
      </c>
      <c r="F31" s="421">
        <v>41626</v>
      </c>
      <c r="G31" s="391" t="s">
        <v>566</v>
      </c>
      <c r="H31" s="418"/>
    </row>
    <row r="32" spans="1:23" ht="26">
      <c r="A32" s="391" t="s">
        <v>267</v>
      </c>
      <c r="B32" s="391" t="s">
        <v>567</v>
      </c>
      <c r="C32" s="392" t="s">
        <v>429</v>
      </c>
      <c r="D32" s="392"/>
      <c r="E32" s="392" t="s">
        <v>432</v>
      </c>
      <c r="F32" s="421">
        <v>41625</v>
      </c>
      <c r="G32" s="391" t="s">
        <v>562</v>
      </c>
      <c r="H32" s="418"/>
    </row>
    <row r="33" spans="1:8">
      <c r="A33" s="403" t="s">
        <v>568</v>
      </c>
      <c r="B33" s="418"/>
      <c r="C33" s="418"/>
      <c r="D33" s="418"/>
      <c r="E33" s="418"/>
      <c r="F33" s="418"/>
      <c r="G33" s="418"/>
      <c r="H33" s="418"/>
    </row>
  </sheetData>
  <mergeCells count="3">
    <mergeCell ref="G7:J7"/>
    <mergeCell ref="M13:P13"/>
    <mergeCell ref="Q13:S1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  <pageSetUpPr fitToPage="1"/>
  </sheetPr>
  <dimension ref="A1:AE143"/>
  <sheetViews>
    <sheetView topLeftCell="A55" zoomScaleNormal="100" workbookViewId="0">
      <selection activeCell="I63" sqref="I63"/>
    </sheetView>
  </sheetViews>
  <sheetFormatPr defaultColWidth="9.08984375" defaultRowHeight="14.25" customHeight="1"/>
  <cols>
    <col min="1" max="1" width="16.6328125" style="1045" bestFit="1" customWidth="1"/>
    <col min="2" max="2" width="9.36328125" style="1045" customWidth="1"/>
    <col min="3" max="3" width="10.6328125" style="1045" customWidth="1"/>
    <col min="4" max="4" width="9.6328125" style="1045" customWidth="1"/>
    <col min="5" max="5" width="10.6328125" style="1045" customWidth="1"/>
    <col min="6" max="6" width="8.6328125" style="1045" customWidth="1"/>
    <col min="7" max="7" width="11.54296875" style="1045" customWidth="1"/>
    <col min="8" max="8" width="10" style="1045" bestFit="1" customWidth="1"/>
    <col min="9" max="9" width="10.90625" style="1045" customWidth="1"/>
    <col min="10" max="10" width="18.453125" style="1045" customWidth="1"/>
    <col min="11" max="11" width="3" style="1045" bestFit="1" customWidth="1"/>
    <col min="12" max="12" width="9.08984375" style="1045"/>
    <col min="13" max="13" width="19.36328125" style="1045" customWidth="1"/>
    <col min="14" max="14" width="10.08984375" style="1045" bestFit="1" customWidth="1"/>
    <col min="15" max="16" width="9.08984375" style="1045"/>
    <col min="17" max="17" width="11.453125" style="1045" customWidth="1"/>
    <col min="18" max="18" width="9.08984375" style="1045"/>
    <col min="19" max="19" width="13.54296875" style="1045" bestFit="1" customWidth="1"/>
    <col min="20" max="20" width="11.36328125" style="1045" customWidth="1"/>
    <col min="21" max="21" width="9.08984375" style="1045"/>
    <col min="22" max="22" width="3" style="1045" bestFit="1" customWidth="1"/>
    <col min="23" max="16384" width="9.08984375" style="1045"/>
  </cols>
  <sheetData>
    <row r="1" spans="1:31" ht="14.25" customHeight="1">
      <c r="A1" s="2933" t="s">
        <v>1468</v>
      </c>
      <c r="B1" s="3261"/>
      <c r="C1" s="3261"/>
      <c r="D1" s="3261"/>
      <c r="E1" s="3261"/>
      <c r="F1" s="3261"/>
      <c r="G1" s="3261"/>
      <c r="W1" s="3253" t="s">
        <v>713</v>
      </c>
      <c r="X1" s="3253"/>
      <c r="Y1" s="3253"/>
    </row>
    <row r="2" spans="1:31" ht="14.25" customHeight="1">
      <c r="A2" s="1046" t="s">
        <v>133</v>
      </c>
      <c r="B2" s="1047">
        <v>43507</v>
      </c>
      <c r="C2" s="1047"/>
      <c r="M2" s="1048" t="s">
        <v>133</v>
      </c>
      <c r="N2" s="1049">
        <v>43397</v>
      </c>
      <c r="O2" s="1050"/>
      <c r="P2" s="3255"/>
      <c r="Q2" s="3255"/>
      <c r="R2" s="1050"/>
      <c r="S2" s="1050"/>
      <c r="T2" s="1050"/>
      <c r="W2" s="1051" t="s">
        <v>712</v>
      </c>
      <c r="X2" s="3254"/>
      <c r="Y2" s="3254"/>
      <c r="Z2" s="3254"/>
      <c r="AA2" s="1051" t="s">
        <v>581</v>
      </c>
      <c r="AB2" s="3254"/>
      <c r="AC2" s="3254"/>
      <c r="AD2" s="3254"/>
      <c r="AE2" s="3254"/>
    </row>
    <row r="3" spans="1:31" ht="14.25" customHeight="1">
      <c r="A3" s="1052" t="s">
        <v>9</v>
      </c>
      <c r="B3" s="1052" t="s">
        <v>135</v>
      </c>
      <c r="C3" s="1052" t="s">
        <v>136</v>
      </c>
      <c r="D3" s="1052" t="s">
        <v>137</v>
      </c>
      <c r="E3" s="2882" t="s">
        <v>139</v>
      </c>
      <c r="F3" s="67" t="s">
        <v>1764</v>
      </c>
      <c r="G3" s="1052" t="s">
        <v>911</v>
      </c>
      <c r="H3" s="1052"/>
      <c r="M3" s="1053" t="s">
        <v>252</v>
      </c>
      <c r="N3" s="1054" t="s">
        <v>135</v>
      </c>
      <c r="O3" s="1054" t="s">
        <v>136</v>
      </c>
      <c r="P3" s="1054" t="s">
        <v>137</v>
      </c>
      <c r="Q3" s="1054" t="s">
        <v>138</v>
      </c>
      <c r="R3" s="1054" t="s">
        <v>139</v>
      </c>
      <c r="S3" s="1053" t="s">
        <v>149</v>
      </c>
      <c r="T3" s="1053" t="s">
        <v>157</v>
      </c>
      <c r="W3" s="1051" t="s">
        <v>711</v>
      </c>
      <c r="X3" s="1051" t="s">
        <v>711</v>
      </c>
      <c r="Y3" s="1051" t="s">
        <v>711</v>
      </c>
      <c r="Z3" s="1051" t="s">
        <v>711</v>
      </c>
      <c r="AA3" s="1051" t="s">
        <v>711</v>
      </c>
      <c r="AB3" s="1051" t="s">
        <v>711</v>
      </c>
      <c r="AC3" s="1051" t="s">
        <v>711</v>
      </c>
      <c r="AD3" s="1051" t="s">
        <v>711</v>
      </c>
      <c r="AE3" s="1051" t="s">
        <v>711</v>
      </c>
    </row>
    <row r="4" spans="1:31" ht="14.25" customHeight="1">
      <c r="A4" s="1052" t="s">
        <v>172</v>
      </c>
      <c r="B4" s="1055"/>
      <c r="C4" s="1055"/>
      <c r="D4" s="1056"/>
      <c r="E4" s="1056"/>
      <c r="F4" s="1056"/>
      <c r="G4" s="1051"/>
      <c r="H4" s="1056"/>
      <c r="M4" s="1057" t="s">
        <v>239</v>
      </c>
      <c r="N4" s="1058"/>
      <c r="O4" s="1059"/>
      <c r="P4" s="1060"/>
      <c r="Q4" s="1060"/>
      <c r="R4" s="1061"/>
      <c r="S4" s="1062"/>
      <c r="T4" s="1063"/>
      <c r="V4" s="1051">
        <v>1</v>
      </c>
      <c r="W4" s="1051"/>
      <c r="X4" s="1051"/>
      <c r="Y4" s="1051"/>
      <c r="Z4" s="1051"/>
      <c r="AA4" s="1051"/>
      <c r="AB4" s="1051"/>
      <c r="AC4" s="1051"/>
      <c r="AD4" s="1051"/>
      <c r="AE4" s="1051"/>
    </row>
    <row r="5" spans="1:31" ht="14.25" customHeight="1">
      <c r="A5" s="67" t="s">
        <v>1768</v>
      </c>
      <c r="B5" s="1055"/>
      <c r="C5" s="1055"/>
      <c r="D5" s="1056"/>
      <c r="E5" s="1056"/>
      <c r="F5" s="1056"/>
      <c r="G5" s="1051"/>
      <c r="H5" s="212" t="s">
        <v>1771</v>
      </c>
      <c r="M5" s="1057"/>
      <c r="N5" s="1058"/>
      <c r="O5" s="1059"/>
      <c r="P5" s="1060"/>
      <c r="Q5" s="1060"/>
      <c r="R5" s="1061"/>
      <c r="S5" s="2883"/>
      <c r="T5" s="1064"/>
      <c r="V5" s="1051"/>
      <c r="W5" s="1051"/>
      <c r="X5" s="1051"/>
      <c r="Y5" s="1051"/>
      <c r="Z5" s="1051"/>
      <c r="AA5" s="1051"/>
      <c r="AB5" s="1051"/>
      <c r="AC5" s="1051"/>
      <c r="AD5" s="1051"/>
      <c r="AE5" s="1051"/>
    </row>
    <row r="6" spans="1:31" ht="14.25" customHeight="1">
      <c r="A6" s="1052" t="s">
        <v>173</v>
      </c>
      <c r="B6" s="1055"/>
      <c r="C6" s="1055"/>
      <c r="D6" s="1056"/>
      <c r="E6" s="1056"/>
      <c r="F6" s="1056"/>
      <c r="G6" s="1051"/>
      <c r="H6" s="1056"/>
      <c r="M6" s="1057" t="s">
        <v>140</v>
      </c>
      <c r="N6" s="1063"/>
      <c r="O6" s="1059"/>
      <c r="P6" s="1060"/>
      <c r="Q6" s="1060"/>
      <c r="R6" s="1061"/>
      <c r="S6" s="1064"/>
      <c r="T6" s="1065" t="s">
        <v>253</v>
      </c>
      <c r="V6" s="1051">
        <v>2</v>
      </c>
      <c r="W6" s="1051"/>
      <c r="X6" s="1051"/>
      <c r="Y6" s="1051"/>
      <c r="Z6" s="1051"/>
      <c r="AA6" s="1051"/>
      <c r="AB6" s="1051"/>
      <c r="AC6" s="1051"/>
      <c r="AD6" s="1051"/>
      <c r="AE6" s="1051"/>
    </row>
    <row r="7" spans="1:31" ht="14.25" customHeight="1">
      <c r="A7" s="1052" t="s">
        <v>174</v>
      </c>
      <c r="B7" s="1055"/>
      <c r="C7" s="1055"/>
      <c r="D7" s="1056"/>
      <c r="E7" s="1056"/>
      <c r="F7" s="1056"/>
      <c r="G7" s="1051"/>
      <c r="H7" s="1056"/>
      <c r="M7" s="1057" t="s">
        <v>240</v>
      </c>
      <c r="N7" s="1063"/>
      <c r="O7" s="1059"/>
      <c r="P7" s="1060"/>
      <c r="Q7" s="1060"/>
      <c r="R7" s="1061"/>
      <c r="S7" s="1064"/>
      <c r="T7" s="1065" t="s">
        <v>246</v>
      </c>
      <c r="V7" s="1051">
        <v>3</v>
      </c>
      <c r="W7" s="1051"/>
      <c r="X7" s="1051"/>
      <c r="Y7" s="1051"/>
      <c r="Z7" s="1051"/>
      <c r="AA7" s="1051"/>
      <c r="AB7" s="1051"/>
      <c r="AC7" s="1051"/>
      <c r="AD7" s="1051"/>
      <c r="AE7" s="1051"/>
    </row>
    <row r="8" spans="1:31" ht="14.25" customHeight="1">
      <c r="A8" s="1052" t="s">
        <v>869</v>
      </c>
      <c r="B8" s="1055"/>
      <c r="C8" s="1055"/>
      <c r="D8" s="1056"/>
      <c r="E8" s="1056"/>
      <c r="F8" s="1056"/>
      <c r="G8" s="1051"/>
      <c r="H8" s="1056"/>
      <c r="M8" s="1057" t="s">
        <v>141</v>
      </c>
      <c r="N8" s="1063"/>
      <c r="O8" s="1059"/>
      <c r="P8" s="1060"/>
      <c r="Q8" s="1060"/>
      <c r="R8" s="1061"/>
      <c r="S8" s="1064"/>
      <c r="T8" s="1065"/>
      <c r="V8" s="1051"/>
      <c r="W8" s="1051"/>
      <c r="X8" s="1051"/>
      <c r="Y8" s="1051"/>
      <c r="Z8" s="1051"/>
      <c r="AA8" s="1051"/>
      <c r="AB8" s="1051"/>
      <c r="AC8" s="1051"/>
      <c r="AD8" s="1051"/>
      <c r="AE8" s="1051"/>
    </row>
    <row r="9" spans="1:31" ht="14.25" customHeight="1">
      <c r="A9" s="1066" t="s">
        <v>169</v>
      </c>
      <c r="B9" s="1067" t="s">
        <v>175</v>
      </c>
      <c r="C9" s="1052" t="s">
        <v>911</v>
      </c>
      <c r="D9" s="1068"/>
      <c r="E9" s="1069">
        <v>5764</v>
      </c>
      <c r="F9" s="1068"/>
      <c r="G9" s="1052" t="s">
        <v>149</v>
      </c>
      <c r="H9" s="1070" t="s">
        <v>157</v>
      </c>
      <c r="M9" s="1057" t="s">
        <v>241</v>
      </c>
      <c r="N9" s="1063"/>
      <c r="O9" s="1059"/>
      <c r="P9" s="1060"/>
      <c r="Q9" s="1060"/>
      <c r="R9" s="1061"/>
      <c r="S9" s="1064"/>
      <c r="T9" s="1065" t="s">
        <v>254</v>
      </c>
      <c r="V9" s="1051">
        <v>4</v>
      </c>
      <c r="W9" s="1051"/>
      <c r="X9" s="1051"/>
      <c r="Y9" s="1051"/>
      <c r="Z9" s="1051"/>
      <c r="AA9" s="1051"/>
      <c r="AB9" s="1051"/>
      <c r="AC9" s="1051"/>
      <c r="AD9" s="1051"/>
      <c r="AE9" s="1051"/>
    </row>
    <row r="10" spans="1:31" ht="14.25" customHeight="1">
      <c r="A10" s="1056" t="s">
        <v>239</v>
      </c>
      <c r="B10" s="1051"/>
      <c r="C10" s="1051"/>
      <c r="D10" s="1056"/>
      <c r="E10" s="1056"/>
      <c r="F10" s="1056"/>
      <c r="G10" s="1071"/>
      <c r="H10" s="1072"/>
      <c r="M10" s="1057" t="s">
        <v>142</v>
      </c>
      <c r="N10" s="1063"/>
      <c r="O10" s="1059"/>
      <c r="P10" s="1060"/>
      <c r="Q10" s="1060"/>
      <c r="R10" s="1061"/>
      <c r="S10" s="1064"/>
      <c r="T10" s="1065" t="s">
        <v>255</v>
      </c>
      <c r="V10" s="1051">
        <v>5</v>
      </c>
      <c r="W10" s="1051"/>
      <c r="X10" s="1051"/>
      <c r="Y10" s="1051"/>
      <c r="Z10" s="1051"/>
      <c r="AA10" s="1051"/>
      <c r="AB10" s="1051"/>
      <c r="AC10" s="1051"/>
      <c r="AD10" s="1051"/>
      <c r="AE10" s="1051"/>
    </row>
    <row r="11" spans="1:31" ht="14.25" customHeight="1">
      <c r="A11" s="1056" t="s">
        <v>140</v>
      </c>
      <c r="B11" s="1051"/>
      <c r="C11" s="1051"/>
      <c r="D11" s="1056"/>
      <c r="E11" s="1056"/>
      <c r="F11" s="1056"/>
      <c r="G11" s="1056"/>
      <c r="H11" s="1073" t="s">
        <v>876</v>
      </c>
      <c r="M11" s="1057" t="s">
        <v>242</v>
      </c>
      <c r="N11" s="1063"/>
      <c r="O11" s="1059"/>
      <c r="P11" s="1060"/>
      <c r="Q11" s="1060"/>
      <c r="R11" s="1061"/>
      <c r="S11" s="3256" t="s">
        <v>908</v>
      </c>
      <c r="T11" s="3257"/>
      <c r="V11" s="1051">
        <v>6</v>
      </c>
      <c r="W11" s="1051"/>
      <c r="X11" s="1051"/>
      <c r="Y11" s="1051"/>
      <c r="Z11" s="1051"/>
      <c r="AA11" s="1051"/>
      <c r="AB11" s="1051"/>
      <c r="AC11" s="1051"/>
      <c r="AD11" s="1051"/>
      <c r="AE11" s="1051"/>
    </row>
    <row r="12" spans="1:31" ht="14.25" customHeight="1">
      <c r="A12" s="1056" t="s">
        <v>240</v>
      </c>
      <c r="B12" s="1051"/>
      <c r="C12" s="1051"/>
      <c r="D12" s="1056"/>
      <c r="E12" s="1056"/>
      <c r="F12" s="1056"/>
      <c r="G12" s="1074" t="s">
        <v>475</v>
      </c>
      <c r="H12" s="1339">
        <v>12</v>
      </c>
      <c r="M12" s="1057" t="s">
        <v>143</v>
      </c>
      <c r="N12" s="1063"/>
      <c r="O12" s="1059"/>
      <c r="P12" s="1060"/>
      <c r="Q12" s="1060"/>
      <c r="R12" s="1061"/>
      <c r="S12" s="1075"/>
      <c r="T12" s="1050"/>
      <c r="V12" s="1051">
        <v>7</v>
      </c>
      <c r="W12" s="1051"/>
      <c r="X12" s="1051"/>
      <c r="Y12" s="1051"/>
      <c r="Z12" s="1051"/>
      <c r="AA12" s="1051"/>
      <c r="AB12" s="1051"/>
      <c r="AC12" s="1051"/>
      <c r="AD12" s="1051"/>
      <c r="AE12" s="1051"/>
    </row>
    <row r="13" spans="1:31" ht="14.25" customHeight="1">
      <c r="A13" s="1056" t="s">
        <v>141</v>
      </c>
      <c r="B13" s="1051"/>
      <c r="C13" s="1051"/>
      <c r="D13" s="1056"/>
      <c r="E13" s="1056"/>
      <c r="F13" s="1056"/>
      <c r="G13" s="1074" t="s">
        <v>462</v>
      </c>
      <c r="H13" s="1339">
        <v>14</v>
      </c>
      <c r="I13" s="1077"/>
      <c r="M13" s="1057" t="s">
        <v>144</v>
      </c>
      <c r="N13" s="1063"/>
      <c r="O13" s="1059"/>
      <c r="P13" s="1060"/>
      <c r="Q13" s="1060"/>
      <c r="R13" s="1061"/>
      <c r="S13" s="1075"/>
      <c r="T13" s="1050"/>
      <c r="V13" s="1051">
        <v>8</v>
      </c>
      <c r="W13" s="1051"/>
      <c r="X13" s="1051"/>
      <c r="Y13" s="1051"/>
      <c r="Z13" s="1051"/>
      <c r="AA13" s="1051"/>
      <c r="AB13" s="1051"/>
      <c r="AC13" s="1051"/>
      <c r="AD13" s="1051"/>
      <c r="AE13" s="1051"/>
    </row>
    <row r="14" spans="1:31" ht="14.25" customHeight="1">
      <c r="A14" s="1056" t="s">
        <v>241</v>
      </c>
      <c r="B14" s="1051"/>
      <c r="C14" s="1051"/>
      <c r="D14" s="1056"/>
      <c r="E14" s="1056"/>
      <c r="F14" s="1056"/>
      <c r="G14" s="1074" t="s">
        <v>578</v>
      </c>
      <c r="H14" s="1076"/>
      <c r="I14" s="1077"/>
      <c r="M14" s="1057" t="s">
        <v>145</v>
      </c>
      <c r="N14" s="1063"/>
      <c r="O14" s="1060"/>
      <c r="P14" s="1060"/>
      <c r="Q14" s="1060"/>
      <c r="R14" s="1061"/>
      <c r="S14" s="1064"/>
      <c r="T14" s="1050"/>
      <c r="V14" s="1051">
        <v>9</v>
      </c>
      <c r="W14" s="1051"/>
      <c r="X14" s="1051"/>
      <c r="Y14" s="1051"/>
      <c r="Z14" s="1051"/>
      <c r="AA14" s="1051"/>
      <c r="AB14" s="1051"/>
      <c r="AC14" s="1051"/>
      <c r="AD14" s="1051"/>
      <c r="AE14" s="1051"/>
    </row>
    <row r="15" spans="1:31" ht="14.25" customHeight="1">
      <c r="A15" s="1056" t="s">
        <v>142</v>
      </c>
      <c r="B15" s="1051"/>
      <c r="C15" s="1051"/>
      <c r="D15" s="1056"/>
      <c r="E15" s="1056"/>
      <c r="F15" s="1056"/>
      <c r="G15" s="1074" t="s">
        <v>579</v>
      </c>
      <c r="H15" s="1076">
        <v>1335</v>
      </c>
      <c r="I15" s="1077"/>
      <c r="M15" s="1051"/>
      <c r="N15" s="1063"/>
      <c r="O15" s="1060"/>
      <c r="P15" s="1078"/>
      <c r="Q15" s="1060"/>
      <c r="R15" s="1079"/>
      <c r="S15" s="1080" t="s">
        <v>475</v>
      </c>
      <c r="T15" s="1081">
        <v>11.6</v>
      </c>
      <c r="V15" s="1051">
        <v>10</v>
      </c>
      <c r="W15" s="1051"/>
      <c r="X15" s="1051"/>
      <c r="Y15" s="1051"/>
      <c r="Z15" s="1051"/>
      <c r="AA15" s="1051"/>
      <c r="AB15" s="1051"/>
      <c r="AC15" s="1051"/>
      <c r="AD15" s="1051"/>
      <c r="AE15" s="1051"/>
    </row>
    <row r="16" spans="1:31" ht="14.25" customHeight="1">
      <c r="A16" s="1056" t="s">
        <v>242</v>
      </c>
      <c r="B16" s="1051"/>
      <c r="C16" s="1051"/>
      <c r="D16" s="1056"/>
      <c r="E16" s="1056"/>
      <c r="F16" s="1056"/>
      <c r="G16" s="1074" t="s">
        <v>580</v>
      </c>
      <c r="H16" s="1076">
        <v>5.4</v>
      </c>
      <c r="I16" s="1077"/>
      <c r="S16" s="1080" t="s">
        <v>462</v>
      </c>
      <c r="T16" s="1081">
        <v>12.8</v>
      </c>
      <c r="V16" s="1051">
        <v>11</v>
      </c>
      <c r="W16" s="1051"/>
      <c r="X16" s="1051"/>
      <c r="Y16" s="1051"/>
      <c r="Z16" s="1051"/>
      <c r="AA16" s="1051"/>
      <c r="AB16" s="1051"/>
      <c r="AC16" s="1051"/>
      <c r="AD16" s="1051"/>
      <c r="AE16" s="1051"/>
    </row>
    <row r="17" spans="1:31" ht="14.25" customHeight="1">
      <c r="A17" s="1056" t="s">
        <v>143</v>
      </c>
      <c r="B17" s="1051"/>
      <c r="C17" s="1051"/>
      <c r="D17" s="1056"/>
      <c r="E17" s="1056"/>
      <c r="F17" s="1056"/>
      <c r="G17" s="1074" t="s">
        <v>476</v>
      </c>
      <c r="H17" s="1339">
        <v>12.4</v>
      </c>
      <c r="I17" s="1077"/>
      <c r="M17" s="1082" t="s">
        <v>581</v>
      </c>
      <c r="N17" s="3258" t="s">
        <v>758</v>
      </c>
      <c r="O17" s="3258"/>
      <c r="P17" s="3258"/>
      <c r="Q17" s="3258"/>
      <c r="R17" s="3258"/>
      <c r="S17" s="1080" t="s">
        <v>578</v>
      </c>
      <c r="T17" s="1081">
        <v>7.5</v>
      </c>
      <c r="V17" s="1051">
        <v>12</v>
      </c>
      <c r="W17" s="1051"/>
      <c r="X17" s="1051"/>
      <c r="Y17" s="1051"/>
      <c r="Z17" s="1051"/>
      <c r="AA17" s="1051"/>
      <c r="AB17" s="1051"/>
      <c r="AC17" s="1051"/>
      <c r="AD17" s="1051"/>
      <c r="AE17" s="1051"/>
    </row>
    <row r="18" spans="1:31" ht="14.25" customHeight="1">
      <c r="A18" s="1056" t="s">
        <v>144</v>
      </c>
      <c r="B18" s="1055"/>
      <c r="C18" s="1055"/>
      <c r="D18" s="1056"/>
      <c r="E18" s="1056"/>
      <c r="F18" s="1056"/>
      <c r="G18" s="1083" t="s">
        <v>744</v>
      </c>
      <c r="H18" s="65"/>
      <c r="M18" s="1084" t="s">
        <v>921</v>
      </c>
      <c r="N18" s="3259"/>
      <c r="O18" s="3259"/>
      <c r="P18" s="3259"/>
      <c r="Q18" s="3259"/>
      <c r="R18" s="3259"/>
      <c r="S18" s="1080" t="s">
        <v>579</v>
      </c>
      <c r="T18" s="1081">
        <v>1546</v>
      </c>
      <c r="V18" s="1051">
        <v>13</v>
      </c>
      <c r="W18" s="1051"/>
      <c r="X18" s="1051"/>
      <c r="Y18" s="1051"/>
      <c r="Z18" s="1051"/>
      <c r="AA18" s="1051"/>
      <c r="AB18" s="1051"/>
      <c r="AC18" s="1051"/>
      <c r="AD18" s="1051"/>
      <c r="AE18" s="1051"/>
    </row>
    <row r="19" spans="1:31" ht="14.25" customHeight="1">
      <c r="A19" s="1056" t="s">
        <v>145</v>
      </c>
      <c r="B19" s="1055"/>
      <c r="C19" s="1055"/>
      <c r="D19" s="1056"/>
      <c r="E19" s="1056"/>
      <c r="F19" s="1056"/>
      <c r="G19" s="1083" t="s">
        <v>739</v>
      </c>
      <c r="H19" s="65"/>
      <c r="M19" s="1085" t="s">
        <v>911</v>
      </c>
      <c r="N19" s="1085"/>
      <c r="O19" s="1085" t="s">
        <v>922</v>
      </c>
      <c r="P19" s="1085"/>
      <c r="Q19" s="1086" t="s">
        <v>919</v>
      </c>
      <c r="R19" s="1085"/>
      <c r="S19" s="1080" t="s">
        <v>580</v>
      </c>
      <c r="T19" s="1081">
        <v>2</v>
      </c>
      <c r="V19" s="1051">
        <v>14</v>
      </c>
      <c r="W19" s="1051"/>
      <c r="X19" s="1051"/>
      <c r="Y19" s="1051"/>
      <c r="Z19" s="1051"/>
      <c r="AA19" s="1051"/>
      <c r="AB19" s="1051"/>
      <c r="AC19" s="1051"/>
      <c r="AD19" s="1051"/>
      <c r="AE19" s="1051"/>
    </row>
    <row r="20" spans="1:31" ht="14.25" customHeight="1">
      <c r="A20" s="1056" t="s">
        <v>146</v>
      </c>
      <c r="B20" s="1055"/>
      <c r="C20" s="1055"/>
      <c r="D20" s="1056"/>
      <c r="E20" s="1056"/>
      <c r="F20" s="1056"/>
      <c r="G20" s="1083" t="s">
        <v>740</v>
      </c>
      <c r="H20" s="65"/>
      <c r="M20" s="1084"/>
      <c r="N20" s="1084"/>
      <c r="O20" s="1084"/>
      <c r="P20" s="1084"/>
      <c r="Q20" s="1084"/>
      <c r="R20" s="1084"/>
      <c r="S20" s="1080" t="s">
        <v>476</v>
      </c>
      <c r="T20" s="1081">
        <v>10</v>
      </c>
      <c r="V20" s="1051">
        <v>15</v>
      </c>
      <c r="W20" s="1051"/>
      <c r="X20" s="1051"/>
      <c r="Y20" s="1051"/>
      <c r="Z20" s="1051"/>
      <c r="AA20" s="1051"/>
      <c r="AB20" s="1051"/>
      <c r="AC20" s="1051"/>
      <c r="AD20" s="1051"/>
      <c r="AE20" s="1051"/>
    </row>
    <row r="21" spans="1:31" ht="14.25" customHeight="1">
      <c r="A21" s="1056" t="s">
        <v>147</v>
      </c>
      <c r="B21" s="1055"/>
      <c r="C21" s="1055"/>
      <c r="D21" s="1056"/>
      <c r="E21" s="1056"/>
      <c r="F21" s="1056"/>
      <c r="G21" s="1087" t="s">
        <v>741</v>
      </c>
      <c r="H21" s="2879"/>
      <c r="S21" s="1088" t="s">
        <v>743</v>
      </c>
      <c r="T21" s="1051">
        <v>11</v>
      </c>
      <c r="V21" s="1051">
        <v>16</v>
      </c>
      <c r="W21" s="1051"/>
      <c r="X21" s="1051"/>
      <c r="Y21" s="1051"/>
      <c r="Z21" s="1051"/>
      <c r="AA21" s="1051"/>
      <c r="AB21" s="1051"/>
      <c r="AC21" s="1051"/>
      <c r="AD21" s="1051"/>
      <c r="AE21" s="1051"/>
    </row>
    <row r="22" spans="1:31" ht="14.25" customHeight="1">
      <c r="A22" s="1056" t="s">
        <v>148</v>
      </c>
      <c r="B22" s="1051"/>
      <c r="C22" s="1051"/>
      <c r="D22" s="1056"/>
      <c r="E22" s="1056"/>
      <c r="F22" s="1056"/>
      <c r="G22" s="1087" t="s">
        <v>738</v>
      </c>
      <c r="H22" s="2880"/>
      <c r="I22" s="1077"/>
      <c r="M22" s="65" t="s">
        <v>1456</v>
      </c>
      <c r="N22" s="65" t="s">
        <v>1457</v>
      </c>
      <c r="O22" s="65" t="s">
        <v>5</v>
      </c>
      <c r="P22" s="1051"/>
      <c r="Q22" s="1051"/>
      <c r="S22" s="1088" t="s">
        <v>742</v>
      </c>
      <c r="T22" s="1051"/>
      <c r="V22" s="1051">
        <v>17</v>
      </c>
      <c r="W22" s="1051"/>
      <c r="X22" s="1051"/>
      <c r="Y22" s="1051"/>
      <c r="Z22" s="1051"/>
      <c r="AA22" s="1051"/>
      <c r="AB22" s="1051"/>
      <c r="AC22" s="1051"/>
      <c r="AD22" s="1051"/>
      <c r="AE22" s="1051"/>
    </row>
    <row r="23" spans="1:31" ht="14.25" customHeight="1">
      <c r="A23" s="1056" t="s">
        <v>167</v>
      </c>
      <c r="B23" s="1051"/>
      <c r="C23" s="1051"/>
      <c r="D23" s="1056"/>
      <c r="E23" s="1056"/>
      <c r="F23" s="1056"/>
      <c r="G23" s="1089" t="s">
        <v>906</v>
      </c>
      <c r="H23" s="2881"/>
      <c r="M23" s="65" t="s">
        <v>1458</v>
      </c>
      <c r="N23" s="1051"/>
      <c r="O23" s="1051"/>
      <c r="P23" s="1051"/>
      <c r="Q23" s="1051"/>
      <c r="S23" s="1083" t="s">
        <v>746</v>
      </c>
      <c r="T23" s="1901">
        <v>1.2</v>
      </c>
      <c r="V23" s="1051">
        <v>18</v>
      </c>
      <c r="W23" s="1051"/>
      <c r="X23" s="1051"/>
      <c r="Y23" s="1051"/>
      <c r="Z23" s="1051"/>
      <c r="AA23" s="1051"/>
      <c r="AB23" s="1051"/>
      <c r="AC23" s="1051"/>
      <c r="AD23" s="1051"/>
      <c r="AE23" s="1051"/>
    </row>
    <row r="24" spans="1:31" ht="14.25" customHeight="1">
      <c r="A24" s="1056" t="s">
        <v>168</v>
      </c>
      <c r="B24" s="1051"/>
      <c r="C24" s="1051"/>
      <c r="D24" s="1056"/>
      <c r="E24" s="1056"/>
      <c r="F24" s="1056"/>
      <c r="G24" s="1056"/>
      <c r="H24" s="1090"/>
      <c r="M24" s="1051"/>
      <c r="N24" s="1051"/>
      <c r="O24" s="1051"/>
      <c r="P24" s="1051"/>
      <c r="Q24" s="1051"/>
      <c r="S24" s="1091" t="s">
        <v>1227</v>
      </c>
      <c r="T24" s="1051">
        <v>10</v>
      </c>
      <c r="V24" s="1051">
        <v>19</v>
      </c>
      <c r="W24" s="1051"/>
      <c r="X24" s="1051"/>
      <c r="Y24" s="1051"/>
      <c r="Z24" s="1051"/>
      <c r="AA24" s="1051"/>
      <c r="AB24" s="1051"/>
      <c r="AC24" s="1051"/>
      <c r="AD24" s="1051"/>
      <c r="AE24" s="1051"/>
    </row>
    <row r="25" spans="1:31" ht="14.25" customHeight="1">
      <c r="A25" s="1056" t="s">
        <v>734</v>
      </c>
      <c r="B25" s="1051"/>
      <c r="C25" s="1051"/>
      <c r="D25" s="1056"/>
      <c r="E25" s="1056"/>
      <c r="F25" s="1056"/>
      <c r="G25" s="1056"/>
      <c r="H25" s="1090"/>
      <c r="M25" s="1051"/>
      <c r="N25" s="1051"/>
      <c r="O25" s="1051"/>
      <c r="P25" s="1051"/>
      <c r="Q25" s="1051"/>
      <c r="V25" s="1051"/>
      <c r="W25" s="1051"/>
      <c r="X25" s="1051"/>
      <c r="Y25" s="1051"/>
      <c r="Z25" s="1051"/>
      <c r="AA25" s="1051"/>
      <c r="AB25" s="1051"/>
      <c r="AC25" s="1051"/>
      <c r="AD25" s="1051"/>
      <c r="AE25" s="1051"/>
    </row>
    <row r="26" spans="1:31" ht="14.25" customHeight="1">
      <c r="A26" s="1056" t="s">
        <v>735</v>
      </c>
      <c r="B26" s="1051"/>
      <c r="C26" s="1051"/>
      <c r="D26" s="1056"/>
      <c r="E26" s="1056"/>
      <c r="F26" s="1056"/>
      <c r="G26" s="1056"/>
      <c r="H26" s="1090"/>
      <c r="V26" s="1051"/>
      <c r="W26" s="1051"/>
      <c r="X26" s="1051"/>
      <c r="Y26" s="1051"/>
      <c r="Z26" s="1051"/>
      <c r="AA26" s="1051"/>
      <c r="AB26" s="1051"/>
      <c r="AC26" s="1051"/>
      <c r="AD26" s="1051"/>
      <c r="AE26" s="1051"/>
    </row>
    <row r="27" spans="1:31" ht="14.25" customHeight="1">
      <c r="A27" s="1056" t="s">
        <v>736</v>
      </c>
      <c r="B27" s="1051"/>
      <c r="C27" s="1051"/>
      <c r="D27" s="1056"/>
      <c r="E27" s="1056"/>
      <c r="F27" s="1056"/>
      <c r="G27" s="1056"/>
      <c r="H27" s="1090"/>
      <c r="V27" s="1051"/>
      <c r="W27" s="1051"/>
      <c r="X27" s="1051"/>
      <c r="Y27" s="1051"/>
      <c r="Z27" s="1051"/>
      <c r="AA27" s="1051"/>
      <c r="AB27" s="1051"/>
      <c r="AC27" s="1051"/>
      <c r="AD27" s="1051"/>
      <c r="AE27" s="1051"/>
    </row>
    <row r="28" spans="1:31" ht="14.25" customHeight="1">
      <c r="A28" s="1056" t="s">
        <v>737</v>
      </c>
      <c r="B28" s="1092"/>
      <c r="C28" s="1092"/>
      <c r="D28" s="1051"/>
      <c r="E28" s="1051"/>
      <c r="F28" s="1051"/>
      <c r="G28" s="1051"/>
      <c r="H28" s="1090"/>
      <c r="V28" s="1051">
        <v>20</v>
      </c>
      <c r="W28" s="1051"/>
      <c r="X28" s="1051"/>
      <c r="Y28" s="1051"/>
      <c r="Z28" s="1051"/>
      <c r="AA28" s="1051"/>
      <c r="AB28" s="1051"/>
      <c r="AC28" s="1051"/>
      <c r="AD28" s="1051"/>
      <c r="AE28" s="1051"/>
    </row>
    <row r="29" spans="1:31" ht="14.25" customHeight="1">
      <c r="A29" s="1056"/>
      <c r="B29" s="1092"/>
      <c r="C29" s="1092"/>
      <c r="D29" s="1051"/>
      <c r="E29" s="1051"/>
      <c r="F29" s="1051"/>
      <c r="G29" s="1051"/>
      <c r="H29" s="1090"/>
      <c r="V29" s="1051"/>
      <c r="W29" s="1051"/>
      <c r="X29" s="1051"/>
      <c r="Y29" s="1051"/>
      <c r="Z29" s="1051"/>
      <c r="AA29" s="1051"/>
      <c r="AB29" s="1051"/>
      <c r="AC29" s="1051"/>
      <c r="AD29" s="1051"/>
      <c r="AE29" s="1051"/>
    </row>
    <row r="30" spans="1:31" ht="14.25" customHeight="1">
      <c r="A30" s="1056"/>
      <c r="B30" s="1092"/>
      <c r="C30" s="1092"/>
      <c r="D30" s="1051"/>
      <c r="E30" s="1051"/>
      <c r="F30" s="1051"/>
      <c r="G30" s="1051"/>
      <c r="H30" s="1090"/>
      <c r="V30" s="1051"/>
      <c r="W30" s="1051"/>
      <c r="X30" s="1051"/>
      <c r="Y30" s="1051"/>
      <c r="Z30" s="1051"/>
      <c r="AA30" s="1051"/>
      <c r="AB30" s="1051"/>
      <c r="AC30" s="1051"/>
      <c r="AD30" s="1051"/>
      <c r="AE30" s="1051"/>
    </row>
    <row r="31" spans="1:31" ht="14.25" customHeight="1">
      <c r="A31" s="1093" t="s">
        <v>422</v>
      </c>
      <c r="B31" s="65"/>
      <c r="C31" s="1051"/>
      <c r="D31" s="1051"/>
      <c r="E31" s="1051"/>
      <c r="F31" s="1051"/>
      <c r="G31" s="1051"/>
      <c r="H31" s="1051"/>
      <c r="V31" s="1051">
        <v>21</v>
      </c>
      <c r="W31" s="1051"/>
      <c r="X31" s="1051"/>
      <c r="Y31" s="1051"/>
      <c r="Z31" s="1051"/>
      <c r="AA31" s="1051"/>
      <c r="AB31" s="1051"/>
      <c r="AC31" s="1051"/>
      <c r="AD31" s="1051"/>
      <c r="AE31" s="1051"/>
    </row>
    <row r="32" spans="1:31" ht="14.25" customHeight="1">
      <c r="A32" s="1094" t="s">
        <v>423</v>
      </c>
      <c r="B32" s="65"/>
      <c r="C32" s="1051"/>
      <c r="D32" s="1051"/>
      <c r="E32" s="1051"/>
      <c r="F32" s="1051"/>
      <c r="G32" s="1051"/>
      <c r="H32" s="1051"/>
      <c r="V32" s="1051">
        <v>22</v>
      </c>
      <c r="W32" s="1051"/>
      <c r="X32" s="1051"/>
      <c r="Y32" s="1051"/>
      <c r="Z32" s="1051"/>
      <c r="AA32" s="1051"/>
      <c r="AB32" s="1051"/>
      <c r="AC32" s="1051"/>
      <c r="AD32" s="1051"/>
      <c r="AE32" s="1051"/>
    </row>
    <row r="33" spans="1:31" ht="14.25" customHeight="1">
      <c r="A33" s="3262" t="s">
        <v>909</v>
      </c>
      <c r="B33" s="3262"/>
      <c r="C33" s="3262"/>
      <c r="D33" s="3262"/>
      <c r="E33" s="3262"/>
      <c r="F33" s="3262"/>
      <c r="G33" s="3262"/>
      <c r="H33" s="3262"/>
      <c r="V33" s="1051">
        <v>23</v>
      </c>
      <c r="W33" s="1051"/>
      <c r="X33" s="1051"/>
      <c r="Y33" s="1051"/>
      <c r="Z33" s="1051"/>
      <c r="AA33" s="1051"/>
      <c r="AB33" s="1051"/>
      <c r="AC33" s="1051"/>
      <c r="AD33" s="1051"/>
      <c r="AE33" s="1051"/>
    </row>
    <row r="34" spans="1:31" ht="14.25" customHeight="1">
      <c r="A34" s="1084" t="s">
        <v>919</v>
      </c>
      <c r="B34" s="1084"/>
      <c r="C34" s="1084" t="s">
        <v>920</v>
      </c>
      <c r="D34" s="1084"/>
      <c r="E34" s="1084"/>
      <c r="F34" s="1084"/>
      <c r="G34" s="1084"/>
      <c r="H34" s="1095"/>
      <c r="V34" s="1051">
        <v>24</v>
      </c>
      <c r="W34" s="1051"/>
      <c r="X34" s="1051"/>
      <c r="Y34" s="1051"/>
      <c r="Z34" s="1051"/>
      <c r="AA34" s="1051"/>
      <c r="AB34" s="1051"/>
      <c r="AC34" s="1051"/>
      <c r="AD34" s="1051"/>
      <c r="AE34" s="1051"/>
    </row>
    <row r="35" spans="1:31" ht="14.25" customHeight="1">
      <c r="A35" s="1095"/>
      <c r="B35" s="1095"/>
      <c r="C35" s="1095"/>
      <c r="D35" s="1095"/>
      <c r="E35" s="1095"/>
      <c r="F35" s="1095"/>
      <c r="G35" s="1095"/>
      <c r="H35" s="1090"/>
      <c r="V35" s="1051">
        <v>25</v>
      </c>
      <c r="W35" s="1051"/>
      <c r="X35" s="1051"/>
      <c r="Y35" s="1051"/>
      <c r="Z35" s="1051"/>
      <c r="AA35" s="1051"/>
      <c r="AB35" s="1051"/>
      <c r="AC35" s="1051"/>
      <c r="AD35" s="1051"/>
      <c r="AE35" s="1051"/>
    </row>
    <row r="36" spans="1:31" ht="14.25" customHeight="1">
      <c r="A36" s="3263" t="s">
        <v>1769</v>
      </c>
      <c r="B36" s="3264"/>
      <c r="C36" s="3265" t="s">
        <v>110</v>
      </c>
      <c r="D36" s="3266"/>
      <c r="E36" s="3263" t="s">
        <v>331</v>
      </c>
      <c r="F36" s="3264"/>
      <c r="G36" s="3265" t="s">
        <v>815</v>
      </c>
      <c r="H36" s="3266"/>
      <c r="W36" s="3260" t="s">
        <v>703</v>
      </c>
      <c r="X36" s="3260"/>
      <c r="Y36" s="3260"/>
    </row>
    <row r="37" spans="1:31" ht="14.25" customHeight="1">
      <c r="A37" s="1096" t="s">
        <v>135</v>
      </c>
      <c r="B37" s="1097"/>
      <c r="C37" s="1096" t="s">
        <v>135</v>
      </c>
      <c r="D37" s="1098"/>
      <c r="E37" s="1096" t="s">
        <v>135</v>
      </c>
      <c r="F37" s="1051"/>
      <c r="G37" s="1096" t="s">
        <v>135</v>
      </c>
      <c r="H37" s="1051"/>
      <c r="W37" s="1099">
        <v>0</v>
      </c>
      <c r="X37" s="3252" t="s">
        <v>704</v>
      </c>
      <c r="Y37" s="3252"/>
      <c r="Z37" s="3252"/>
      <c r="AA37" s="3252"/>
      <c r="AB37" s="3252"/>
      <c r="AC37" s="3252"/>
      <c r="AD37" s="3252"/>
      <c r="AE37" s="3252"/>
    </row>
    <row r="38" spans="1:31" ht="14.25" customHeight="1">
      <c r="A38" s="1096" t="s">
        <v>150</v>
      </c>
      <c r="B38" s="1100"/>
      <c r="C38" s="1096" t="s">
        <v>150</v>
      </c>
      <c r="D38" s="1100">
        <v>50</v>
      </c>
      <c r="E38" s="1096" t="s">
        <v>150</v>
      </c>
      <c r="F38" s="1100"/>
      <c r="G38" s="1096" t="s">
        <v>150</v>
      </c>
      <c r="H38" s="1051"/>
      <c r="W38" s="1099">
        <v>1</v>
      </c>
      <c r="X38" s="3252" t="s">
        <v>705</v>
      </c>
      <c r="Y38" s="3252"/>
      <c r="Z38" s="3252"/>
      <c r="AA38" s="3252"/>
      <c r="AB38" s="3252"/>
      <c r="AC38" s="3252"/>
      <c r="AD38" s="3252"/>
      <c r="AE38" s="3252"/>
    </row>
    <row r="39" spans="1:31" ht="14.25" customHeight="1">
      <c r="A39" s="1101" t="s">
        <v>714</v>
      </c>
      <c r="B39" s="1102"/>
      <c r="C39" s="1101" t="s">
        <v>714</v>
      </c>
      <c r="D39" s="1102"/>
      <c r="E39" s="1101" t="s">
        <v>714</v>
      </c>
      <c r="F39" s="1102"/>
      <c r="G39" s="1101" t="s">
        <v>714</v>
      </c>
      <c r="H39" s="1051"/>
      <c r="W39" s="1099">
        <v>2</v>
      </c>
      <c r="X39" s="3252" t="s">
        <v>706</v>
      </c>
      <c r="Y39" s="3252"/>
      <c r="Z39" s="3252"/>
      <c r="AA39" s="3252"/>
      <c r="AB39" s="3252"/>
      <c r="AC39" s="3252"/>
      <c r="AD39" s="3252"/>
      <c r="AE39" s="3252"/>
    </row>
    <row r="40" spans="1:31" ht="14.25" customHeight="1">
      <c r="A40" s="2871" t="s">
        <v>1759</v>
      </c>
      <c r="B40" s="1103"/>
      <c r="C40" s="1101" t="s">
        <v>715</v>
      </c>
      <c r="D40" s="1103"/>
      <c r="E40" s="1101" t="s">
        <v>715</v>
      </c>
      <c r="F40" s="1103"/>
      <c r="G40" s="1096" t="s">
        <v>715</v>
      </c>
      <c r="H40" s="1051"/>
      <c r="W40" s="1099"/>
      <c r="X40" s="1104"/>
      <c r="Y40" s="1104"/>
      <c r="Z40" s="1104"/>
      <c r="AA40" s="1104"/>
      <c r="AB40" s="1104"/>
      <c r="AC40" s="1104"/>
      <c r="AD40" s="1104"/>
      <c r="AE40" s="1104"/>
    </row>
    <row r="41" spans="1:31" ht="14.25" customHeight="1">
      <c r="A41" s="2872" t="s">
        <v>1447</v>
      </c>
      <c r="B41" s="2870"/>
      <c r="C41" s="2872" t="s">
        <v>1447</v>
      </c>
      <c r="D41" s="2870"/>
      <c r="E41" s="2872" t="s">
        <v>1447</v>
      </c>
      <c r="F41" s="1103"/>
      <c r="G41" s="2872" t="s">
        <v>1447</v>
      </c>
      <c r="H41" s="1051"/>
      <c r="W41" s="1099"/>
      <c r="X41" s="2839"/>
      <c r="Y41" s="2839"/>
      <c r="Z41" s="2839"/>
      <c r="AA41" s="2839"/>
      <c r="AB41" s="2839"/>
      <c r="AC41" s="2839"/>
      <c r="AD41" s="2839"/>
      <c r="AE41" s="2839"/>
    </row>
    <row r="42" spans="1:31" ht="14.25" customHeight="1">
      <c r="A42" s="1105"/>
      <c r="B42" s="1106" t="s">
        <v>870</v>
      </c>
      <c r="C42" s="2878" t="s">
        <v>110</v>
      </c>
      <c r="D42" s="1106" t="s">
        <v>815</v>
      </c>
      <c r="F42" s="1107"/>
      <c r="G42" s="1107"/>
      <c r="W42" s="1099"/>
      <c r="X42" s="1104"/>
      <c r="Y42" s="1104"/>
      <c r="Z42" s="1104"/>
      <c r="AA42" s="1104"/>
      <c r="AB42" s="1104"/>
      <c r="AC42" s="1104"/>
      <c r="AD42" s="1104"/>
      <c r="AE42" s="1104"/>
    </row>
    <row r="43" spans="1:31" ht="14.25" customHeight="1">
      <c r="A43" s="1108" t="s">
        <v>151</v>
      </c>
      <c r="B43" s="2877" t="s">
        <v>1763</v>
      </c>
      <c r="C43" s="2877" t="s">
        <v>1763</v>
      </c>
      <c r="D43" s="2877" t="s">
        <v>1763</v>
      </c>
      <c r="E43" s="3248" t="s">
        <v>158</v>
      </c>
      <c r="F43" s="3248"/>
      <c r="G43" s="3246" t="s">
        <v>1761</v>
      </c>
      <c r="H43" s="3247"/>
      <c r="W43" s="1099">
        <v>3</v>
      </c>
      <c r="X43" s="3252" t="s">
        <v>707</v>
      </c>
      <c r="Y43" s="3252"/>
      <c r="Z43" s="3252"/>
      <c r="AA43" s="3252"/>
      <c r="AB43" s="3252"/>
      <c r="AC43" s="3252"/>
      <c r="AD43" s="3252"/>
      <c r="AE43" s="3252"/>
    </row>
    <row r="44" spans="1:31" ht="14.25" customHeight="1">
      <c r="A44" s="1109">
        <v>2</v>
      </c>
      <c r="B44" s="1051"/>
      <c r="C44" s="1110"/>
      <c r="D44" s="1110"/>
      <c r="E44" s="1091" t="s">
        <v>135</v>
      </c>
      <c r="F44" s="1111"/>
      <c r="G44" s="1091" t="s">
        <v>150</v>
      </c>
      <c r="H44" s="1112"/>
      <c r="W44" s="1099">
        <v>4</v>
      </c>
      <c r="X44" s="3252" t="s">
        <v>708</v>
      </c>
      <c r="Y44" s="3252"/>
      <c r="Z44" s="3252"/>
      <c r="AA44" s="3252"/>
      <c r="AB44" s="3252"/>
      <c r="AC44" s="3252"/>
      <c r="AD44" s="3252"/>
      <c r="AE44" s="3252"/>
    </row>
    <row r="45" spans="1:31" ht="14.25" customHeight="1">
      <c r="A45" s="1109">
        <v>4</v>
      </c>
      <c r="B45" s="1051"/>
      <c r="C45" s="1110"/>
      <c r="D45" s="1110"/>
      <c r="E45" s="2873" t="s">
        <v>714</v>
      </c>
      <c r="F45" s="1113"/>
      <c r="G45" s="2875" t="s">
        <v>1760</v>
      </c>
      <c r="H45" s="1114"/>
      <c r="W45" s="1099">
        <v>5</v>
      </c>
      <c r="X45" s="3252" t="s">
        <v>709</v>
      </c>
      <c r="Y45" s="3252"/>
      <c r="Z45" s="3252"/>
      <c r="AA45" s="3252"/>
      <c r="AB45" s="3252"/>
      <c r="AC45" s="3252"/>
      <c r="AD45" s="3252"/>
      <c r="AE45" s="3252"/>
    </row>
    <row r="46" spans="1:31" ht="14.25" customHeight="1">
      <c r="A46" s="1109">
        <v>6</v>
      </c>
      <c r="B46" s="1051"/>
      <c r="C46" s="1110"/>
      <c r="D46" s="1110"/>
      <c r="E46" s="1849" t="s">
        <v>1759</v>
      </c>
      <c r="F46" s="1051"/>
      <c r="G46" s="2876" t="s">
        <v>152</v>
      </c>
      <c r="H46" s="2876" t="s">
        <v>893</v>
      </c>
      <c r="W46" s="1099">
        <v>6</v>
      </c>
      <c r="X46" s="3252" t="s">
        <v>710</v>
      </c>
      <c r="Y46" s="3252"/>
      <c r="Z46" s="3252"/>
      <c r="AA46" s="3252"/>
      <c r="AB46" s="3252"/>
      <c r="AC46" s="3252"/>
      <c r="AD46" s="3252"/>
      <c r="AE46" s="3252"/>
    </row>
    <row r="47" spans="1:31" ht="14.25" customHeight="1">
      <c r="A47" s="1109">
        <v>8</v>
      </c>
      <c r="B47" s="1051"/>
      <c r="C47" s="1110"/>
      <c r="D47" s="1110"/>
      <c r="E47" s="2874" t="s">
        <v>1447</v>
      </c>
      <c r="F47" s="1051"/>
      <c r="G47" s="1051"/>
      <c r="H47" s="1051"/>
    </row>
    <row r="48" spans="1:31" ht="14.25" customHeight="1">
      <c r="A48" s="1109">
        <v>10</v>
      </c>
      <c r="B48" s="1051"/>
      <c r="C48" s="1110"/>
      <c r="D48" s="1110"/>
      <c r="E48" s="3251" t="s">
        <v>159</v>
      </c>
      <c r="F48" s="3251"/>
      <c r="G48" s="3246" t="s">
        <v>1762</v>
      </c>
      <c r="H48" s="3247"/>
      <c r="W48" s="1090"/>
      <c r="X48" s="1090"/>
      <c r="Y48" s="1090"/>
      <c r="Z48" s="1090"/>
      <c r="AA48" s="1090"/>
      <c r="AB48" s="1090"/>
      <c r="AC48" s="1090"/>
    </row>
    <row r="49" spans="1:29" ht="14.25" customHeight="1">
      <c r="A49" s="370" t="s">
        <v>1770</v>
      </c>
      <c r="B49" s="1051"/>
      <c r="C49" s="1110"/>
      <c r="D49" s="1110"/>
      <c r="E49" s="1091" t="s">
        <v>135</v>
      </c>
      <c r="F49" s="1051"/>
      <c r="G49" s="1091" t="s">
        <v>150</v>
      </c>
      <c r="H49" s="1112"/>
      <c r="W49" s="1090"/>
      <c r="X49" s="1090"/>
      <c r="Y49" s="1090"/>
      <c r="Z49" s="1090"/>
      <c r="AA49" s="1090"/>
      <c r="AB49" s="1090"/>
      <c r="AC49" s="1090"/>
    </row>
    <row r="50" spans="1:29" ht="14.25" customHeight="1">
      <c r="A50" s="1096" t="s">
        <v>135</v>
      </c>
      <c r="B50" s="1051"/>
      <c r="C50" s="1110"/>
      <c r="D50" s="1110"/>
      <c r="E50" s="2873" t="s">
        <v>714</v>
      </c>
      <c r="F50" s="1113"/>
      <c r="G50" s="2875" t="s">
        <v>1760</v>
      </c>
      <c r="H50" s="2838"/>
      <c r="W50" s="1090"/>
      <c r="X50" s="1090"/>
      <c r="Y50" s="1090"/>
      <c r="Z50" s="1090"/>
      <c r="AA50" s="1090"/>
      <c r="AB50" s="1090"/>
      <c r="AC50" s="1090"/>
    </row>
    <row r="51" spans="1:29" ht="14.25" customHeight="1">
      <c r="A51" s="1096" t="s">
        <v>150</v>
      </c>
      <c r="B51" s="1051"/>
      <c r="C51" s="1051"/>
      <c r="D51" s="1110"/>
      <c r="E51" s="1849" t="s">
        <v>1759</v>
      </c>
      <c r="F51" s="1113"/>
      <c r="G51" s="2876" t="s">
        <v>152</v>
      </c>
      <c r="H51" s="2876" t="s">
        <v>893</v>
      </c>
      <c r="W51" s="1090"/>
      <c r="X51" s="1090"/>
      <c r="Y51" s="1090"/>
      <c r="Z51" s="1090"/>
      <c r="AA51" s="1090"/>
      <c r="AB51" s="1090"/>
      <c r="AC51" s="1090"/>
    </row>
    <row r="52" spans="1:29" ht="14.25" customHeight="1">
      <c r="A52" s="1101" t="s">
        <v>714</v>
      </c>
      <c r="B52" s="1051"/>
      <c r="C52" s="1051"/>
      <c r="D52" s="1110"/>
      <c r="E52" s="2874" t="s">
        <v>1447</v>
      </c>
      <c r="F52" s="1051"/>
      <c r="G52" s="1051"/>
      <c r="H52" s="1051"/>
      <c r="W52" s="1090"/>
      <c r="X52" s="1090"/>
      <c r="Y52" s="1090"/>
      <c r="Z52" s="1090"/>
      <c r="AA52" s="1090"/>
      <c r="AB52" s="1090"/>
      <c r="AC52" s="1090"/>
    </row>
    <row r="53" spans="1:29" ht="14.25" customHeight="1">
      <c r="A53" s="2871" t="s">
        <v>1759</v>
      </c>
      <c r="B53" s="1051"/>
      <c r="C53" s="1051"/>
      <c r="D53" s="1051"/>
    </row>
    <row r="54" spans="1:29" ht="14.25" customHeight="1">
      <c r="A54" s="2872" t="s">
        <v>1447</v>
      </c>
      <c r="B54" s="1051"/>
      <c r="C54" s="1051"/>
      <c r="D54" s="1051"/>
    </row>
    <row r="55" spans="1:29" ht="14.25" customHeight="1">
      <c r="A55" s="1081"/>
      <c r="B55" s="1051"/>
      <c r="C55" s="1051"/>
      <c r="D55" s="1051"/>
    </row>
    <row r="56" spans="1:29" ht="14.25" customHeight="1">
      <c r="A56" s="1077"/>
      <c r="B56" s="1090"/>
      <c r="C56" s="1090"/>
      <c r="D56" s="1090"/>
    </row>
    <row r="57" spans="1:29" ht="14.25" customHeight="1">
      <c r="A57" s="1115"/>
      <c r="B57" s="3250"/>
      <c r="C57" s="3250"/>
      <c r="D57" s="3250"/>
      <c r="E57" s="3250"/>
      <c r="F57" s="3250"/>
      <c r="G57" s="3250"/>
      <c r="H57" s="1116"/>
    </row>
    <row r="58" spans="1:29" ht="14.25" customHeight="1">
      <c r="A58" s="1046" t="s">
        <v>170</v>
      </c>
      <c r="D58" s="1045" t="s">
        <v>171</v>
      </c>
      <c r="E58" s="1047">
        <v>43507</v>
      </c>
    </row>
    <row r="59" spans="1:29" ht="14.25" customHeight="1">
      <c r="A59" s="1052" t="s">
        <v>176</v>
      </c>
      <c r="B59" s="1089" t="s">
        <v>135</v>
      </c>
      <c r="C59" s="1089" t="s">
        <v>136</v>
      </c>
      <c r="D59" s="1089" t="s">
        <v>137</v>
      </c>
      <c r="E59" s="1089" t="s">
        <v>138</v>
      </c>
      <c r="F59" s="1089" t="s">
        <v>139</v>
      </c>
      <c r="G59" s="1117" t="s">
        <v>149</v>
      </c>
      <c r="H59" s="1052" t="s">
        <v>157</v>
      </c>
    </row>
    <row r="60" spans="1:29" ht="14.25" customHeight="1">
      <c r="A60" s="1056" t="s">
        <v>239</v>
      </c>
      <c r="B60" s="1051"/>
      <c r="C60" s="1051"/>
      <c r="D60" s="1118"/>
      <c r="E60" s="1118"/>
      <c r="F60" s="1118"/>
      <c r="G60" s="1119"/>
      <c r="H60" s="1051"/>
    </row>
    <row r="61" spans="1:29" ht="14.25" customHeight="1">
      <c r="A61" s="1056" t="s">
        <v>140</v>
      </c>
      <c r="B61" s="1051"/>
      <c r="C61" s="1051"/>
      <c r="D61" s="1118"/>
      <c r="E61" s="1118"/>
      <c r="F61" s="1118"/>
      <c r="G61" s="1120"/>
      <c r="H61" s="1090"/>
    </row>
    <row r="62" spans="1:29" ht="14.25" customHeight="1">
      <c r="A62" s="1056" t="s">
        <v>240</v>
      </c>
      <c r="B62" s="1051"/>
      <c r="C62" s="1051"/>
      <c r="D62" s="1118"/>
      <c r="E62" s="1118"/>
      <c r="F62" s="1118"/>
      <c r="G62" s="1120"/>
      <c r="H62" s="1090"/>
    </row>
    <row r="63" spans="1:29" ht="14.25" customHeight="1">
      <c r="A63" s="1056" t="s">
        <v>141</v>
      </c>
      <c r="B63" s="1051"/>
      <c r="C63" s="1051"/>
      <c r="D63" s="1118"/>
      <c r="E63" s="1118"/>
      <c r="F63" s="1118"/>
      <c r="G63" s="1120"/>
      <c r="H63" s="1090"/>
    </row>
    <row r="64" spans="1:29" ht="14.25" customHeight="1">
      <c r="A64" s="1056" t="s">
        <v>241</v>
      </c>
      <c r="B64" s="1051"/>
      <c r="C64" s="1051"/>
      <c r="D64" s="1118"/>
      <c r="E64" s="1118"/>
      <c r="F64" s="1118"/>
      <c r="G64" s="1120"/>
      <c r="H64" s="1090"/>
    </row>
    <row r="65" spans="1:8" ht="14.25" customHeight="1">
      <c r="A65" s="1056" t="s">
        <v>142</v>
      </c>
      <c r="B65" s="1051"/>
      <c r="C65" s="1051"/>
      <c r="D65" s="1118"/>
      <c r="E65" s="1118"/>
      <c r="F65" s="1118"/>
      <c r="G65" s="1120"/>
      <c r="H65" s="1090"/>
    </row>
    <row r="66" spans="1:8" ht="14.25" customHeight="1">
      <c r="A66" s="1056" t="s">
        <v>242</v>
      </c>
      <c r="B66" s="1051"/>
      <c r="C66" s="1051"/>
      <c r="D66" s="1118"/>
      <c r="E66" s="1118"/>
      <c r="F66" s="1118"/>
      <c r="G66" s="1120"/>
      <c r="H66" s="1090"/>
    </row>
    <row r="67" spans="1:8" ht="14.25" customHeight="1">
      <c r="A67" s="1056" t="s">
        <v>143</v>
      </c>
      <c r="B67" s="1051"/>
      <c r="C67" s="1051"/>
      <c r="D67" s="1118"/>
      <c r="E67" s="1118"/>
      <c r="F67" s="1118"/>
      <c r="G67" s="1120"/>
      <c r="H67" s="1090"/>
    </row>
    <row r="68" spans="1:8" ht="14.25" customHeight="1">
      <c r="A68" s="1056" t="s">
        <v>144</v>
      </c>
      <c r="B68" s="1051"/>
      <c r="C68" s="1051"/>
      <c r="D68" s="1118"/>
      <c r="E68" s="1118"/>
      <c r="F68" s="1118"/>
      <c r="G68" s="1120"/>
      <c r="H68" s="1090"/>
    </row>
    <row r="69" spans="1:8" ht="14.25" customHeight="1">
      <c r="A69" s="1056" t="s">
        <v>145</v>
      </c>
      <c r="B69" s="1051"/>
      <c r="C69" s="1051"/>
      <c r="D69" s="1118"/>
      <c r="E69" s="1118"/>
      <c r="F69" s="1118"/>
      <c r="G69" s="1120"/>
      <c r="H69" s="1090"/>
    </row>
    <row r="70" spans="1:8" ht="14.25" customHeight="1">
      <c r="A70" s="1056" t="s">
        <v>146</v>
      </c>
      <c r="B70" s="1055"/>
      <c r="C70" s="1055"/>
      <c r="D70" s="1118"/>
      <c r="E70" s="1118"/>
      <c r="F70" s="1118"/>
      <c r="G70" s="1120"/>
      <c r="H70" s="1090"/>
    </row>
    <row r="71" spans="1:8" ht="14.25" customHeight="1">
      <c r="A71" s="1056" t="s">
        <v>147</v>
      </c>
      <c r="B71" s="1055"/>
      <c r="C71" s="1055"/>
      <c r="D71" s="1118"/>
      <c r="E71" s="1118"/>
      <c r="F71" s="1118"/>
      <c r="G71" s="1120"/>
      <c r="H71" s="1090"/>
    </row>
    <row r="72" spans="1:8" ht="14.25" customHeight="1">
      <c r="A72" s="1056" t="s">
        <v>148</v>
      </c>
      <c r="B72" s="1055"/>
      <c r="C72" s="1055"/>
      <c r="D72" s="1118"/>
      <c r="E72" s="1118"/>
      <c r="F72" s="1118"/>
      <c r="G72" s="1120"/>
      <c r="H72" s="1090"/>
    </row>
    <row r="73" spans="1:8" ht="14.25" customHeight="1">
      <c r="A73" s="1056" t="s">
        <v>167</v>
      </c>
      <c r="B73" s="1055"/>
      <c r="C73" s="1055"/>
      <c r="D73" s="1118"/>
      <c r="E73" s="1118"/>
      <c r="F73" s="1118"/>
      <c r="G73" s="1120"/>
      <c r="H73" s="1090"/>
    </row>
    <row r="74" spans="1:8" ht="14.25" customHeight="1">
      <c r="A74" s="1051"/>
      <c r="B74" s="1051"/>
      <c r="C74" s="1051"/>
      <c r="D74" s="1051"/>
      <c r="E74" s="1051"/>
      <c r="F74" s="1051"/>
      <c r="G74" s="1090"/>
    </row>
    <row r="75" spans="1:8" ht="14.25" customHeight="1">
      <c r="A75" s="1052" t="s">
        <v>177</v>
      </c>
      <c r="B75" s="1089" t="s">
        <v>135</v>
      </c>
      <c r="C75" s="1089" t="s">
        <v>136</v>
      </c>
      <c r="D75" s="1089" t="s">
        <v>137</v>
      </c>
      <c r="E75" s="1089" t="s">
        <v>138</v>
      </c>
      <c r="F75" s="1089" t="s">
        <v>139</v>
      </c>
      <c r="G75" s="1052" t="s">
        <v>149</v>
      </c>
      <c r="H75" s="1052" t="s">
        <v>157</v>
      </c>
    </row>
    <row r="76" spans="1:8" ht="14.25" customHeight="1">
      <c r="A76" s="1056" t="s">
        <v>239</v>
      </c>
      <c r="B76" s="1051"/>
      <c r="C76" s="1051"/>
      <c r="D76" s="1118"/>
      <c r="E76" s="1118"/>
      <c r="F76" s="1118"/>
      <c r="G76" s="1119"/>
      <c r="H76" s="1051"/>
    </row>
    <row r="77" spans="1:8" ht="14.25" customHeight="1">
      <c r="A77" s="1056" t="s">
        <v>140</v>
      </c>
      <c r="B77" s="1051"/>
      <c r="C77" s="1051"/>
      <c r="D77" s="1118"/>
      <c r="E77" s="1118"/>
      <c r="F77" s="1118"/>
      <c r="G77" s="1120"/>
      <c r="H77" s="1090"/>
    </row>
    <row r="78" spans="1:8" ht="14.25" customHeight="1">
      <c r="A78" s="1056" t="s">
        <v>240</v>
      </c>
      <c r="B78" s="1051"/>
      <c r="C78" s="1051"/>
      <c r="D78" s="1118"/>
      <c r="E78" s="1118"/>
      <c r="F78" s="1118"/>
      <c r="G78" s="1120"/>
      <c r="H78" s="1090"/>
    </row>
    <row r="79" spans="1:8" ht="14.25" customHeight="1">
      <c r="A79" s="1056" t="s">
        <v>141</v>
      </c>
      <c r="B79" s="1051"/>
      <c r="C79" s="1051"/>
      <c r="D79" s="1118"/>
      <c r="E79" s="1118"/>
      <c r="F79" s="1118"/>
      <c r="G79" s="1120"/>
      <c r="H79" s="1090"/>
    </row>
    <row r="80" spans="1:8" ht="14.25" customHeight="1">
      <c r="A80" s="1056" t="s">
        <v>241</v>
      </c>
      <c r="B80" s="1051"/>
      <c r="C80" s="1051"/>
      <c r="D80" s="1118"/>
      <c r="E80" s="1118"/>
      <c r="F80" s="1118"/>
      <c r="G80" s="1120"/>
      <c r="H80" s="1090"/>
    </row>
    <row r="81" spans="1:8" ht="14.25" customHeight="1">
      <c r="A81" s="1056" t="s">
        <v>142</v>
      </c>
      <c r="B81" s="1051"/>
      <c r="C81" s="1051"/>
      <c r="D81" s="1118"/>
      <c r="E81" s="1118"/>
      <c r="F81" s="1118"/>
      <c r="G81" s="1120"/>
      <c r="H81" s="1090"/>
    </row>
    <row r="82" spans="1:8" ht="14.25" customHeight="1">
      <c r="A82" s="1056" t="s">
        <v>242</v>
      </c>
      <c r="B82" s="1051"/>
      <c r="C82" s="1051"/>
      <c r="D82" s="1118"/>
      <c r="E82" s="1118"/>
      <c r="F82" s="1118"/>
      <c r="G82" s="1120"/>
      <c r="H82" s="1090"/>
    </row>
    <row r="83" spans="1:8" ht="14.25" customHeight="1">
      <c r="A83" s="1056" t="s">
        <v>143</v>
      </c>
      <c r="B83" s="1051"/>
      <c r="C83" s="1051"/>
      <c r="D83" s="1118"/>
      <c r="E83" s="1118"/>
      <c r="F83" s="1118"/>
      <c r="G83" s="1120"/>
      <c r="H83" s="1090"/>
    </row>
    <row r="84" spans="1:8" ht="14.25" customHeight="1">
      <c r="A84" s="1056" t="s">
        <v>144</v>
      </c>
      <c r="B84" s="1051"/>
      <c r="C84" s="1051"/>
      <c r="D84" s="1118"/>
      <c r="E84" s="1118"/>
      <c r="F84" s="1118"/>
      <c r="G84" s="1120"/>
      <c r="H84" s="1090"/>
    </row>
    <row r="85" spans="1:8" ht="14.25" customHeight="1">
      <c r="A85" s="1111" t="s">
        <v>145</v>
      </c>
      <c r="B85" s="1055"/>
      <c r="C85" s="1055"/>
      <c r="D85" s="1118"/>
      <c r="E85" s="1118"/>
      <c r="F85" s="1118"/>
      <c r="G85" s="1120"/>
      <c r="H85" s="1090"/>
    </row>
    <row r="86" spans="1:8" ht="14.25" customHeight="1">
      <c r="A86" s="1111" t="s">
        <v>146</v>
      </c>
      <c r="B86" s="1055"/>
      <c r="C86" s="1055"/>
      <c r="D86" s="1118"/>
      <c r="E86" s="1118"/>
      <c r="F86" s="1118"/>
      <c r="G86" s="1120"/>
      <c r="H86" s="1090"/>
    </row>
    <row r="87" spans="1:8" ht="14.25" customHeight="1">
      <c r="A87" s="1111" t="s">
        <v>147</v>
      </c>
      <c r="B87" s="1055"/>
      <c r="C87" s="1055"/>
      <c r="D87" s="1118"/>
      <c r="E87" s="1118"/>
      <c r="F87" s="1118"/>
      <c r="G87" s="1120"/>
      <c r="H87" s="1090"/>
    </row>
    <row r="88" spans="1:8" ht="14.25" customHeight="1">
      <c r="A88" s="1111" t="s">
        <v>148</v>
      </c>
      <c r="B88" s="1055"/>
      <c r="C88" s="1055"/>
      <c r="D88" s="1118"/>
      <c r="E88" s="1118"/>
      <c r="F88" s="1118"/>
      <c r="G88" s="1120"/>
      <c r="H88" s="1090"/>
    </row>
    <row r="89" spans="1:8" ht="14.25" customHeight="1">
      <c r="A89" s="1111" t="s">
        <v>167</v>
      </c>
      <c r="B89" s="1055"/>
      <c r="C89" s="1055"/>
      <c r="D89" s="1118"/>
      <c r="E89" s="1118"/>
      <c r="F89" s="1118"/>
      <c r="G89" s="1120"/>
      <c r="H89" s="1090"/>
    </row>
    <row r="90" spans="1:8" ht="14.25" customHeight="1">
      <c r="A90" s="1051"/>
      <c r="B90" s="1051"/>
      <c r="C90" s="1051"/>
      <c r="D90" s="1051"/>
      <c r="E90" s="1051"/>
      <c r="F90" s="1051"/>
      <c r="G90" s="1090"/>
    </row>
    <row r="91" spans="1:8" ht="14.25" customHeight="1">
      <c r="A91" s="1052" t="s">
        <v>178</v>
      </c>
      <c r="B91" s="1089" t="s">
        <v>135</v>
      </c>
      <c r="C91" s="1089" t="s">
        <v>136</v>
      </c>
      <c r="D91" s="1089" t="s">
        <v>137</v>
      </c>
      <c r="E91" s="1089" t="s">
        <v>138</v>
      </c>
      <c r="F91" s="1089" t="s">
        <v>139</v>
      </c>
      <c r="G91" s="1052" t="s">
        <v>149</v>
      </c>
      <c r="H91" s="1052" t="s">
        <v>157</v>
      </c>
    </row>
    <row r="92" spans="1:8" ht="14.25" customHeight="1">
      <c r="A92" s="1056" t="s">
        <v>239</v>
      </c>
      <c r="B92" s="1051"/>
      <c r="C92" s="1051"/>
      <c r="D92" s="1118"/>
      <c r="E92" s="1118"/>
      <c r="F92" s="1118"/>
      <c r="G92" s="1071"/>
      <c r="H92" s="1051"/>
    </row>
    <row r="93" spans="1:8" ht="14.25" customHeight="1">
      <c r="A93" s="1056" t="s">
        <v>140</v>
      </c>
      <c r="B93" s="1051"/>
      <c r="C93" s="1051"/>
      <c r="D93" s="1118"/>
      <c r="E93" s="1118"/>
      <c r="F93" s="1118"/>
      <c r="G93" s="1118"/>
      <c r="H93" s="1090"/>
    </row>
    <row r="94" spans="1:8" ht="14.25" customHeight="1">
      <c r="A94" s="1056" t="s">
        <v>240</v>
      </c>
      <c r="B94" s="1051"/>
      <c r="C94" s="1051"/>
      <c r="D94" s="1118"/>
      <c r="E94" s="1118"/>
      <c r="F94" s="1118"/>
      <c r="G94" s="1118"/>
      <c r="H94" s="1090"/>
    </row>
    <row r="95" spans="1:8" ht="14.25" customHeight="1">
      <c r="A95" s="1056" t="s">
        <v>141</v>
      </c>
      <c r="B95" s="1051"/>
      <c r="C95" s="1051"/>
      <c r="D95" s="1118"/>
      <c r="E95" s="1118"/>
      <c r="F95" s="1118"/>
      <c r="G95" s="1118"/>
      <c r="H95" s="1090"/>
    </row>
    <row r="96" spans="1:8" ht="14.25" customHeight="1">
      <c r="A96" s="1056" t="s">
        <v>241</v>
      </c>
      <c r="B96" s="1051"/>
      <c r="C96" s="1051"/>
      <c r="D96" s="1118"/>
      <c r="E96" s="1118"/>
      <c r="F96" s="1118"/>
      <c r="G96" s="1118"/>
      <c r="H96" s="1090"/>
    </row>
    <row r="97" spans="1:8" ht="14.25" customHeight="1">
      <c r="A97" s="1056" t="s">
        <v>142</v>
      </c>
      <c r="B97" s="1051"/>
      <c r="C97" s="1051"/>
      <c r="D97" s="1118"/>
      <c r="E97" s="1118"/>
      <c r="F97" s="1118"/>
      <c r="G97" s="1118"/>
      <c r="H97" s="1090"/>
    </row>
    <row r="98" spans="1:8" ht="14.25" customHeight="1">
      <c r="A98" s="1056" t="s">
        <v>242</v>
      </c>
      <c r="B98" s="1051"/>
      <c r="C98" s="1051"/>
      <c r="D98" s="1118"/>
      <c r="E98" s="1118"/>
      <c r="F98" s="1118"/>
      <c r="G98" s="1118"/>
      <c r="H98" s="1090"/>
    </row>
    <row r="99" spans="1:8" ht="14.25" customHeight="1">
      <c r="A99" s="1056" t="s">
        <v>143</v>
      </c>
      <c r="B99" s="1051"/>
      <c r="C99" s="1051"/>
      <c r="D99" s="1118"/>
      <c r="E99" s="1118"/>
      <c r="F99" s="1118"/>
      <c r="G99" s="1118"/>
      <c r="H99" s="1090"/>
    </row>
    <row r="100" spans="1:8" ht="14.25" customHeight="1">
      <c r="A100" s="1056" t="s">
        <v>144</v>
      </c>
      <c r="B100" s="1051"/>
      <c r="C100" s="1051"/>
      <c r="D100" s="1118"/>
      <c r="E100" s="1118"/>
      <c r="F100" s="1118"/>
      <c r="G100" s="1118"/>
      <c r="H100" s="1090"/>
    </row>
    <row r="101" spans="1:8" ht="14.25" customHeight="1">
      <c r="A101" s="1056" t="s">
        <v>145</v>
      </c>
      <c r="B101" s="1051"/>
      <c r="C101" s="1051"/>
      <c r="D101" s="1118"/>
      <c r="E101" s="1118"/>
      <c r="F101" s="1118"/>
      <c r="G101" s="1118"/>
      <c r="H101" s="1090"/>
    </row>
    <row r="102" spans="1:8" ht="14.25" customHeight="1">
      <c r="A102" s="1056"/>
      <c r="B102" s="1051"/>
      <c r="C102" s="1051"/>
      <c r="D102" s="1118"/>
      <c r="E102" s="1118"/>
      <c r="F102" s="1118"/>
      <c r="G102" s="1118"/>
      <c r="H102" s="1090"/>
    </row>
    <row r="103" spans="1:8" ht="14.25" customHeight="1">
      <c r="A103" s="1056"/>
      <c r="B103" s="1051"/>
      <c r="C103" s="1051"/>
      <c r="D103" s="1118"/>
      <c r="E103" s="1118"/>
      <c r="F103" s="1118"/>
      <c r="G103" s="1118"/>
      <c r="H103" s="1090"/>
    </row>
    <row r="104" spans="1:8" ht="14.25" customHeight="1">
      <c r="A104" s="1051"/>
      <c r="B104" s="1051"/>
      <c r="C104" s="1051"/>
      <c r="D104" s="1051"/>
      <c r="E104" s="1051"/>
      <c r="F104" s="1051"/>
      <c r="G104" s="1051"/>
    </row>
    <row r="105" spans="1:8" ht="14.25" customHeight="1">
      <c r="A105" s="1052" t="s">
        <v>179</v>
      </c>
      <c r="B105" s="1089" t="s">
        <v>135</v>
      </c>
      <c r="C105" s="1089" t="s">
        <v>136</v>
      </c>
      <c r="D105" s="1089" t="s">
        <v>137</v>
      </c>
      <c r="E105" s="1089" t="s">
        <v>138</v>
      </c>
      <c r="F105" s="1089" t="s">
        <v>139</v>
      </c>
      <c r="G105" s="1052" t="s">
        <v>149</v>
      </c>
      <c r="H105" s="1052" t="s">
        <v>157</v>
      </c>
    </row>
    <row r="106" spans="1:8" ht="14.25" customHeight="1">
      <c r="A106" s="1056" t="s">
        <v>239</v>
      </c>
      <c r="B106" s="1051"/>
      <c r="C106" s="1051"/>
      <c r="D106" s="1118"/>
      <c r="E106" s="1118"/>
      <c r="F106" s="1118"/>
      <c r="G106" s="1121"/>
      <c r="H106" s="1051"/>
    </row>
    <row r="107" spans="1:8" ht="14.25" customHeight="1">
      <c r="A107" s="1056" t="s">
        <v>140</v>
      </c>
      <c r="B107" s="1051"/>
      <c r="C107" s="1051"/>
      <c r="D107" s="1118"/>
      <c r="E107" s="1118"/>
      <c r="F107" s="1118"/>
      <c r="G107" s="1118"/>
      <c r="H107" s="1090"/>
    </row>
    <row r="108" spans="1:8" ht="14.25" customHeight="1">
      <c r="A108" s="1056" t="s">
        <v>240</v>
      </c>
      <c r="B108" s="1051"/>
      <c r="C108" s="1051"/>
      <c r="D108" s="1118"/>
      <c r="E108" s="1118"/>
      <c r="F108" s="1118"/>
      <c r="G108" s="1118"/>
      <c r="H108" s="1090"/>
    </row>
    <row r="109" spans="1:8" ht="14.25" customHeight="1">
      <c r="A109" s="1056" t="s">
        <v>141</v>
      </c>
      <c r="B109" s="1051"/>
      <c r="C109" s="1051"/>
      <c r="D109" s="1118"/>
      <c r="E109" s="1118"/>
      <c r="F109" s="1118"/>
      <c r="G109" s="1118"/>
      <c r="H109" s="1090"/>
    </row>
    <row r="110" spans="1:8" ht="14.25" customHeight="1">
      <c r="A110" s="1056" t="s">
        <v>241</v>
      </c>
      <c r="B110" s="1051"/>
      <c r="C110" s="1051"/>
      <c r="D110" s="1118"/>
      <c r="E110" s="1118"/>
      <c r="F110" s="1118"/>
      <c r="G110" s="1118"/>
      <c r="H110" s="1090"/>
    </row>
    <row r="111" spans="1:8" ht="14.25" customHeight="1">
      <c r="A111" s="1056" t="s">
        <v>142</v>
      </c>
      <c r="B111" s="1051"/>
      <c r="C111" s="1051"/>
      <c r="D111" s="1118"/>
      <c r="E111" s="1118"/>
      <c r="F111" s="1118"/>
      <c r="G111" s="1118"/>
      <c r="H111" s="1090"/>
    </row>
    <row r="112" spans="1:8" ht="14.25" customHeight="1">
      <c r="A112" s="1056" t="s">
        <v>242</v>
      </c>
      <c r="B112" s="1051"/>
      <c r="C112" s="1051"/>
      <c r="D112" s="1118"/>
      <c r="E112" s="1118"/>
      <c r="F112" s="1118"/>
      <c r="G112" s="1118"/>
      <c r="H112" s="1090"/>
    </row>
    <row r="113" spans="1:9" ht="14.25" customHeight="1">
      <c r="A113" s="1056" t="s">
        <v>143</v>
      </c>
      <c r="B113" s="1051"/>
      <c r="C113" s="1051"/>
      <c r="D113" s="1118"/>
      <c r="E113" s="1118"/>
      <c r="F113" s="1118"/>
      <c r="G113" s="1118"/>
      <c r="H113" s="1090"/>
    </row>
    <row r="114" spans="1:9" ht="14.25" customHeight="1">
      <c r="A114" s="1056" t="s">
        <v>144</v>
      </c>
      <c r="B114" s="1051"/>
      <c r="C114" s="1051"/>
      <c r="D114" s="1118"/>
      <c r="E114" s="1118"/>
      <c r="F114" s="1118"/>
      <c r="G114" s="1118"/>
      <c r="H114" s="1090"/>
    </row>
    <row r="115" spans="1:9" ht="14.25" customHeight="1">
      <c r="A115" s="1056" t="s">
        <v>145</v>
      </c>
      <c r="B115" s="1051"/>
      <c r="C115" s="1051"/>
      <c r="D115" s="1051"/>
      <c r="E115" s="1051"/>
      <c r="F115" s="1051"/>
      <c r="G115" s="1051"/>
    </row>
    <row r="116" spans="1:9" ht="14.25" customHeight="1">
      <c r="A116" s="1056" t="s">
        <v>146</v>
      </c>
      <c r="B116" s="1122"/>
      <c r="C116" s="1122"/>
      <c r="D116" s="1122"/>
      <c r="E116" s="1122"/>
      <c r="F116" s="1122"/>
      <c r="G116" s="1122"/>
      <c r="H116" s="1123"/>
      <c r="I116" s="1123"/>
    </row>
    <row r="117" spans="1:9" ht="14.25" customHeight="1">
      <c r="A117" s="1056" t="s">
        <v>147</v>
      </c>
      <c r="B117" s="1121"/>
      <c r="C117" s="1121"/>
      <c r="D117" s="1121"/>
      <c r="E117" s="1121"/>
      <c r="F117" s="1121"/>
      <c r="G117" s="1121"/>
      <c r="H117" s="1115"/>
      <c r="I117" s="1115"/>
    </row>
    <row r="118" spans="1:9" ht="14.25" customHeight="1">
      <c r="A118" s="1051"/>
      <c r="B118" s="1051"/>
      <c r="C118" s="1051"/>
      <c r="D118" s="1051"/>
      <c r="E118" s="1051"/>
      <c r="F118" s="1051"/>
      <c r="G118" s="1051"/>
    </row>
    <row r="119" spans="1:9" ht="14.25" customHeight="1">
      <c r="A119" s="1051"/>
      <c r="B119" s="1051"/>
      <c r="C119" s="1051"/>
      <c r="D119" s="1051"/>
      <c r="E119" s="1051"/>
      <c r="F119" s="1051"/>
      <c r="G119" s="1051"/>
    </row>
    <row r="120" spans="1:9" ht="14.25" customHeight="1">
      <c r="A120" s="1051"/>
      <c r="B120" s="1051"/>
      <c r="C120" s="1051"/>
      <c r="D120" s="1051"/>
      <c r="E120" s="1051"/>
      <c r="F120" s="1051"/>
      <c r="G120" s="1051"/>
    </row>
    <row r="129" spans="1:9" ht="14.25" customHeight="1">
      <c r="A129" s="1124"/>
      <c r="B129" s="1115"/>
      <c r="C129" s="1115"/>
      <c r="D129" s="1115"/>
      <c r="E129" s="1115"/>
      <c r="F129" s="1115"/>
      <c r="G129" s="1115"/>
      <c r="H129" s="1115"/>
      <c r="I129" s="1115"/>
    </row>
    <row r="130" spans="1:9" ht="14.25" customHeight="1">
      <c r="A130" s="1123"/>
      <c r="B130" s="1125"/>
      <c r="C130" s="1125"/>
      <c r="D130" s="1125"/>
      <c r="E130" s="1125"/>
      <c r="F130" s="1125"/>
      <c r="G130" s="1125"/>
      <c r="H130" s="1123"/>
      <c r="I130" s="1123"/>
    </row>
    <row r="131" spans="1:9" ht="14.25" customHeight="1">
      <c r="A131" s="1125"/>
      <c r="B131" s="1115"/>
      <c r="C131" s="1115"/>
      <c r="D131" s="1126"/>
      <c r="E131" s="1126"/>
      <c r="F131" s="1126"/>
      <c r="G131" s="1126"/>
      <c r="H131" s="1115"/>
      <c r="I131" s="1115"/>
    </row>
    <row r="132" spans="1:9" ht="14.25" customHeight="1">
      <c r="A132" s="1125"/>
      <c r="B132" s="1115"/>
      <c r="C132" s="1115"/>
      <c r="D132" s="1126"/>
      <c r="E132" s="1126"/>
      <c r="F132" s="1126"/>
      <c r="G132" s="1126"/>
      <c r="H132" s="1115"/>
      <c r="I132" s="1115"/>
    </row>
    <row r="133" spans="1:9" ht="14.25" customHeight="1">
      <c r="A133" s="1125"/>
      <c r="B133" s="1115"/>
      <c r="C133" s="1115"/>
      <c r="D133" s="1126"/>
      <c r="E133" s="1126"/>
      <c r="F133" s="1126"/>
      <c r="G133" s="1126"/>
      <c r="H133" s="1115"/>
      <c r="I133" s="1115"/>
    </row>
    <row r="134" spans="1:9" ht="14.25" customHeight="1">
      <c r="A134" s="1125"/>
      <c r="B134" s="1115"/>
      <c r="C134" s="1115"/>
      <c r="D134" s="1126"/>
      <c r="E134" s="1126"/>
      <c r="F134" s="1126"/>
      <c r="G134" s="1126"/>
      <c r="H134" s="1115"/>
      <c r="I134" s="1115"/>
    </row>
    <row r="135" spans="1:9" ht="14.25" customHeight="1">
      <c r="A135" s="1125"/>
      <c r="B135" s="1115"/>
      <c r="C135" s="1115"/>
      <c r="D135" s="1126"/>
      <c r="E135" s="1126"/>
      <c r="F135" s="1126"/>
      <c r="G135" s="1126"/>
      <c r="H135" s="1115"/>
      <c r="I135" s="1115"/>
    </row>
    <row r="136" spans="1:9" ht="14.25" customHeight="1">
      <c r="A136" s="1125"/>
      <c r="B136" s="1115"/>
      <c r="C136" s="1115"/>
      <c r="D136" s="1126"/>
      <c r="E136" s="1126"/>
      <c r="F136" s="1126"/>
      <c r="G136" s="1126"/>
      <c r="H136" s="1115"/>
      <c r="I136" s="1115"/>
    </row>
    <row r="137" spans="1:9" ht="14.25" customHeight="1">
      <c r="A137" s="1125"/>
      <c r="B137" s="1115"/>
      <c r="C137" s="1115"/>
      <c r="D137" s="1126"/>
      <c r="E137" s="1126"/>
      <c r="F137" s="1126"/>
      <c r="G137" s="1126"/>
      <c r="H137" s="1115"/>
      <c r="I137" s="1115"/>
    </row>
    <row r="138" spans="1:9" ht="14.25" customHeight="1">
      <c r="A138" s="1125"/>
      <c r="B138" s="1115"/>
      <c r="C138" s="1115"/>
      <c r="D138" s="1126"/>
      <c r="E138" s="1126"/>
      <c r="F138" s="1126"/>
      <c r="G138" s="1126"/>
      <c r="H138" s="1115"/>
      <c r="I138" s="1115"/>
    </row>
    <row r="139" spans="1:9" ht="14.25" customHeight="1">
      <c r="A139" s="1125"/>
      <c r="B139" s="1115"/>
      <c r="C139" s="1115"/>
      <c r="D139" s="1126"/>
      <c r="E139" s="1126"/>
      <c r="F139" s="1126"/>
      <c r="G139" s="1126"/>
      <c r="H139" s="1115"/>
      <c r="I139" s="1115"/>
    </row>
    <row r="140" spans="1:9" ht="14.25" customHeight="1">
      <c r="A140" s="1125"/>
      <c r="B140" s="1115"/>
      <c r="C140" s="1115"/>
      <c r="D140" s="1115"/>
      <c r="E140" s="1115"/>
      <c r="F140" s="1115"/>
      <c r="G140" s="1115"/>
      <c r="H140" s="1115"/>
      <c r="I140" s="1115"/>
    </row>
    <row r="141" spans="1:9" ht="14.25" customHeight="1">
      <c r="A141" s="3249"/>
      <c r="B141" s="3249"/>
      <c r="C141" s="3249"/>
      <c r="D141" s="3249"/>
      <c r="E141" s="3249"/>
      <c r="F141" s="3249"/>
      <c r="G141" s="3249"/>
      <c r="H141" s="1115"/>
      <c r="I141" s="1115"/>
    </row>
    <row r="142" spans="1:9" ht="14.25" customHeight="1">
      <c r="A142" s="3249"/>
      <c r="B142" s="3249"/>
      <c r="C142" s="1127"/>
      <c r="D142" s="1128"/>
      <c r="E142" s="1128"/>
      <c r="F142" s="1128"/>
      <c r="G142" s="1128"/>
      <c r="H142" s="1115"/>
      <c r="I142" s="1115"/>
    </row>
    <row r="143" spans="1:9" ht="14.25" customHeight="1">
      <c r="A143" s="1127"/>
      <c r="B143" s="1127"/>
      <c r="C143" s="1127"/>
      <c r="D143" s="1128"/>
      <c r="E143" s="1128"/>
      <c r="F143" s="1128"/>
      <c r="G143" s="1128"/>
      <c r="H143" s="1115"/>
      <c r="I143" s="1115"/>
    </row>
  </sheetData>
  <mergeCells count="28">
    <mergeCell ref="A1:G1"/>
    <mergeCell ref="A33:H33"/>
    <mergeCell ref="A36:B36"/>
    <mergeCell ref="E36:F36"/>
    <mergeCell ref="C36:D36"/>
    <mergeCell ref="G36:H36"/>
    <mergeCell ref="W1:Y1"/>
    <mergeCell ref="AB2:AE2"/>
    <mergeCell ref="X2:Z2"/>
    <mergeCell ref="X37:AE37"/>
    <mergeCell ref="P2:Q2"/>
    <mergeCell ref="S11:T11"/>
    <mergeCell ref="N17:R17"/>
    <mergeCell ref="N18:R18"/>
    <mergeCell ref="W36:Y36"/>
    <mergeCell ref="X45:AE45"/>
    <mergeCell ref="X46:AE46"/>
    <mergeCell ref="X38:AE38"/>
    <mergeCell ref="X39:AE39"/>
    <mergeCell ref="X43:AE43"/>
    <mergeCell ref="X44:AE44"/>
    <mergeCell ref="G43:H43"/>
    <mergeCell ref="E43:F43"/>
    <mergeCell ref="A142:B142"/>
    <mergeCell ref="A141:G141"/>
    <mergeCell ref="B57:G57"/>
    <mergeCell ref="G48:H48"/>
    <mergeCell ref="E48:F48"/>
  </mergeCells>
  <pageMargins left="1" right="0.25" top="0.49" bottom="0.75" header="0.3" footer="0.3"/>
  <pageSetup orientation="portrait" horizontalDpi="360" verticalDpi="36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  <pageSetUpPr fitToPage="1"/>
  </sheetPr>
  <dimension ref="A1:Y102"/>
  <sheetViews>
    <sheetView topLeftCell="A72" workbookViewId="0">
      <selection activeCell="A81" sqref="A81:I101"/>
    </sheetView>
  </sheetViews>
  <sheetFormatPr defaultColWidth="8.54296875" defaultRowHeight="14"/>
  <cols>
    <col min="1" max="1" width="17.08984375" style="1130" customWidth="1"/>
    <col min="2" max="2" width="11.7265625" style="1130" customWidth="1"/>
    <col min="3" max="3" width="10.08984375" style="1130" bestFit="1" customWidth="1"/>
    <col min="4" max="4" width="11" style="1130" customWidth="1"/>
    <col min="5" max="5" width="8.6328125" style="1130" bestFit="1" customWidth="1"/>
    <col min="6" max="6" width="9.81640625" style="1130" bestFit="1" customWidth="1"/>
    <col min="7" max="7" width="9.26953125" style="1130" customWidth="1"/>
    <col min="8" max="8" width="8.453125" style="1130" customWidth="1"/>
    <col min="9" max="9" width="8.26953125" style="1130" bestFit="1" customWidth="1"/>
    <col min="10" max="10" width="7.453125" style="1130" customWidth="1"/>
    <col min="11" max="13" width="8.54296875" style="1130"/>
    <col min="14" max="14" width="12.1796875" style="1130" customWidth="1"/>
    <col min="15" max="15" width="12.26953125" style="1130" customWidth="1"/>
    <col min="16" max="16" width="7.453125" style="1130" customWidth="1"/>
    <col min="17" max="17" width="5.1796875" style="1130" bestFit="1" customWidth="1"/>
    <col min="18" max="18" width="5.453125" style="1130" bestFit="1" customWidth="1"/>
    <col min="19" max="19" width="7.08984375" style="1130" customWidth="1"/>
    <col min="20" max="20" width="5.1796875" style="1130" bestFit="1" customWidth="1"/>
    <col min="21" max="21" width="5.453125" style="1130" bestFit="1" customWidth="1"/>
    <col min="22" max="22" width="7.1796875" style="1130" customWidth="1"/>
    <col min="23" max="23" width="5.1796875" style="1130" bestFit="1" customWidth="1"/>
    <col min="24" max="24" width="5.453125" style="1130" bestFit="1" customWidth="1"/>
    <col min="25" max="25" width="7.1796875" style="1130" customWidth="1"/>
    <col min="26" max="16384" width="8.54296875" style="1130"/>
  </cols>
  <sheetData>
    <row r="1" spans="1:12">
      <c r="A1" s="1129"/>
      <c r="B1" s="3267" t="s">
        <v>1455</v>
      </c>
      <c r="C1" s="3268"/>
      <c r="D1" s="3268"/>
      <c r="E1" s="3268"/>
      <c r="F1" s="3268"/>
      <c r="G1" s="3268"/>
      <c r="H1" s="3268"/>
      <c r="I1" s="3269"/>
    </row>
    <row r="2" spans="1:12">
      <c r="A2" s="1129" t="s">
        <v>931</v>
      </c>
      <c r="B2" s="3274" t="s">
        <v>1451</v>
      </c>
      <c r="C2" s="3275"/>
      <c r="D2" s="3275"/>
      <c r="E2" s="3275"/>
      <c r="F2" s="3275"/>
      <c r="G2" s="3275"/>
      <c r="H2" s="3275"/>
      <c r="I2" s="3275"/>
    </row>
    <row r="3" spans="1:12">
      <c r="A3" s="1129" t="s">
        <v>259</v>
      </c>
      <c r="B3" s="1131" t="s">
        <v>919</v>
      </c>
      <c r="C3" s="1131"/>
      <c r="D3" s="1131" t="s">
        <v>923</v>
      </c>
      <c r="E3" s="1131"/>
      <c r="F3" s="3282"/>
      <c r="G3" s="3283"/>
      <c r="H3" s="3283"/>
      <c r="I3" s="3284"/>
    </row>
    <row r="4" spans="1:12">
      <c r="A4" s="1129" t="s">
        <v>133</v>
      </c>
      <c r="B4" s="3273">
        <v>43409</v>
      </c>
      <c r="C4" s="3273"/>
      <c r="D4" s="3270"/>
      <c r="E4" s="3271"/>
      <c r="F4" s="3271"/>
      <c r="G4" s="3271"/>
      <c r="H4" s="3271"/>
      <c r="I4" s="3272"/>
    </row>
    <row r="5" spans="1:12">
      <c r="I5" s="1867"/>
      <c r="J5" s="1132"/>
    </row>
    <row r="6" spans="1:12" ht="39">
      <c r="A6" s="1133" t="s">
        <v>9</v>
      </c>
      <c r="B6" s="1134" t="s">
        <v>905</v>
      </c>
      <c r="C6" s="1134" t="s">
        <v>900</v>
      </c>
      <c r="D6" s="1134" t="s">
        <v>918</v>
      </c>
      <c r="E6" s="1134" t="s">
        <v>897</v>
      </c>
      <c r="F6" s="1134" t="s">
        <v>895</v>
      </c>
      <c r="G6" s="1134" t="s">
        <v>1230</v>
      </c>
      <c r="H6" s="1134" t="s">
        <v>1228</v>
      </c>
      <c r="I6" s="1134" t="s">
        <v>896</v>
      </c>
      <c r="J6" s="1338" t="s">
        <v>1402</v>
      </c>
      <c r="K6" s="1134" t="s">
        <v>762</v>
      </c>
    </row>
    <row r="7" spans="1:12">
      <c r="A7" s="1133" t="s">
        <v>135</v>
      </c>
      <c r="B7" s="1135"/>
      <c r="C7" s="1135"/>
      <c r="D7" s="1135"/>
      <c r="E7" s="1135"/>
      <c r="F7" s="1135"/>
      <c r="G7" s="1135"/>
      <c r="H7" s="1135"/>
      <c r="I7" s="1135"/>
      <c r="J7" s="1135"/>
      <c r="K7" s="1135"/>
    </row>
    <row r="8" spans="1:12">
      <c r="A8" s="1133" t="s">
        <v>321</v>
      </c>
      <c r="B8" s="1135"/>
      <c r="C8" s="1135"/>
      <c r="D8" s="1135"/>
      <c r="E8" s="1135"/>
      <c r="F8" s="1135"/>
      <c r="G8" s="1135"/>
      <c r="H8" s="1135"/>
      <c r="I8" s="1135"/>
      <c r="J8" s="1863"/>
      <c r="K8" s="1863"/>
    </row>
    <row r="9" spans="1:12">
      <c r="A9" s="1133" t="s">
        <v>898</v>
      </c>
      <c r="B9" s="1135"/>
      <c r="C9" s="1135"/>
      <c r="D9" s="1135"/>
      <c r="E9" s="1135"/>
      <c r="F9" s="1135"/>
      <c r="G9" s="1135"/>
      <c r="H9" s="1135"/>
      <c r="I9" s="1135"/>
      <c r="J9" s="1138"/>
      <c r="K9" s="1138"/>
    </row>
    <row r="10" spans="1:12">
      <c r="A10" s="1136" t="s">
        <v>899</v>
      </c>
      <c r="B10" s="1135"/>
      <c r="C10" s="1135"/>
      <c r="D10" s="1135"/>
      <c r="E10" s="1135"/>
      <c r="F10" s="1135"/>
      <c r="G10" s="1135"/>
      <c r="H10" s="1135"/>
      <c r="I10" s="1135"/>
      <c r="J10" s="1865"/>
      <c r="K10" s="1865"/>
    </row>
    <row r="11" spans="1:12">
      <c r="A11" s="1137" t="s">
        <v>913</v>
      </c>
      <c r="B11" s="1138">
        <v>0.15</v>
      </c>
      <c r="C11" s="1138">
        <v>0.2</v>
      </c>
      <c r="D11" s="1138">
        <v>0.15</v>
      </c>
      <c r="E11" s="1138">
        <v>0.35</v>
      </c>
      <c r="F11" s="1138">
        <v>0.4</v>
      </c>
      <c r="G11" s="1138">
        <v>0.4</v>
      </c>
      <c r="H11" s="1138">
        <v>0.4</v>
      </c>
      <c r="I11" s="1138">
        <v>0.3</v>
      </c>
      <c r="J11" s="1138">
        <v>0.45</v>
      </c>
      <c r="K11" s="1138">
        <v>0.45</v>
      </c>
    </row>
    <row r="12" spans="1:12">
      <c r="A12" s="131" t="s">
        <v>1765</v>
      </c>
      <c r="B12" s="1135"/>
      <c r="C12" s="1135"/>
      <c r="D12" s="1135"/>
      <c r="E12" s="1135"/>
      <c r="F12" s="1135"/>
      <c r="G12" s="1135"/>
      <c r="H12" s="1135"/>
      <c r="I12" s="1135"/>
      <c r="J12" s="1135"/>
      <c r="K12" s="1135"/>
      <c r="L12" s="1135"/>
    </row>
    <row r="13" spans="1:12">
      <c r="A13" s="131" t="s">
        <v>1766</v>
      </c>
      <c r="B13" s="1135"/>
      <c r="C13" s="1135"/>
      <c r="D13" s="1135"/>
      <c r="E13" s="1135"/>
      <c r="F13" s="1135"/>
      <c r="G13" s="1135"/>
      <c r="H13" s="1135"/>
      <c r="I13" s="1135"/>
      <c r="J13" s="1147"/>
      <c r="K13" s="1135"/>
      <c r="L13" s="1135"/>
    </row>
    <row r="14" spans="1:12">
      <c r="A14" s="131" t="s">
        <v>139</v>
      </c>
      <c r="B14" s="1135"/>
      <c r="C14" s="1135"/>
      <c r="D14" s="1135"/>
      <c r="E14" s="1135"/>
      <c r="F14" s="1135"/>
      <c r="G14" s="1135"/>
      <c r="H14" s="1135"/>
      <c r="I14" s="1135"/>
      <c r="J14" s="1143"/>
      <c r="K14" s="1135"/>
      <c r="L14" s="1135"/>
    </row>
    <row r="15" spans="1:12">
      <c r="A15" s="1133" t="s">
        <v>137</v>
      </c>
      <c r="B15" s="1135"/>
      <c r="C15" s="1135"/>
      <c r="D15" s="1135"/>
      <c r="E15" s="1135"/>
      <c r="F15" s="1135"/>
      <c r="G15" s="1135"/>
      <c r="H15" s="1135"/>
      <c r="I15" s="1135"/>
      <c r="J15" s="1147"/>
      <c r="K15" s="1135"/>
      <c r="L15" s="1135"/>
    </row>
    <row r="16" spans="1:12">
      <c r="A16" s="1133" t="s">
        <v>136</v>
      </c>
      <c r="B16" s="1135"/>
      <c r="C16" s="1135"/>
      <c r="D16" s="1135"/>
      <c r="E16" s="1135"/>
      <c r="F16" s="1135"/>
      <c r="G16" s="1135"/>
      <c r="H16" s="1135"/>
      <c r="I16" s="1135"/>
      <c r="J16" s="1135"/>
      <c r="K16" s="1135"/>
      <c r="L16" s="1135"/>
    </row>
    <row r="17" spans="1:15">
      <c r="A17" s="1133" t="s">
        <v>250</v>
      </c>
      <c r="B17" s="1135"/>
      <c r="C17" s="1135"/>
      <c r="D17" s="1135"/>
      <c r="E17" s="1135"/>
      <c r="F17" s="1135"/>
      <c r="G17" s="1135"/>
      <c r="H17" s="1135"/>
      <c r="I17" s="1135"/>
      <c r="J17" s="1143"/>
      <c r="K17" s="1135"/>
      <c r="L17" s="1135"/>
    </row>
    <row r="18" spans="1:15" ht="15.5">
      <c r="A18" s="1136" t="s">
        <v>257</v>
      </c>
      <c r="B18" s="1135"/>
      <c r="C18" s="1135"/>
      <c r="D18" s="1135"/>
      <c r="E18" s="1135"/>
      <c r="F18" s="1135"/>
      <c r="G18" s="1135"/>
      <c r="H18" s="1135"/>
      <c r="I18" s="1135"/>
      <c r="J18" s="1135"/>
      <c r="K18" s="1139"/>
      <c r="L18" s="1135"/>
    </row>
    <row r="19" spans="1:15" ht="15.5">
      <c r="A19" s="1136" t="s">
        <v>152</v>
      </c>
      <c r="B19" s="1135"/>
      <c r="C19" s="1135"/>
      <c r="D19" s="1135"/>
      <c r="E19" s="1135"/>
      <c r="F19" s="1135"/>
      <c r="G19" s="1135"/>
      <c r="H19" s="1135"/>
      <c r="I19" s="1135"/>
      <c r="J19" s="1135"/>
      <c r="K19" s="1139"/>
      <c r="L19" s="1135"/>
    </row>
    <row r="20" spans="1:15" ht="15.5">
      <c r="A20" s="1136" t="s">
        <v>893</v>
      </c>
      <c r="B20" s="1135"/>
      <c r="C20" s="1135"/>
      <c r="D20" s="1135"/>
      <c r="E20" s="1135"/>
      <c r="F20" s="1135"/>
      <c r="G20" s="1135"/>
      <c r="H20" s="1135"/>
      <c r="I20" s="1135"/>
      <c r="J20" s="1135"/>
      <c r="K20" s="1139"/>
      <c r="L20" s="1135"/>
    </row>
    <row r="21" spans="1:15" ht="15.5">
      <c r="B21" s="1135"/>
      <c r="C21" s="1135"/>
      <c r="D21" s="1873"/>
      <c r="E21" s="1873">
        <v>43358</v>
      </c>
      <c r="F21" s="1869"/>
      <c r="G21" s="1135"/>
      <c r="H21" s="1135"/>
      <c r="I21" s="1135"/>
      <c r="J21" s="1135"/>
      <c r="K21" s="1139"/>
      <c r="L21" s="1135"/>
    </row>
    <row r="22" spans="1:15" ht="26">
      <c r="A22" s="1133" t="s">
        <v>9</v>
      </c>
      <c r="B22" s="1134" t="s">
        <v>1229</v>
      </c>
      <c r="C22" s="1134" t="s">
        <v>901</v>
      </c>
      <c r="D22" s="1140" t="s">
        <v>902</v>
      </c>
      <c r="E22" s="1338" t="s">
        <v>1401</v>
      </c>
      <c r="F22" s="1338" t="s">
        <v>910</v>
      </c>
      <c r="G22" s="1134" t="s">
        <v>903</v>
      </c>
      <c r="H22" s="1134" t="s">
        <v>904</v>
      </c>
      <c r="I22" s="1135"/>
      <c r="J22" s="1135"/>
      <c r="K22" s="1135"/>
      <c r="L22" s="1141"/>
      <c r="M22" s="1142"/>
      <c r="N22" s="1141"/>
      <c r="O22" s="1141"/>
    </row>
    <row r="23" spans="1:15" ht="15.5">
      <c r="A23" s="1133" t="s">
        <v>135</v>
      </c>
      <c r="B23" s="1135"/>
      <c r="C23" s="1135"/>
      <c r="D23" s="1864">
        <v>0.38541666666666669</v>
      </c>
      <c r="E23" s="1864">
        <v>0.39583333333333331</v>
      </c>
      <c r="F23" s="1864">
        <v>0.40277777777777773</v>
      </c>
      <c r="G23" s="1135"/>
      <c r="H23" s="1135"/>
      <c r="I23" s="1135"/>
      <c r="J23" s="1135"/>
      <c r="K23" s="1135"/>
      <c r="L23" s="1135"/>
      <c r="M23" s="1135"/>
      <c r="N23" s="1139"/>
      <c r="O23" s="1135"/>
    </row>
    <row r="24" spans="1:15" ht="15.5">
      <c r="A24" s="1133" t="s">
        <v>321</v>
      </c>
      <c r="B24" s="1135"/>
      <c r="C24" s="1135"/>
      <c r="D24" s="1863" t="s">
        <v>871</v>
      </c>
      <c r="E24" s="1863" t="s">
        <v>871</v>
      </c>
      <c r="F24" s="1863" t="s">
        <v>871</v>
      </c>
      <c r="G24" s="1135"/>
      <c r="H24" s="1135"/>
      <c r="I24" s="1135"/>
      <c r="J24" s="1135"/>
      <c r="K24" s="1135"/>
      <c r="L24" s="1135"/>
      <c r="M24" s="1135"/>
      <c r="N24" s="1139"/>
      <c r="O24" s="1135"/>
    </row>
    <row r="25" spans="1:15" ht="15.5">
      <c r="A25" s="1133" t="s">
        <v>898</v>
      </c>
      <c r="B25" s="1135"/>
      <c r="C25" s="1135"/>
      <c r="D25" s="1138">
        <v>0.3</v>
      </c>
      <c r="E25" s="1138">
        <v>0.4</v>
      </c>
      <c r="F25" s="1138">
        <v>0.15</v>
      </c>
      <c r="G25" s="1135"/>
      <c r="H25" s="1135"/>
      <c r="I25" s="1135"/>
      <c r="J25" s="1135"/>
      <c r="K25" s="1135"/>
      <c r="L25" s="1135"/>
      <c r="M25" s="1135"/>
      <c r="N25" s="1139"/>
      <c r="O25" s="1135"/>
    </row>
    <row r="26" spans="1:15" ht="15.5">
      <c r="A26" s="1136" t="s">
        <v>899</v>
      </c>
      <c r="B26" s="1135"/>
      <c r="C26" s="1135"/>
      <c r="D26" s="1143">
        <v>4</v>
      </c>
      <c r="E26" s="1865">
        <v>5</v>
      </c>
      <c r="F26" s="1135">
        <v>2</v>
      </c>
      <c r="G26" s="1135"/>
      <c r="H26" s="1135"/>
      <c r="I26" s="1135"/>
      <c r="J26" s="1135"/>
      <c r="K26" s="1135"/>
      <c r="L26" s="1135"/>
      <c r="M26" s="1135"/>
      <c r="N26" s="1139"/>
      <c r="O26" s="1135"/>
    </row>
    <row r="27" spans="1:15" ht="15.5">
      <c r="A27" s="1137" t="s">
        <v>913</v>
      </c>
      <c r="B27" s="1138">
        <v>0.6</v>
      </c>
      <c r="C27" s="1138">
        <v>0.4</v>
      </c>
      <c r="D27" s="1138">
        <v>0.4</v>
      </c>
      <c r="E27" s="1138">
        <v>0.15</v>
      </c>
      <c r="F27" s="1138">
        <v>0.35</v>
      </c>
      <c r="G27" s="1138">
        <v>0.15</v>
      </c>
      <c r="H27" s="1138">
        <v>0.45</v>
      </c>
      <c r="I27" s="1135"/>
      <c r="J27" s="1138"/>
      <c r="K27" s="1138"/>
      <c r="L27" s="1144"/>
      <c r="M27" s="1138"/>
      <c r="N27" s="1145"/>
      <c r="O27" s="1138"/>
    </row>
    <row r="28" spans="1:15">
      <c r="A28" s="131" t="s">
        <v>1765</v>
      </c>
      <c r="B28" s="1138"/>
      <c r="C28" s="1138"/>
      <c r="D28" s="1146">
        <v>1.3</v>
      </c>
      <c r="E28" s="1143">
        <v>2.1</v>
      </c>
      <c r="F28" s="1870">
        <v>3.9</v>
      </c>
      <c r="G28" s="1138"/>
      <c r="H28" s="1138"/>
      <c r="I28" s="1138"/>
      <c r="J28" s="1138"/>
      <c r="K28" s="1138"/>
      <c r="L28" s="1135"/>
    </row>
    <row r="29" spans="1:15">
      <c r="A29" s="131" t="s">
        <v>1766</v>
      </c>
      <c r="B29" s="1135"/>
      <c r="C29" s="1135"/>
      <c r="D29" s="1147">
        <v>8.7799999999999994</v>
      </c>
      <c r="E29" s="1147">
        <v>8.1199999999999992</v>
      </c>
      <c r="F29" s="1143">
        <v>8.42</v>
      </c>
      <c r="G29" s="1135"/>
      <c r="H29" s="1135"/>
      <c r="I29" s="1135"/>
      <c r="J29" s="1135"/>
      <c r="K29" s="1135"/>
      <c r="L29" s="1135"/>
    </row>
    <row r="30" spans="1:15">
      <c r="A30" s="131" t="s">
        <v>139</v>
      </c>
      <c r="B30" s="1135"/>
      <c r="C30" s="1135"/>
      <c r="D30" s="1143">
        <v>0.2</v>
      </c>
      <c r="E30" s="1143">
        <v>0.7</v>
      </c>
      <c r="F30" s="1147">
        <v>0.5</v>
      </c>
      <c r="G30" s="1135"/>
      <c r="H30" s="1135"/>
      <c r="I30" s="1135"/>
      <c r="J30" s="1135"/>
      <c r="K30" s="1135"/>
      <c r="L30" s="1135"/>
    </row>
    <row r="31" spans="1:15">
      <c r="A31" s="1133" t="s">
        <v>137</v>
      </c>
      <c r="B31" s="1135"/>
      <c r="C31" s="1135"/>
      <c r="D31" s="1147">
        <v>11.97</v>
      </c>
      <c r="E31" s="1147">
        <v>11.66</v>
      </c>
      <c r="F31" s="1147">
        <v>11.5</v>
      </c>
      <c r="G31" s="1135"/>
      <c r="H31" s="1135"/>
      <c r="I31" s="1135"/>
      <c r="J31" s="1135"/>
      <c r="K31" s="1135"/>
      <c r="L31" s="1135"/>
    </row>
    <row r="32" spans="1:15">
      <c r="A32" s="1133" t="s">
        <v>136</v>
      </c>
      <c r="B32" s="1135"/>
      <c r="C32" s="1135"/>
      <c r="D32" s="1143">
        <v>181.9</v>
      </c>
      <c r="E32" s="1135">
        <v>1726</v>
      </c>
      <c r="F32" s="1143">
        <v>289.7</v>
      </c>
      <c r="G32" s="1135"/>
      <c r="H32" s="1135"/>
      <c r="I32" s="1135"/>
      <c r="J32" s="1135"/>
      <c r="K32" s="1135"/>
      <c r="L32" s="1135"/>
    </row>
    <row r="33" spans="1:12">
      <c r="A33" s="1133" t="s">
        <v>250</v>
      </c>
      <c r="B33" s="1143"/>
      <c r="C33" s="1135"/>
      <c r="D33" s="1143">
        <v>14</v>
      </c>
      <c r="E33" s="1147">
        <v>0.36</v>
      </c>
      <c r="F33" s="1143">
        <v>14.5</v>
      </c>
      <c r="G33" s="1135"/>
      <c r="H33" s="1135"/>
      <c r="I33" s="1135"/>
      <c r="J33" s="1135"/>
      <c r="K33" s="1135"/>
      <c r="L33" s="1135"/>
    </row>
    <row r="34" spans="1:12">
      <c r="A34" s="1136" t="s">
        <v>257</v>
      </c>
      <c r="B34" s="1135"/>
      <c r="C34" s="1135"/>
      <c r="D34" s="1135"/>
      <c r="E34" s="1135"/>
      <c r="F34" s="1135"/>
      <c r="G34" s="1135"/>
      <c r="H34" s="1135"/>
      <c r="I34" s="1135"/>
      <c r="J34" s="1135"/>
      <c r="K34" s="1135"/>
      <c r="L34" s="1135"/>
    </row>
    <row r="35" spans="1:12">
      <c r="A35" s="1136" t="s">
        <v>152</v>
      </c>
      <c r="B35" s="1135"/>
      <c r="C35" s="1135"/>
      <c r="D35" s="1135"/>
      <c r="E35" s="1135"/>
      <c r="F35" s="1135"/>
      <c r="G35" s="1135"/>
      <c r="H35" s="1135"/>
      <c r="I35" s="1135"/>
      <c r="J35" s="1135"/>
      <c r="K35" s="1135"/>
      <c r="L35" s="1135"/>
    </row>
    <row r="36" spans="1:12">
      <c r="A36" s="1136" t="s">
        <v>893</v>
      </c>
      <c r="B36" s="1135"/>
      <c r="C36" s="1135"/>
      <c r="D36" s="1135"/>
      <c r="E36" s="1135"/>
      <c r="F36" s="1135"/>
      <c r="G36" s="1135"/>
      <c r="H36" s="1135"/>
      <c r="I36" s="1135"/>
      <c r="J36" s="1135"/>
      <c r="K36" s="1135"/>
      <c r="L36" s="1135"/>
    </row>
    <row r="38" spans="1:12">
      <c r="A38" s="1148" t="s">
        <v>474</v>
      </c>
      <c r="B38" s="1143">
        <v>7.5</v>
      </c>
      <c r="C38" s="1149" t="s">
        <v>906</v>
      </c>
      <c r="D38" s="1143">
        <v>3.5</v>
      </c>
      <c r="E38" s="1149" t="s">
        <v>914</v>
      </c>
      <c r="F38" s="1135"/>
      <c r="H38" s="1866"/>
    </row>
    <row r="39" spans="1:12">
      <c r="A39" s="1148" t="s">
        <v>475</v>
      </c>
      <c r="B39" s="1143">
        <v>11</v>
      </c>
      <c r="C39" s="1150" t="s">
        <v>741</v>
      </c>
      <c r="D39" s="1147">
        <v>0.4</v>
      </c>
      <c r="E39" s="1149" t="s">
        <v>915</v>
      </c>
      <c r="F39" s="1135"/>
    </row>
    <row r="40" spans="1:12">
      <c r="A40" s="1148" t="s">
        <v>462</v>
      </c>
      <c r="B40" s="1143">
        <v>14.2</v>
      </c>
      <c r="C40" s="1151" t="s">
        <v>745</v>
      </c>
      <c r="D40" s="1863"/>
      <c r="E40" s="1149" t="s">
        <v>916</v>
      </c>
      <c r="F40" s="1135"/>
    </row>
    <row r="41" spans="1:12">
      <c r="A41" s="1148" t="s">
        <v>777</v>
      </c>
      <c r="B41" s="1143">
        <v>2.4</v>
      </c>
      <c r="C41" s="1150" t="s">
        <v>740</v>
      </c>
      <c r="D41" s="1135">
        <v>11</v>
      </c>
      <c r="E41" s="1149" t="s">
        <v>917</v>
      </c>
      <c r="F41" s="1135"/>
    </row>
    <row r="42" spans="1:12">
      <c r="A42" s="1874" t="s">
        <v>476</v>
      </c>
      <c r="B42" s="1143">
        <v>10.6</v>
      </c>
      <c r="C42" s="1875" t="s">
        <v>1404</v>
      </c>
      <c r="D42" s="1152">
        <v>3</v>
      </c>
      <c r="E42" s="1895" t="s">
        <v>1444</v>
      </c>
      <c r="F42" s="1152"/>
    </row>
    <row r="43" spans="1:12">
      <c r="A43" s="587" t="s">
        <v>1403</v>
      </c>
      <c r="B43" s="1135">
        <v>1541</v>
      </c>
      <c r="C43" s="1900" t="s">
        <v>1453</v>
      </c>
      <c r="D43" s="1135">
        <v>1</v>
      </c>
      <c r="E43" s="1900" t="s">
        <v>1452</v>
      </c>
      <c r="F43" s="1135"/>
    </row>
    <row r="49" spans="1:25">
      <c r="N49" s="1153" t="s">
        <v>133</v>
      </c>
      <c r="O49" s="1154"/>
      <c r="P49" s="1155"/>
      <c r="Q49" s="1156"/>
      <c r="R49" s="1156"/>
      <c r="S49" s="1156"/>
      <c r="T49" s="3279"/>
      <c r="U49" s="3280"/>
      <c r="V49" s="3281"/>
      <c r="W49" s="3276"/>
      <c r="X49" s="3277"/>
      <c r="Y49" s="3278"/>
    </row>
    <row r="50" spans="1:25">
      <c r="N50" s="1157" t="s">
        <v>9</v>
      </c>
      <c r="O50" s="1157"/>
      <c r="P50" s="1157"/>
      <c r="Q50" s="1157" t="s">
        <v>9</v>
      </c>
      <c r="R50" s="1157"/>
      <c r="S50" s="1157"/>
      <c r="T50" s="1157" t="s">
        <v>9</v>
      </c>
      <c r="U50" s="1157"/>
      <c r="V50" s="1158"/>
      <c r="W50" s="1157" t="s">
        <v>9</v>
      </c>
      <c r="X50" s="1159"/>
      <c r="Y50" s="1160"/>
    </row>
    <row r="51" spans="1:25" ht="13.75" customHeight="1">
      <c r="A51" s="1129"/>
      <c r="B51" s="3267" t="s">
        <v>909</v>
      </c>
      <c r="C51" s="3268"/>
      <c r="D51" s="3268"/>
      <c r="E51" s="3268"/>
      <c r="F51" s="3268"/>
      <c r="G51" s="3268"/>
      <c r="H51" s="3268"/>
      <c r="I51" s="3269"/>
      <c r="N51" s="1157" t="s">
        <v>257</v>
      </c>
      <c r="O51" s="1157"/>
      <c r="P51" s="1157"/>
      <c r="Q51" s="1157" t="s">
        <v>257</v>
      </c>
      <c r="R51" s="1157"/>
      <c r="S51" s="1157"/>
      <c r="T51" s="1157" t="s">
        <v>257</v>
      </c>
      <c r="U51" s="1157"/>
      <c r="V51" s="1157"/>
      <c r="W51" s="1159" t="s">
        <v>257</v>
      </c>
      <c r="X51" s="1159"/>
      <c r="Y51" s="1159"/>
    </row>
    <row r="52" spans="1:25" ht="14" customHeight="1">
      <c r="A52" s="1129" t="s">
        <v>259</v>
      </c>
      <c r="B52" s="1131" t="s">
        <v>919</v>
      </c>
      <c r="C52" s="1131"/>
      <c r="D52" s="1131" t="s">
        <v>923</v>
      </c>
      <c r="E52" s="1131"/>
      <c r="F52" s="1131"/>
      <c r="G52" s="1131"/>
      <c r="H52" s="1131"/>
      <c r="I52" s="1131"/>
      <c r="N52" s="1157"/>
      <c r="O52" s="1161" t="s">
        <v>152</v>
      </c>
      <c r="P52" s="1161" t="s">
        <v>893</v>
      </c>
      <c r="Q52" s="1157"/>
      <c r="R52" s="1161" t="s">
        <v>152</v>
      </c>
      <c r="S52" s="1161" t="s">
        <v>893</v>
      </c>
      <c r="T52" s="1159"/>
      <c r="U52" s="1161" t="s">
        <v>152</v>
      </c>
      <c r="V52" s="1161" t="s">
        <v>893</v>
      </c>
      <c r="W52" s="1159"/>
      <c r="X52" s="1162" t="s">
        <v>152</v>
      </c>
      <c r="Y52" s="1161" t="s">
        <v>893</v>
      </c>
    </row>
    <row r="53" spans="1:25">
      <c r="A53" s="1129" t="s">
        <v>5</v>
      </c>
      <c r="B53" s="3289"/>
      <c r="C53" s="3289"/>
      <c r="D53" s="3289"/>
      <c r="E53" s="3289"/>
      <c r="F53" s="3289"/>
      <c r="G53" s="3289"/>
      <c r="H53" s="3289"/>
      <c r="I53" s="3289"/>
      <c r="N53" s="1163">
        <v>2</v>
      </c>
      <c r="O53" s="1164"/>
      <c r="P53" s="1165"/>
      <c r="Q53" s="1163">
        <v>2</v>
      </c>
      <c r="R53" s="1164"/>
      <c r="S53" s="1165"/>
      <c r="T53" s="1163">
        <v>2</v>
      </c>
      <c r="U53" s="1166"/>
      <c r="V53" s="1166"/>
      <c r="W53" s="1163">
        <v>2</v>
      </c>
      <c r="X53" s="1167"/>
      <c r="Y53" s="1167"/>
    </row>
    <row r="54" spans="1:25">
      <c r="A54" s="1129" t="s">
        <v>133</v>
      </c>
      <c r="B54" s="3273">
        <v>43322</v>
      </c>
      <c r="C54" s="3273"/>
      <c r="D54" s="3270"/>
      <c r="E54" s="3271"/>
      <c r="F54" s="3271"/>
      <c r="G54" s="3271"/>
      <c r="H54" s="3271"/>
      <c r="I54" s="3272"/>
      <c r="N54" s="1163">
        <v>4</v>
      </c>
      <c r="O54" s="1164"/>
      <c r="P54" s="1164"/>
      <c r="Q54" s="1163">
        <v>4</v>
      </c>
      <c r="R54" s="1164"/>
      <c r="S54" s="1164"/>
      <c r="T54" s="1163">
        <v>4</v>
      </c>
      <c r="U54" s="1164"/>
      <c r="V54" s="1164"/>
      <c r="W54" s="1163">
        <v>4</v>
      </c>
      <c r="X54" s="1168"/>
      <c r="Y54" s="1168"/>
    </row>
    <row r="55" spans="1:25">
      <c r="N55" s="1163">
        <v>6</v>
      </c>
      <c r="O55" s="1164"/>
      <c r="P55" s="1164"/>
      <c r="Q55" s="1163">
        <v>6</v>
      </c>
      <c r="R55" s="1164"/>
      <c r="S55" s="1164"/>
      <c r="T55" s="1163">
        <v>6</v>
      </c>
      <c r="U55" s="1164"/>
      <c r="V55" s="1164"/>
      <c r="W55" s="1163">
        <v>6</v>
      </c>
      <c r="X55" s="1168"/>
      <c r="Y55" s="1168"/>
    </row>
    <row r="56" spans="1:25" ht="26" customHeight="1">
      <c r="A56" s="1133" t="s">
        <v>9</v>
      </c>
      <c r="B56" s="1134" t="s">
        <v>926</v>
      </c>
      <c r="C56" s="1134" t="s">
        <v>925</v>
      </c>
      <c r="D56" s="1169" t="s">
        <v>781</v>
      </c>
      <c r="E56" s="1134" t="s">
        <v>924</v>
      </c>
      <c r="F56" s="1170" t="s">
        <v>798</v>
      </c>
      <c r="G56" s="1134"/>
      <c r="H56" s="1134"/>
      <c r="I56" s="1171"/>
      <c r="N56" s="1163">
        <v>8</v>
      </c>
      <c r="O56" s="1164"/>
      <c r="P56" s="1164"/>
      <c r="Q56" s="1163">
        <v>8</v>
      </c>
      <c r="R56" s="1164"/>
      <c r="S56" s="1164"/>
      <c r="T56" s="1163">
        <v>8</v>
      </c>
      <c r="U56" s="1164"/>
      <c r="V56" s="1164"/>
      <c r="W56" s="1163">
        <v>8</v>
      </c>
      <c r="X56" s="1168"/>
      <c r="Y56" s="1168"/>
    </row>
    <row r="57" spans="1:25">
      <c r="A57" s="1133" t="s">
        <v>921</v>
      </c>
      <c r="B57" s="1135">
        <v>12239</v>
      </c>
      <c r="C57" s="1135">
        <v>12195</v>
      </c>
      <c r="D57" s="1135">
        <v>12199</v>
      </c>
      <c r="E57" s="1135">
        <v>12207</v>
      </c>
      <c r="F57" s="1135">
        <v>12180</v>
      </c>
      <c r="G57" s="1135"/>
      <c r="H57" s="1871" t="s">
        <v>475</v>
      </c>
      <c r="I57" s="1143"/>
      <c r="N57" s="1163">
        <v>10</v>
      </c>
      <c r="O57" s="1164"/>
      <c r="P57" s="1164"/>
      <c r="Q57" s="1163">
        <v>10</v>
      </c>
      <c r="R57" s="1164"/>
      <c r="S57" s="1164"/>
      <c r="T57" s="1163">
        <v>10</v>
      </c>
      <c r="U57" s="1172"/>
      <c r="V57" s="1173"/>
      <c r="W57" s="1163">
        <v>10</v>
      </c>
      <c r="X57" s="1167"/>
      <c r="Y57" s="1167"/>
    </row>
    <row r="58" spans="1:25">
      <c r="A58" s="131" t="s">
        <v>135</v>
      </c>
      <c r="B58" s="1135"/>
      <c r="C58" s="1135"/>
      <c r="D58" s="1135"/>
      <c r="E58" s="1135"/>
      <c r="F58" s="1135"/>
      <c r="G58" s="1135"/>
      <c r="H58" s="1871" t="s">
        <v>462</v>
      </c>
      <c r="I58" s="1143"/>
      <c r="N58" s="1163">
        <v>12</v>
      </c>
      <c r="O58" s="1164"/>
      <c r="P58" s="1164"/>
      <c r="Q58" s="1163">
        <v>12</v>
      </c>
      <c r="R58" s="1164"/>
      <c r="S58" s="1164"/>
      <c r="T58" s="1163">
        <v>12</v>
      </c>
      <c r="U58" s="1164"/>
      <c r="V58" s="1164"/>
      <c r="W58" s="1163">
        <v>12</v>
      </c>
      <c r="X58" s="1167"/>
      <c r="Y58" s="1167"/>
    </row>
    <row r="59" spans="1:25">
      <c r="A59" s="1133" t="s">
        <v>321</v>
      </c>
      <c r="B59" s="1135"/>
      <c r="C59" s="1135"/>
      <c r="D59" s="1135"/>
      <c r="E59" s="1135"/>
      <c r="F59" s="1135"/>
      <c r="G59" s="1135"/>
      <c r="H59" s="1871" t="s">
        <v>578</v>
      </c>
      <c r="I59" s="1143"/>
      <c r="N59" s="1163">
        <v>14</v>
      </c>
      <c r="O59" s="1164"/>
      <c r="P59" s="1164"/>
      <c r="Q59" s="1163">
        <v>14</v>
      </c>
      <c r="R59" s="1164"/>
      <c r="S59" s="1164"/>
      <c r="T59" s="1163">
        <v>14</v>
      </c>
      <c r="U59" s="1164"/>
      <c r="V59" s="1164"/>
      <c r="W59" s="1163">
        <v>14</v>
      </c>
      <c r="X59" s="1167"/>
      <c r="Y59" s="1167"/>
    </row>
    <row r="60" spans="1:25">
      <c r="A60" s="1133" t="s">
        <v>898</v>
      </c>
      <c r="B60" s="1135"/>
      <c r="C60" s="1135"/>
      <c r="D60" s="1135"/>
      <c r="E60" s="1135"/>
      <c r="F60" s="1135"/>
      <c r="G60" s="1135"/>
      <c r="H60" s="1871" t="s">
        <v>579</v>
      </c>
      <c r="I60" s="1143"/>
      <c r="J60" s="1868"/>
      <c r="N60" s="1163">
        <v>16</v>
      </c>
      <c r="O60" s="1164"/>
      <c r="P60" s="1164"/>
      <c r="Q60" s="1163">
        <v>16</v>
      </c>
      <c r="R60" s="1164"/>
      <c r="S60" s="1164"/>
      <c r="T60" s="1163">
        <v>16</v>
      </c>
      <c r="U60" s="1174"/>
      <c r="V60" s="1174"/>
      <c r="W60" s="1163">
        <v>16</v>
      </c>
      <c r="X60" s="1175"/>
      <c r="Y60" s="1175"/>
    </row>
    <row r="61" spans="1:25">
      <c r="A61" s="1136" t="s">
        <v>899</v>
      </c>
      <c r="B61" s="1135"/>
      <c r="C61" s="1135"/>
      <c r="D61" s="1135"/>
      <c r="E61" s="1135"/>
      <c r="F61" s="1135"/>
      <c r="G61" s="1135"/>
      <c r="H61" s="1871" t="s">
        <v>580</v>
      </c>
      <c r="I61" s="1143"/>
      <c r="N61" s="1163">
        <v>18</v>
      </c>
      <c r="O61" s="1164"/>
      <c r="P61" s="1164"/>
      <c r="Q61" s="1163">
        <v>18</v>
      </c>
      <c r="R61" s="1164"/>
      <c r="S61" s="1164"/>
      <c r="T61" s="1163">
        <v>18</v>
      </c>
      <c r="U61" s="1166"/>
      <c r="V61" s="1166"/>
      <c r="W61" s="1163">
        <v>18</v>
      </c>
      <c r="X61" s="1175"/>
      <c r="Y61" s="1175"/>
    </row>
    <row r="62" spans="1:25">
      <c r="A62" s="1137" t="s">
        <v>837</v>
      </c>
      <c r="B62" s="1176">
        <v>0.15</v>
      </c>
      <c r="C62" s="1138">
        <v>0.1</v>
      </c>
      <c r="D62" s="1138">
        <v>0.4</v>
      </c>
      <c r="E62" s="1138">
        <v>0.4</v>
      </c>
      <c r="F62" s="1138">
        <v>0.2</v>
      </c>
      <c r="G62" s="1135"/>
      <c r="H62" s="1871" t="s">
        <v>476</v>
      </c>
      <c r="I62" s="1143"/>
      <c r="N62" s="1163">
        <v>20</v>
      </c>
      <c r="O62" s="1164"/>
      <c r="P62" s="1164"/>
      <c r="Q62" s="1163">
        <v>20</v>
      </c>
      <c r="R62" s="1164"/>
      <c r="S62" s="1164"/>
      <c r="T62" s="1177"/>
      <c r="U62" s="1178"/>
      <c r="V62" s="1178"/>
      <c r="W62" s="1179"/>
      <c r="X62" s="1179"/>
      <c r="Y62" s="1179"/>
    </row>
    <row r="63" spans="1:25">
      <c r="A63" s="1137" t="s">
        <v>487</v>
      </c>
      <c r="B63" s="1135"/>
      <c r="C63" s="1135"/>
      <c r="D63" s="1135"/>
      <c r="E63" s="1135"/>
      <c r="F63" s="1135"/>
      <c r="G63" s="1135"/>
      <c r="H63" s="1872" t="s">
        <v>743</v>
      </c>
      <c r="I63" s="1143"/>
      <c r="N63" s="1163">
        <v>22</v>
      </c>
      <c r="O63" s="1164"/>
      <c r="P63" s="1164"/>
      <c r="Q63" s="1163">
        <v>22</v>
      </c>
      <c r="R63" s="1164"/>
      <c r="S63" s="1164"/>
      <c r="T63" s="1157" t="s">
        <v>9</v>
      </c>
      <c r="U63" s="1164"/>
      <c r="V63" s="1164"/>
      <c r="W63" s="1157" t="s">
        <v>9</v>
      </c>
      <c r="X63" s="1164"/>
      <c r="Y63" s="1164"/>
    </row>
    <row r="64" spans="1:25" ht="23">
      <c r="A64" s="1133" t="s">
        <v>911</v>
      </c>
      <c r="B64" s="1135"/>
      <c r="C64" s="1135"/>
      <c r="D64" s="1135"/>
      <c r="E64" s="1135"/>
      <c r="F64" s="1135"/>
      <c r="G64" s="1135"/>
      <c r="H64" s="1872" t="s">
        <v>742</v>
      </c>
      <c r="I64" s="1143"/>
      <c r="N64" s="1163">
        <v>24</v>
      </c>
      <c r="O64" s="1164"/>
      <c r="P64" s="1164"/>
      <c r="Q64" s="1163">
        <v>24</v>
      </c>
      <c r="R64" s="1164"/>
      <c r="S64" s="1164"/>
      <c r="T64" s="1164" t="s">
        <v>257</v>
      </c>
      <c r="U64" s="1180"/>
      <c r="V64" s="1180"/>
      <c r="W64" s="1164" t="s">
        <v>257</v>
      </c>
      <c r="X64" s="1164"/>
      <c r="Y64" s="1164"/>
    </row>
    <row r="65" spans="1:25">
      <c r="A65" s="1133" t="s">
        <v>139</v>
      </c>
      <c r="B65" s="1135"/>
      <c r="C65" s="1135"/>
      <c r="D65" s="1135"/>
      <c r="E65" s="1135"/>
      <c r="F65" s="1135"/>
      <c r="G65" s="1135"/>
      <c r="H65" s="1083" t="s">
        <v>746</v>
      </c>
      <c r="I65" s="1143"/>
      <c r="N65" s="1163">
        <v>26</v>
      </c>
      <c r="O65" s="1164"/>
      <c r="P65" s="1164"/>
      <c r="Q65" s="1163">
        <v>26</v>
      </c>
      <c r="R65" s="1164"/>
      <c r="S65" s="1164"/>
      <c r="T65" s="1163">
        <v>2</v>
      </c>
      <c r="U65" s="1164"/>
      <c r="V65" s="1164"/>
      <c r="W65" s="1165">
        <v>2</v>
      </c>
      <c r="X65" s="1174"/>
      <c r="Y65" s="1174"/>
    </row>
    <row r="66" spans="1:25" ht="25">
      <c r="A66" s="1133" t="s">
        <v>138</v>
      </c>
      <c r="B66" s="1135"/>
      <c r="C66" s="1135"/>
      <c r="D66" s="1135"/>
      <c r="E66" s="1135"/>
      <c r="F66" s="1135"/>
      <c r="G66" s="1135"/>
      <c r="H66" s="1091" t="s">
        <v>1227</v>
      </c>
      <c r="I66" s="1143"/>
      <c r="N66" s="1163">
        <v>28</v>
      </c>
      <c r="O66" s="1164"/>
      <c r="P66" s="1164"/>
      <c r="Q66" s="1163">
        <v>28</v>
      </c>
      <c r="R66" s="1164"/>
      <c r="S66" s="1164"/>
      <c r="T66" s="1163">
        <v>4</v>
      </c>
      <c r="U66" s="1164"/>
      <c r="V66" s="1181"/>
      <c r="W66" s="1165">
        <v>4</v>
      </c>
      <c r="X66" s="1175"/>
      <c r="Y66" s="1175"/>
    </row>
    <row r="67" spans="1:25">
      <c r="A67" s="1133" t="s">
        <v>137</v>
      </c>
      <c r="B67" s="1135"/>
      <c r="C67" s="1135"/>
      <c r="D67" s="1135"/>
      <c r="E67" s="1135"/>
      <c r="F67" s="1135"/>
      <c r="G67" s="1135"/>
      <c r="H67" s="1135"/>
      <c r="I67" s="1135"/>
      <c r="N67" s="3286"/>
      <c r="O67" s="3287"/>
      <c r="P67" s="3288"/>
      <c r="Q67" s="3286"/>
      <c r="R67" s="3287"/>
      <c r="S67" s="3288"/>
      <c r="T67" s="1163">
        <v>6</v>
      </c>
      <c r="U67" s="1174"/>
      <c r="V67" s="1174"/>
      <c r="W67" s="1165">
        <v>6</v>
      </c>
      <c r="X67" s="1175"/>
      <c r="Y67" s="1175"/>
    </row>
    <row r="68" spans="1:25">
      <c r="A68" s="1133" t="s">
        <v>136</v>
      </c>
      <c r="B68" s="1135"/>
      <c r="C68" s="1135"/>
      <c r="D68" s="1135"/>
      <c r="E68" s="1135"/>
      <c r="F68" s="1135"/>
      <c r="G68" s="1135"/>
      <c r="H68" s="1135"/>
      <c r="I68" s="1135"/>
      <c r="N68" s="1164" t="s">
        <v>9</v>
      </c>
      <c r="O68" s="1164"/>
      <c r="P68" s="1164"/>
      <c r="Q68" s="1164" t="s">
        <v>9</v>
      </c>
      <c r="R68" s="1164"/>
      <c r="S68" s="1164"/>
      <c r="T68" s="1163">
        <v>8</v>
      </c>
      <c r="U68" s="1164"/>
      <c r="V68" s="1165"/>
      <c r="W68" s="1165">
        <v>8</v>
      </c>
      <c r="X68" s="1180"/>
      <c r="Y68" s="1180"/>
    </row>
    <row r="69" spans="1:25">
      <c r="A69" s="1133" t="s">
        <v>250</v>
      </c>
      <c r="B69" s="1135"/>
      <c r="C69" s="1135"/>
      <c r="D69" s="1135"/>
      <c r="E69" s="1135"/>
      <c r="F69" s="1135"/>
      <c r="G69" s="1135"/>
      <c r="H69" s="1135"/>
      <c r="I69" s="1135"/>
      <c r="N69" s="1164" t="s">
        <v>257</v>
      </c>
      <c r="O69" s="1182"/>
      <c r="P69" s="1164"/>
      <c r="Q69" s="1164" t="s">
        <v>257</v>
      </c>
      <c r="R69" s="1182"/>
      <c r="S69" s="1164"/>
      <c r="T69" s="1183"/>
      <c r="U69" s="1178"/>
      <c r="V69" s="1178"/>
      <c r="W69" s="1184"/>
      <c r="X69" s="1183"/>
      <c r="Y69" s="1183"/>
    </row>
    <row r="70" spans="1:25" ht="15" customHeight="1">
      <c r="A70" s="1136" t="s">
        <v>257</v>
      </c>
      <c r="B70" s="1135"/>
      <c r="C70" s="1135"/>
      <c r="D70" s="1135"/>
      <c r="E70" s="1135"/>
      <c r="F70" s="1135"/>
      <c r="G70" s="1135"/>
      <c r="H70" s="1135"/>
      <c r="I70" s="1135"/>
      <c r="N70" s="1164"/>
      <c r="O70" s="1174" t="s">
        <v>152</v>
      </c>
      <c r="P70" s="1161" t="s">
        <v>893</v>
      </c>
      <c r="Q70" s="1164"/>
      <c r="R70" s="1174" t="s">
        <v>152</v>
      </c>
      <c r="S70" s="1161" t="s">
        <v>893</v>
      </c>
      <c r="T70" s="1157" t="s">
        <v>9</v>
      </c>
      <c r="U70" s="1164"/>
      <c r="V70" s="1164"/>
      <c r="W70" s="1157" t="s">
        <v>9</v>
      </c>
      <c r="X70" s="1164"/>
      <c r="Y70" s="1164"/>
    </row>
    <row r="71" spans="1:25">
      <c r="A71" s="1136" t="s">
        <v>152</v>
      </c>
      <c r="B71" s="1135"/>
      <c r="C71" s="1135"/>
      <c r="D71" s="1135"/>
      <c r="E71" s="1135"/>
      <c r="F71" s="1135"/>
      <c r="G71" s="1135"/>
      <c r="H71" s="1135"/>
      <c r="I71" s="1135"/>
      <c r="N71" s="1163">
        <v>2</v>
      </c>
      <c r="O71" s="1164"/>
      <c r="P71" s="1165"/>
      <c r="Q71" s="1163">
        <v>2</v>
      </c>
      <c r="R71" s="1164"/>
      <c r="S71" s="1165"/>
      <c r="T71" s="1164" t="s">
        <v>257</v>
      </c>
      <c r="U71" s="1180"/>
      <c r="V71" s="1180"/>
      <c r="W71" s="1164" t="s">
        <v>257</v>
      </c>
      <c r="X71" s="1164"/>
      <c r="Y71" s="1164"/>
    </row>
    <row r="72" spans="1:25" ht="12" customHeight="1">
      <c r="A72" s="1136" t="s">
        <v>893</v>
      </c>
      <c r="B72" s="1135"/>
      <c r="C72" s="1135"/>
      <c r="D72" s="1135"/>
      <c r="E72" s="1135"/>
      <c r="F72" s="1135"/>
      <c r="G72" s="1135"/>
      <c r="H72" s="1135"/>
      <c r="I72" s="1135"/>
      <c r="N72" s="1163">
        <v>4</v>
      </c>
      <c r="O72" s="1164"/>
      <c r="P72" s="1164"/>
      <c r="Q72" s="1163">
        <v>4</v>
      </c>
      <c r="R72" s="1164"/>
      <c r="S72" s="1164"/>
      <c r="T72" s="1163"/>
      <c r="U72" s="1174" t="s">
        <v>152</v>
      </c>
      <c r="V72" s="1161" t="s">
        <v>893</v>
      </c>
      <c r="W72" s="1163"/>
      <c r="X72" s="1174" t="s">
        <v>152</v>
      </c>
      <c r="Y72" s="1161" t="s">
        <v>893</v>
      </c>
    </row>
    <row r="73" spans="1:25">
      <c r="A73" s="1136" t="s">
        <v>257</v>
      </c>
      <c r="B73" s="1135"/>
      <c r="C73" s="1135"/>
      <c r="D73" s="1135"/>
      <c r="E73" s="1135"/>
      <c r="F73" s="1135"/>
      <c r="G73" s="1135"/>
      <c r="H73" s="1135"/>
      <c r="I73" s="1135"/>
      <c r="N73" s="1163">
        <v>6</v>
      </c>
      <c r="O73" s="1164"/>
      <c r="P73" s="1164"/>
      <c r="Q73" s="1163">
        <v>6</v>
      </c>
      <c r="R73" s="1164"/>
      <c r="S73" s="1164"/>
      <c r="T73" s="1163">
        <v>2</v>
      </c>
      <c r="U73" s="1164"/>
      <c r="V73" s="1164"/>
      <c r="W73" s="1163">
        <v>2</v>
      </c>
      <c r="X73" s="1166"/>
      <c r="Y73" s="1166"/>
    </row>
    <row r="74" spans="1:25">
      <c r="A74" s="1136" t="s">
        <v>152</v>
      </c>
      <c r="B74" s="1135"/>
      <c r="C74" s="1135"/>
      <c r="D74" s="1135"/>
      <c r="E74" s="1135"/>
      <c r="F74" s="1135"/>
      <c r="G74" s="1135"/>
      <c r="H74" s="1135"/>
      <c r="I74" s="1135"/>
      <c r="N74" s="1163">
        <v>8</v>
      </c>
      <c r="O74" s="1164"/>
      <c r="P74" s="1164"/>
      <c r="Q74" s="1163">
        <v>8</v>
      </c>
      <c r="R74" s="1164"/>
      <c r="S74" s="1164"/>
      <c r="T74" s="1163">
        <v>4</v>
      </c>
      <c r="U74" s="1164"/>
      <c r="V74" s="1164"/>
      <c r="W74" s="1163">
        <v>4</v>
      </c>
      <c r="X74" s="1164"/>
      <c r="Y74" s="1164"/>
    </row>
    <row r="75" spans="1:25">
      <c r="A75" s="1136" t="s">
        <v>893</v>
      </c>
      <c r="B75" s="1135"/>
      <c r="C75" s="1135"/>
      <c r="D75" s="1135"/>
      <c r="E75" s="1135"/>
      <c r="F75" s="1135"/>
      <c r="G75" s="1135"/>
      <c r="H75" s="1135"/>
      <c r="I75" s="1135"/>
      <c r="N75" s="1163">
        <v>10</v>
      </c>
      <c r="O75" s="1164"/>
      <c r="P75" s="1164"/>
      <c r="Q75" s="1163">
        <v>10</v>
      </c>
      <c r="R75" s="1164"/>
      <c r="S75" s="1164"/>
      <c r="T75" s="1163">
        <v>6</v>
      </c>
      <c r="U75" s="1174"/>
      <c r="V75" s="1174"/>
      <c r="W75" s="1163">
        <v>6</v>
      </c>
      <c r="X75" s="1164"/>
      <c r="Y75" s="1164"/>
    </row>
    <row r="76" spans="1:25">
      <c r="A76" s="1136" t="s">
        <v>152</v>
      </c>
      <c r="B76" s="1135"/>
      <c r="C76" s="1135"/>
      <c r="D76" s="1135"/>
      <c r="E76" s="1135"/>
      <c r="F76" s="1135"/>
      <c r="G76" s="1135"/>
      <c r="H76" s="1135"/>
      <c r="I76" s="1135"/>
      <c r="N76" s="1163">
        <v>12</v>
      </c>
      <c r="O76" s="1164"/>
      <c r="P76" s="1164"/>
      <c r="Q76" s="1163">
        <v>12</v>
      </c>
      <c r="R76" s="1164"/>
      <c r="S76" s="1164"/>
      <c r="T76" s="1163">
        <v>8</v>
      </c>
      <c r="U76" s="1164"/>
      <c r="V76" s="1164"/>
      <c r="W76" s="1163">
        <v>8</v>
      </c>
      <c r="X76" s="1172"/>
      <c r="Y76" s="1173"/>
    </row>
    <row r="77" spans="1:25">
      <c r="A77" s="1136" t="s">
        <v>893</v>
      </c>
      <c r="B77" s="1135"/>
      <c r="C77" s="1135"/>
      <c r="D77" s="1135"/>
      <c r="E77" s="1135"/>
      <c r="F77" s="1135"/>
      <c r="G77" s="1135"/>
      <c r="H77" s="1135"/>
      <c r="I77" s="1135"/>
      <c r="N77" s="1163">
        <v>14</v>
      </c>
      <c r="O77" s="1164"/>
      <c r="P77" s="1164"/>
      <c r="Q77" s="1163">
        <v>14</v>
      </c>
      <c r="R77" s="1164"/>
      <c r="S77" s="1164"/>
      <c r="T77" s="1163">
        <v>10</v>
      </c>
      <c r="U77" s="1164"/>
      <c r="V77" s="1164"/>
      <c r="W77" s="1163">
        <v>10</v>
      </c>
      <c r="X77" s="1164"/>
      <c r="Y77" s="1164"/>
    </row>
    <row r="78" spans="1:25">
      <c r="A78" s="1135"/>
      <c r="B78" s="1135"/>
      <c r="C78" s="1135"/>
      <c r="D78" s="1135"/>
      <c r="E78" s="1135"/>
      <c r="F78" s="1135"/>
      <c r="G78" s="1135"/>
      <c r="H78" s="1135"/>
      <c r="I78" s="1135"/>
      <c r="N78" s="1163">
        <v>16</v>
      </c>
      <c r="O78" s="1164"/>
      <c r="P78" s="1164"/>
      <c r="Q78" s="1163">
        <v>16</v>
      </c>
      <c r="R78" s="1164"/>
      <c r="S78" s="1164"/>
      <c r="T78" s="1163">
        <v>12</v>
      </c>
      <c r="U78" s="1164"/>
      <c r="V78" s="1164"/>
      <c r="W78" s="1163">
        <v>12</v>
      </c>
      <c r="X78" s="1164"/>
      <c r="Y78" s="1164"/>
    </row>
    <row r="79" spans="1:25">
      <c r="N79" s="1163">
        <v>18</v>
      </c>
      <c r="O79" s="1164"/>
      <c r="P79" s="1164"/>
      <c r="Q79" s="1163">
        <v>18</v>
      </c>
      <c r="R79" s="1164"/>
      <c r="S79" s="1164"/>
      <c r="T79" s="3285"/>
      <c r="U79" s="3285"/>
      <c r="V79" s="3285"/>
      <c r="W79" s="1178"/>
      <c r="X79" s="1185"/>
      <c r="Y79" s="1185"/>
    </row>
    <row r="80" spans="1:25">
      <c r="N80" s="1163">
        <v>20</v>
      </c>
      <c r="O80" s="1164"/>
      <c r="P80" s="1164"/>
      <c r="Q80" s="1163">
        <v>20</v>
      </c>
      <c r="R80" s="1164"/>
      <c r="S80" s="1164"/>
      <c r="T80" s="1157" t="s">
        <v>9</v>
      </c>
      <c r="U80" s="1164"/>
      <c r="V80" s="1164"/>
      <c r="W80" s="1157" t="s">
        <v>9</v>
      </c>
      <c r="X80" s="1164"/>
      <c r="Y80" s="1164"/>
    </row>
    <row r="81" spans="1:25">
      <c r="A81" s="1186" t="s">
        <v>1231</v>
      </c>
      <c r="N81" s="1163">
        <v>22</v>
      </c>
      <c r="O81" s="1164"/>
      <c r="P81" s="1164"/>
      <c r="Q81" s="1163">
        <v>22</v>
      </c>
      <c r="R81" s="1164"/>
      <c r="S81" s="1164"/>
      <c r="T81" s="1164" t="s">
        <v>257</v>
      </c>
      <c r="U81" s="1164"/>
      <c r="V81" s="1164"/>
      <c r="W81" s="1164" t="s">
        <v>257</v>
      </c>
      <c r="X81" s="1163"/>
      <c r="Y81" s="1163"/>
    </row>
    <row r="82" spans="1:25" ht="14.5" customHeight="1">
      <c r="A82" s="1129"/>
      <c r="B82" s="3290" t="s">
        <v>909</v>
      </c>
      <c r="C82" s="3268"/>
      <c r="D82" s="3268"/>
      <c r="E82" s="3268"/>
      <c r="F82" s="3268"/>
      <c r="G82" s="3268"/>
      <c r="H82" s="3268"/>
      <c r="I82" s="3269"/>
      <c r="N82" s="1163">
        <v>24</v>
      </c>
      <c r="O82" s="1164"/>
      <c r="P82" s="1164"/>
      <c r="Q82" s="1163">
        <v>24</v>
      </c>
      <c r="R82" s="1164"/>
      <c r="S82" s="1164"/>
      <c r="T82" s="1164"/>
      <c r="U82" s="1174" t="s">
        <v>152</v>
      </c>
      <c r="V82" s="1161" t="s">
        <v>893</v>
      </c>
      <c r="W82" s="1163"/>
      <c r="X82" s="1174" t="s">
        <v>152</v>
      </c>
      <c r="Y82" s="1161" t="s">
        <v>893</v>
      </c>
    </row>
    <row r="83" spans="1:25">
      <c r="A83" s="1129" t="s">
        <v>931</v>
      </c>
      <c r="B83" s="3274" t="s">
        <v>1454</v>
      </c>
      <c r="C83" s="3275"/>
      <c r="D83" s="3275"/>
      <c r="E83" s="3275"/>
      <c r="F83" s="3275"/>
      <c r="G83" s="3275"/>
      <c r="H83" s="3275"/>
      <c r="I83" s="3275"/>
      <c r="N83" s="1163">
        <v>26</v>
      </c>
      <c r="O83" s="1164"/>
      <c r="P83" s="1164"/>
      <c r="Q83" s="1163">
        <v>26</v>
      </c>
      <c r="R83" s="1164"/>
      <c r="S83" s="1164"/>
      <c r="T83" s="1163">
        <v>2</v>
      </c>
      <c r="U83" s="1164"/>
      <c r="V83" s="1164"/>
      <c r="W83" s="1175">
        <v>2</v>
      </c>
      <c r="X83" s="1175"/>
      <c r="Y83" s="1175"/>
    </row>
    <row r="84" spans="1:25">
      <c r="A84" s="1129" t="s">
        <v>259</v>
      </c>
      <c r="B84" s="1131" t="s">
        <v>919</v>
      </c>
      <c r="C84" s="1131"/>
      <c r="D84" s="1131" t="s">
        <v>923</v>
      </c>
      <c r="E84" s="1131"/>
      <c r="F84" s="1131"/>
      <c r="G84" s="1187"/>
      <c r="H84" s="3291"/>
      <c r="I84" s="3292"/>
      <c r="N84" s="1163">
        <v>28</v>
      </c>
      <c r="O84" s="1164"/>
      <c r="P84" s="1164"/>
      <c r="Q84" s="1163">
        <v>28</v>
      </c>
      <c r="R84" s="1164"/>
      <c r="S84" s="1164"/>
      <c r="T84" s="1163">
        <v>4</v>
      </c>
      <c r="U84" s="1164"/>
      <c r="V84" s="1164"/>
      <c r="W84" s="1182">
        <v>4</v>
      </c>
      <c r="X84" s="1164"/>
      <c r="Y84" s="1164"/>
    </row>
    <row r="85" spans="1:25">
      <c r="A85" s="1129" t="s">
        <v>133</v>
      </c>
      <c r="B85" s="3293">
        <v>43507</v>
      </c>
      <c r="C85" s="3293"/>
      <c r="D85" s="3270"/>
      <c r="E85" s="3271"/>
      <c r="F85" s="3271"/>
      <c r="G85" s="3271"/>
      <c r="H85" s="3271"/>
      <c r="I85" s="3272"/>
      <c r="N85" s="1163">
        <v>30</v>
      </c>
      <c r="O85" s="1163"/>
      <c r="P85" s="1188"/>
      <c r="Q85" s="1163">
        <v>30</v>
      </c>
      <c r="R85" s="1164"/>
      <c r="S85" s="1164"/>
      <c r="T85" s="1163">
        <v>6</v>
      </c>
      <c r="U85" s="1164"/>
      <c r="V85" s="1164"/>
      <c r="W85" s="1189">
        <v>6</v>
      </c>
      <c r="X85" s="1164"/>
      <c r="Y85" s="1164"/>
    </row>
    <row r="86" spans="1:25">
      <c r="A86" s="1133" t="s">
        <v>9</v>
      </c>
      <c r="B86" s="1134" t="s">
        <v>902</v>
      </c>
      <c r="C86" s="1134" t="s">
        <v>1084</v>
      </c>
      <c r="D86" s="1140" t="s">
        <v>910</v>
      </c>
      <c r="E86" s="1135"/>
      <c r="F86" s="1135"/>
      <c r="G86" s="1135"/>
      <c r="H86" s="1135"/>
      <c r="I86" s="1135"/>
      <c r="N86" s="1177"/>
      <c r="O86" s="1190"/>
      <c r="P86" s="1191"/>
      <c r="Q86" s="1177"/>
      <c r="R86" s="1190"/>
      <c r="S86" s="1191"/>
      <c r="T86" s="1163">
        <v>8</v>
      </c>
      <c r="U86" s="1172"/>
      <c r="V86" s="1173"/>
      <c r="W86" s="1182">
        <v>8</v>
      </c>
      <c r="X86" s="1192"/>
      <c r="Y86" s="1192"/>
    </row>
    <row r="87" spans="1:25">
      <c r="A87" s="1133" t="s">
        <v>135</v>
      </c>
      <c r="B87" s="1135"/>
      <c r="C87" s="1135"/>
      <c r="D87" s="1135"/>
      <c r="E87" s="1135"/>
      <c r="F87" s="1135"/>
      <c r="G87" s="1135"/>
      <c r="H87" s="1135"/>
      <c r="I87" s="1135"/>
      <c r="N87" s="1164" t="s">
        <v>9</v>
      </c>
      <c r="O87" s="1164"/>
      <c r="P87" s="1164"/>
      <c r="Q87" s="1168" t="s">
        <v>135</v>
      </c>
      <c r="R87" s="1168"/>
      <c r="S87" s="1168"/>
      <c r="T87" s="1163">
        <v>10</v>
      </c>
      <c r="U87" s="1164"/>
      <c r="V87" s="1164"/>
      <c r="W87" s="1189">
        <v>10</v>
      </c>
      <c r="X87" s="1163"/>
      <c r="Y87" s="1163"/>
    </row>
    <row r="88" spans="1:25">
      <c r="A88" s="1133" t="s">
        <v>321</v>
      </c>
      <c r="B88" s="1135"/>
      <c r="C88" s="1135"/>
      <c r="D88" s="1135"/>
      <c r="E88" s="1135"/>
      <c r="F88" s="1135"/>
      <c r="G88" s="1135"/>
      <c r="H88" s="1135"/>
      <c r="I88" s="1135"/>
      <c r="N88" s="1164" t="s">
        <v>257</v>
      </c>
      <c r="O88" s="1182"/>
      <c r="P88" s="1164"/>
      <c r="Q88" s="1168" t="s">
        <v>257</v>
      </c>
      <c r="R88" s="1168"/>
      <c r="S88" s="1168"/>
      <c r="T88" s="1163">
        <v>12</v>
      </c>
      <c r="U88" s="1160"/>
      <c r="V88" s="1174"/>
      <c r="W88" s="1182">
        <v>12</v>
      </c>
      <c r="X88" s="1163"/>
      <c r="Y88" s="1163"/>
    </row>
    <row r="89" spans="1:25" ht="14.5" customHeight="1">
      <c r="A89" s="1133" t="s">
        <v>898</v>
      </c>
      <c r="B89" s="1135"/>
      <c r="C89" s="1135"/>
      <c r="D89" s="1135"/>
      <c r="E89" s="1135"/>
      <c r="F89" s="1135"/>
      <c r="G89" s="1135"/>
      <c r="H89" s="1135"/>
      <c r="I89" s="1135"/>
      <c r="N89" s="1164"/>
      <c r="O89" s="1174" t="s">
        <v>152</v>
      </c>
      <c r="P89" s="1161" t="s">
        <v>893</v>
      </c>
      <c r="Q89" s="1168"/>
      <c r="R89" s="1193" t="s">
        <v>152</v>
      </c>
      <c r="S89" s="1161" t="s">
        <v>893</v>
      </c>
      <c r="T89" s="1163">
        <v>14</v>
      </c>
      <c r="U89" s="1164"/>
      <c r="V89" s="1163"/>
      <c r="W89" s="1189">
        <v>14</v>
      </c>
      <c r="X89" s="1175"/>
      <c r="Y89" s="1175"/>
    </row>
    <row r="90" spans="1:25">
      <c r="A90" s="1136" t="s">
        <v>899</v>
      </c>
      <c r="B90" s="1135"/>
      <c r="C90" s="1135"/>
      <c r="D90" s="1135"/>
      <c r="E90" s="1135"/>
      <c r="F90" s="1135"/>
      <c r="G90" s="1135"/>
      <c r="H90" s="1135"/>
      <c r="I90" s="1135"/>
      <c r="N90" s="1163">
        <v>2</v>
      </c>
      <c r="O90" s="1164"/>
      <c r="P90" s="1165"/>
      <c r="Q90" s="1163">
        <v>2</v>
      </c>
      <c r="R90" s="1194"/>
      <c r="S90" s="1194"/>
      <c r="T90" s="1177"/>
      <c r="U90" s="1190"/>
      <c r="V90" s="1191"/>
      <c r="W90" s="1178"/>
      <c r="X90" s="1178"/>
      <c r="Y90" s="1178"/>
    </row>
    <row r="91" spans="1:25">
      <c r="A91" s="1137" t="s">
        <v>913</v>
      </c>
      <c r="B91" s="1138">
        <v>0.4</v>
      </c>
      <c r="C91" s="1138">
        <v>0.55000000000000004</v>
      </c>
      <c r="D91" s="1138">
        <v>0.4</v>
      </c>
      <c r="E91" s="1135"/>
      <c r="F91" s="1135"/>
      <c r="G91" s="1135"/>
      <c r="H91" s="1135"/>
      <c r="I91" s="1135"/>
      <c r="N91" s="1163">
        <v>4</v>
      </c>
      <c r="O91" s="1164"/>
      <c r="P91" s="1164"/>
      <c r="Q91" s="1163">
        <v>4</v>
      </c>
      <c r="R91" s="1194"/>
      <c r="S91" s="1194"/>
      <c r="T91" s="1157" t="s">
        <v>9</v>
      </c>
      <c r="U91" s="1164"/>
      <c r="V91" s="1164"/>
      <c r="W91" s="1157" t="s">
        <v>9</v>
      </c>
      <c r="X91" s="1164"/>
      <c r="Y91" s="1164"/>
    </row>
    <row r="92" spans="1:25">
      <c r="A92" s="1137" t="s">
        <v>911</v>
      </c>
      <c r="B92" s="1138"/>
      <c r="C92" s="1138"/>
      <c r="D92" s="1138"/>
      <c r="E92" s="1138"/>
      <c r="F92" s="1138"/>
      <c r="G92" s="1138"/>
      <c r="H92" s="1138"/>
      <c r="I92" s="1138"/>
      <c r="N92" s="1163">
        <v>6</v>
      </c>
      <c r="O92" s="1164"/>
      <c r="P92" s="1164"/>
      <c r="Q92" s="1163">
        <v>6</v>
      </c>
      <c r="R92" s="1194"/>
      <c r="S92" s="1194"/>
      <c r="T92" s="1164" t="s">
        <v>257</v>
      </c>
      <c r="U92" s="1164"/>
      <c r="V92" s="1160"/>
      <c r="W92" s="1164" t="s">
        <v>257</v>
      </c>
      <c r="X92" s="1163"/>
      <c r="Y92" s="1163"/>
    </row>
    <row r="93" spans="1:25" ht="13" customHeight="1">
      <c r="A93" s="1137" t="s">
        <v>912</v>
      </c>
      <c r="B93" s="1138"/>
      <c r="C93" s="1138"/>
      <c r="D93" s="1138"/>
      <c r="E93" s="1138"/>
      <c r="F93" s="1138"/>
      <c r="G93" s="1138"/>
      <c r="H93" s="1138"/>
      <c r="I93" s="1138"/>
      <c r="N93" s="1163">
        <v>8</v>
      </c>
      <c r="O93" s="1164"/>
      <c r="P93" s="1164"/>
      <c r="Q93" s="1163">
        <v>8</v>
      </c>
      <c r="R93" s="1194"/>
      <c r="S93" s="1194"/>
      <c r="T93" s="1164"/>
      <c r="U93" s="1174" t="s">
        <v>152</v>
      </c>
      <c r="V93" s="1161" t="s">
        <v>893</v>
      </c>
      <c r="W93" s="1175">
        <v>2</v>
      </c>
      <c r="X93" s="1174" t="s">
        <v>152</v>
      </c>
      <c r="Y93" s="1161" t="s">
        <v>893</v>
      </c>
    </row>
    <row r="94" spans="1:25">
      <c r="A94" s="1133" t="s">
        <v>139</v>
      </c>
      <c r="B94" s="1135"/>
      <c r="C94" s="1135"/>
      <c r="D94" s="1135"/>
      <c r="E94" s="1135"/>
      <c r="F94" s="1135"/>
      <c r="G94" s="1135"/>
      <c r="H94" s="1135"/>
      <c r="I94" s="1135"/>
      <c r="N94" s="1163">
        <v>10</v>
      </c>
      <c r="O94" s="1164"/>
      <c r="P94" s="1164"/>
      <c r="Q94" s="1163">
        <v>10</v>
      </c>
      <c r="R94" s="1194"/>
      <c r="S94" s="1194"/>
      <c r="T94" s="1163">
        <v>2</v>
      </c>
      <c r="U94" s="1164"/>
      <c r="V94" s="1195"/>
      <c r="W94" s="1163">
        <v>2</v>
      </c>
      <c r="X94" s="1163"/>
      <c r="Y94" s="1163"/>
    </row>
    <row r="95" spans="1:25">
      <c r="A95" s="1133" t="s">
        <v>138</v>
      </c>
      <c r="B95" s="1135"/>
      <c r="C95" s="1135"/>
      <c r="D95" s="1135"/>
      <c r="E95" s="1135"/>
      <c r="F95" s="1135"/>
      <c r="G95" s="1135"/>
      <c r="H95" s="1135"/>
      <c r="I95" s="1135"/>
      <c r="N95" s="1163">
        <v>12</v>
      </c>
      <c r="O95" s="1164"/>
      <c r="P95" s="1164"/>
      <c r="Q95" s="1163">
        <v>12</v>
      </c>
      <c r="R95" s="1164"/>
      <c r="S95" s="1164"/>
      <c r="T95" s="1163">
        <v>4</v>
      </c>
      <c r="U95" s="1164"/>
      <c r="V95" s="1195"/>
      <c r="W95" s="1163">
        <v>4</v>
      </c>
      <c r="X95" s="1196"/>
      <c r="Y95" s="1196"/>
    </row>
    <row r="96" spans="1:25">
      <c r="A96" s="1133" t="s">
        <v>137</v>
      </c>
      <c r="B96" s="1135"/>
      <c r="C96" s="1135"/>
      <c r="D96" s="1135"/>
      <c r="E96" s="1135"/>
      <c r="F96" s="1135"/>
      <c r="G96" s="1135"/>
      <c r="H96" s="1135"/>
      <c r="I96" s="1135"/>
      <c r="N96" s="1163">
        <v>14</v>
      </c>
      <c r="O96" s="1164"/>
      <c r="P96" s="1164"/>
      <c r="Q96" s="1163">
        <v>14</v>
      </c>
      <c r="R96" s="1197"/>
      <c r="S96" s="1197"/>
      <c r="T96" s="1163">
        <v>6</v>
      </c>
      <c r="U96" s="1164"/>
      <c r="V96" s="1195"/>
      <c r="W96" s="1163">
        <v>6</v>
      </c>
      <c r="X96" s="1164"/>
      <c r="Y96" s="1164"/>
    </row>
    <row r="97" spans="1:25">
      <c r="A97" s="1133" t="s">
        <v>136</v>
      </c>
      <c r="B97" s="1135"/>
      <c r="C97" s="1135"/>
      <c r="D97" s="1135"/>
      <c r="E97" s="1135"/>
      <c r="F97" s="1135"/>
      <c r="G97" s="1135"/>
      <c r="H97" s="1135"/>
      <c r="I97" s="1135"/>
      <c r="N97" s="1163">
        <v>16</v>
      </c>
      <c r="O97" s="1164"/>
      <c r="P97" s="1164"/>
      <c r="Q97" s="1163">
        <v>16</v>
      </c>
      <c r="R97" s="1163"/>
      <c r="S97" s="1163"/>
      <c r="T97" s="1163">
        <v>8</v>
      </c>
      <c r="U97" s="1198"/>
      <c r="V97" s="1199"/>
      <c r="W97" s="1163">
        <v>8</v>
      </c>
      <c r="X97" s="1164"/>
      <c r="Y97" s="1164"/>
    </row>
    <row r="98" spans="1:25">
      <c r="A98" s="1133" t="s">
        <v>250</v>
      </c>
      <c r="B98" s="1143"/>
      <c r="C98" s="1135"/>
      <c r="D98" s="1135"/>
      <c r="E98" s="1135"/>
      <c r="F98" s="1135"/>
      <c r="G98" s="1135"/>
      <c r="H98" s="1135"/>
      <c r="I98" s="1135"/>
      <c r="N98" s="1163">
        <v>18</v>
      </c>
      <c r="O98" s="1164"/>
      <c r="P98" s="1164"/>
      <c r="Q98" s="1163">
        <v>18</v>
      </c>
      <c r="R98" s="1163"/>
      <c r="S98" s="1163"/>
      <c r="T98" s="1163">
        <v>10</v>
      </c>
      <c r="U98" s="1164"/>
      <c r="V98" s="1164"/>
      <c r="W98" s="1163">
        <v>10</v>
      </c>
      <c r="X98" s="1174"/>
      <c r="Y98" s="1174"/>
    </row>
    <row r="99" spans="1:25">
      <c r="A99" s="1136" t="s">
        <v>257</v>
      </c>
      <c r="B99" s="1135"/>
      <c r="C99" s="1135"/>
      <c r="D99" s="1135"/>
      <c r="E99" s="1135"/>
      <c r="F99" s="1135"/>
      <c r="G99" s="1135"/>
      <c r="H99" s="1135"/>
      <c r="I99" s="1135"/>
      <c r="N99" s="1163">
        <v>20</v>
      </c>
      <c r="O99" s="1164"/>
      <c r="P99" s="1164"/>
      <c r="Q99" s="1163">
        <v>20</v>
      </c>
      <c r="R99" s="1163"/>
      <c r="S99" s="1163"/>
      <c r="T99" s="1163">
        <v>12</v>
      </c>
      <c r="U99" s="1164"/>
      <c r="V99" s="1164"/>
      <c r="W99" s="1163">
        <v>12</v>
      </c>
      <c r="X99" s="1175"/>
      <c r="Y99" s="1175"/>
    </row>
    <row r="100" spans="1:25">
      <c r="A100" s="1136" t="s">
        <v>152</v>
      </c>
      <c r="B100" s="1135"/>
      <c r="C100" s="1135"/>
      <c r="D100" s="1135"/>
      <c r="E100" s="1135"/>
      <c r="F100" s="1135"/>
      <c r="G100" s="1135"/>
      <c r="H100" s="1135"/>
      <c r="I100" s="1135"/>
      <c r="N100" s="1163">
        <v>22</v>
      </c>
      <c r="O100" s="1164"/>
      <c r="P100" s="1164"/>
      <c r="Q100" s="1163">
        <v>22</v>
      </c>
      <c r="R100" s="1163"/>
      <c r="S100" s="1163"/>
      <c r="T100" s="1163">
        <v>14</v>
      </c>
      <c r="U100" s="1174"/>
      <c r="V100" s="1174"/>
      <c r="W100" s="1163">
        <v>14</v>
      </c>
      <c r="X100" s="1163"/>
      <c r="Y100" s="1163"/>
    </row>
    <row r="101" spans="1:25">
      <c r="A101" s="1136" t="s">
        <v>893</v>
      </c>
      <c r="B101" s="1135"/>
      <c r="C101" s="1135"/>
      <c r="D101" s="1135"/>
      <c r="E101" s="1135"/>
      <c r="F101" s="1135"/>
      <c r="G101" s="1135"/>
      <c r="H101" s="1135"/>
      <c r="I101" s="1135"/>
    </row>
    <row r="102" spans="1:25">
      <c r="B102" s="1130" t="s">
        <v>1232</v>
      </c>
    </row>
  </sheetData>
  <mergeCells count="19">
    <mergeCell ref="B82:I82"/>
    <mergeCell ref="B83:I83"/>
    <mergeCell ref="H84:I84"/>
    <mergeCell ref="B85:C85"/>
    <mergeCell ref="D85:I85"/>
    <mergeCell ref="T79:V79"/>
    <mergeCell ref="N67:P67"/>
    <mergeCell ref="Q67:S67"/>
    <mergeCell ref="B51:I51"/>
    <mergeCell ref="B53:I53"/>
    <mergeCell ref="B54:C54"/>
    <mergeCell ref="D54:I54"/>
    <mergeCell ref="B1:I1"/>
    <mergeCell ref="D4:I4"/>
    <mergeCell ref="B4:C4"/>
    <mergeCell ref="B2:I2"/>
    <mergeCell ref="W49:Y49"/>
    <mergeCell ref="T49:V49"/>
    <mergeCell ref="F3:I3"/>
  </mergeCells>
  <pageMargins left="0.5" right="0.25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85"/>
  <sheetViews>
    <sheetView topLeftCell="A7" workbookViewId="0">
      <selection activeCell="G113" sqref="G113"/>
    </sheetView>
  </sheetViews>
  <sheetFormatPr defaultRowHeight="14"/>
  <cols>
    <col min="1" max="1" width="18.453125" style="14" customWidth="1"/>
    <col min="2" max="2" width="5.90625" style="14" customWidth="1"/>
    <col min="3" max="3" width="6" style="14" customWidth="1"/>
    <col min="5" max="5" width="20.36328125" customWidth="1"/>
    <col min="6" max="6" width="5.08984375" customWidth="1"/>
    <col min="9" max="9" width="22.7265625" customWidth="1"/>
    <col min="13" max="13" width="12.81640625" customWidth="1"/>
    <col min="14" max="14" width="12.1796875" customWidth="1"/>
    <col min="15" max="15" width="22.90625" bestFit="1" customWidth="1"/>
    <col min="16" max="16" width="7.54296875" bestFit="1" customWidth="1"/>
    <col min="17" max="17" width="4.7265625" bestFit="1" customWidth="1"/>
    <col min="18" max="18" width="7.90625" bestFit="1" customWidth="1"/>
    <col min="19" max="19" width="8.54296875" bestFit="1" customWidth="1"/>
  </cols>
  <sheetData>
    <row r="1" spans="1:10" ht="15.5">
      <c r="A1" s="2928" t="s">
        <v>53</v>
      </c>
      <c r="B1" s="2928"/>
      <c r="C1" s="2928"/>
      <c r="D1" s="2928"/>
      <c r="E1" s="2928"/>
      <c r="F1" s="2928"/>
      <c r="G1" s="2928"/>
      <c r="H1" s="21"/>
      <c r="I1" s="21"/>
      <c r="J1" s="21"/>
    </row>
    <row r="2" spans="1:10">
      <c r="A2" s="59"/>
      <c r="B2" s="22" t="s">
        <v>46</v>
      </c>
      <c r="C2" s="23" t="s">
        <v>47</v>
      </c>
      <c r="D2" s="24"/>
      <c r="F2" s="22" t="s">
        <v>90</v>
      </c>
      <c r="G2" s="23" t="s">
        <v>47</v>
      </c>
    </row>
    <row r="3" spans="1:10">
      <c r="A3" s="12" t="s">
        <v>24</v>
      </c>
      <c r="B3" s="193">
        <v>1990</v>
      </c>
      <c r="C3" s="102">
        <v>119.5</v>
      </c>
      <c r="E3" s="12" t="s">
        <v>18</v>
      </c>
      <c r="F3" s="193">
        <v>1990</v>
      </c>
      <c r="G3" s="102">
        <v>334</v>
      </c>
    </row>
    <row r="4" spans="1:10">
      <c r="B4" s="193">
        <v>1991</v>
      </c>
      <c r="C4" s="102">
        <v>270</v>
      </c>
      <c r="E4" s="14"/>
      <c r="F4" s="193">
        <v>1991</v>
      </c>
      <c r="G4" s="102">
        <v>267</v>
      </c>
    </row>
    <row r="5" spans="1:10">
      <c r="B5" s="193">
        <v>1992</v>
      </c>
      <c r="C5" s="102">
        <v>201</v>
      </c>
      <c r="E5" s="14"/>
      <c r="F5" s="193">
        <v>1992</v>
      </c>
      <c r="G5" s="102">
        <v>277</v>
      </c>
    </row>
    <row r="6" spans="1:10">
      <c r="B6" s="193">
        <v>1993</v>
      </c>
      <c r="C6" s="102">
        <v>240</v>
      </c>
      <c r="E6" s="14"/>
      <c r="F6" s="193">
        <v>1993</v>
      </c>
      <c r="G6" s="102">
        <v>216</v>
      </c>
    </row>
    <row r="7" spans="1:10">
      <c r="B7" s="193">
        <v>1994</v>
      </c>
      <c r="C7" s="60">
        <v>100</v>
      </c>
      <c r="E7" s="14"/>
      <c r="F7" s="193">
        <v>1994</v>
      </c>
      <c r="G7" s="60">
        <v>122</v>
      </c>
    </row>
    <row r="8" spans="1:10">
      <c r="B8" s="193">
        <v>1995</v>
      </c>
      <c r="C8" s="60">
        <v>52</v>
      </c>
      <c r="E8" s="14"/>
      <c r="F8" s="193">
        <v>1995</v>
      </c>
      <c r="G8" s="60">
        <v>73</v>
      </c>
    </row>
    <row r="9" spans="1:10">
      <c r="B9" s="193">
        <v>1996</v>
      </c>
      <c r="C9" s="103">
        <v>66.1875</v>
      </c>
      <c r="E9" s="14"/>
      <c r="F9" s="193">
        <v>1996</v>
      </c>
      <c r="G9" s="103">
        <v>58.5</v>
      </c>
    </row>
    <row r="10" spans="1:10">
      <c r="B10" s="193">
        <v>1997</v>
      </c>
      <c r="C10" s="102">
        <v>85.579818007202547</v>
      </c>
      <c r="E10" s="14"/>
      <c r="F10" s="193">
        <v>1997</v>
      </c>
      <c r="G10" s="102">
        <v>63.093039493995008</v>
      </c>
    </row>
    <row r="11" spans="1:10">
      <c r="B11" s="193">
        <v>1998</v>
      </c>
      <c r="C11" s="102">
        <v>69.2</v>
      </c>
      <c r="E11" s="14"/>
      <c r="F11" s="193">
        <v>1998</v>
      </c>
      <c r="G11" s="102">
        <v>40.799999999999997</v>
      </c>
    </row>
    <row r="12" spans="1:10">
      <c r="B12" s="193">
        <v>1999</v>
      </c>
      <c r="C12" s="102">
        <v>54</v>
      </c>
      <c r="E12" s="14"/>
      <c r="F12" s="193">
        <v>1999</v>
      </c>
      <c r="G12" s="102">
        <v>38</v>
      </c>
    </row>
    <row r="13" spans="1:10">
      <c r="B13" s="193">
        <v>2000</v>
      </c>
      <c r="C13" s="102">
        <v>56</v>
      </c>
      <c r="E13" s="14"/>
      <c r="F13" s="193">
        <v>2000</v>
      </c>
      <c r="G13" s="102">
        <v>37</v>
      </c>
    </row>
    <row r="14" spans="1:10">
      <c r="B14" s="193">
        <v>2001</v>
      </c>
      <c r="C14" s="102">
        <v>64</v>
      </c>
      <c r="E14" s="14"/>
      <c r="F14" s="193">
        <v>2001</v>
      </c>
      <c r="G14" s="102">
        <v>22</v>
      </c>
    </row>
    <row r="15" spans="1:10">
      <c r="B15" s="193">
        <v>2002</v>
      </c>
      <c r="C15" s="102">
        <v>55.5</v>
      </c>
      <c r="E15" s="14"/>
      <c r="F15" s="193">
        <v>2002</v>
      </c>
      <c r="G15" s="102">
        <v>137.30000000000001</v>
      </c>
    </row>
    <row r="16" spans="1:10">
      <c r="B16" s="193">
        <v>2003</v>
      </c>
      <c r="C16" s="102">
        <v>52.9</v>
      </c>
      <c r="F16" s="193">
        <v>2003</v>
      </c>
      <c r="G16" s="102">
        <v>113.3</v>
      </c>
      <c r="I16" s="18"/>
    </row>
    <row r="17" spans="1:9">
      <c r="B17" s="193">
        <v>2004</v>
      </c>
      <c r="C17" s="102">
        <v>44.3</v>
      </c>
      <c r="F17" s="193">
        <v>2004</v>
      </c>
      <c r="G17" s="102">
        <v>34.1</v>
      </c>
      <c r="I17" s="18"/>
    </row>
    <row r="18" spans="1:9">
      <c r="B18" s="193">
        <v>2005</v>
      </c>
      <c r="C18" s="102">
        <v>47</v>
      </c>
      <c r="F18" s="193">
        <v>2005</v>
      </c>
      <c r="G18" s="102">
        <v>44</v>
      </c>
      <c r="I18" s="18"/>
    </row>
    <row r="19" spans="1:9">
      <c r="B19" s="193">
        <v>2006</v>
      </c>
      <c r="C19" s="102">
        <v>26</v>
      </c>
      <c r="F19" s="193">
        <v>2006</v>
      </c>
      <c r="G19" s="102">
        <v>21.3</v>
      </c>
      <c r="I19" s="18"/>
    </row>
    <row r="20" spans="1:9">
      <c r="B20" s="193">
        <v>2007</v>
      </c>
      <c r="C20" s="102">
        <v>31</v>
      </c>
      <c r="F20" s="193">
        <v>2007</v>
      </c>
      <c r="G20" s="102">
        <v>41</v>
      </c>
      <c r="I20" s="18"/>
    </row>
    <row r="21" spans="1:9">
      <c r="B21" s="193">
        <v>2008</v>
      </c>
      <c r="C21" s="102">
        <v>62.2</v>
      </c>
      <c r="F21" s="193">
        <v>2008</v>
      </c>
      <c r="G21" s="102">
        <v>37.700000000000003</v>
      </c>
      <c r="I21" s="18"/>
    </row>
    <row r="22" spans="1:9">
      <c r="B22" s="193">
        <v>2009</v>
      </c>
      <c r="C22" s="102">
        <v>35.299999999999997</v>
      </c>
      <c r="F22" s="193">
        <v>2009</v>
      </c>
      <c r="G22" s="102">
        <v>19.100000000000001</v>
      </c>
      <c r="I22" s="18"/>
    </row>
    <row r="23" spans="1:9">
      <c r="B23" s="193">
        <v>2010</v>
      </c>
      <c r="C23" s="102">
        <v>38.9</v>
      </c>
      <c r="F23" s="193">
        <v>2010</v>
      </c>
      <c r="G23" s="102">
        <v>45.9</v>
      </c>
      <c r="I23" s="18"/>
    </row>
    <row r="24" spans="1:9">
      <c r="B24" s="193">
        <v>2011</v>
      </c>
      <c r="C24" s="102">
        <v>47.9</v>
      </c>
      <c r="F24" s="193">
        <v>2011</v>
      </c>
      <c r="G24" s="102">
        <v>36.9</v>
      </c>
      <c r="I24" s="18"/>
    </row>
    <row r="25" spans="1:9">
      <c r="B25" s="193">
        <v>2012</v>
      </c>
      <c r="C25" s="102">
        <v>69.8</v>
      </c>
      <c r="F25" s="193">
        <v>2012</v>
      </c>
      <c r="G25" s="102">
        <v>61.7</v>
      </c>
      <c r="I25" s="18"/>
    </row>
    <row r="26" spans="1:9">
      <c r="B26" s="193">
        <v>2013</v>
      </c>
      <c r="C26" s="102">
        <v>59.8</v>
      </c>
      <c r="F26" s="193">
        <v>2013</v>
      </c>
      <c r="G26" s="102">
        <v>47.4</v>
      </c>
      <c r="I26" s="18"/>
    </row>
    <row r="27" spans="1:9">
      <c r="B27" s="302">
        <v>2014</v>
      </c>
      <c r="C27" s="102">
        <v>36.1</v>
      </c>
      <c r="F27" s="302">
        <v>2014</v>
      </c>
      <c r="G27" s="102">
        <v>28.4</v>
      </c>
      <c r="I27" s="18"/>
    </row>
    <row r="28" spans="1:9" s="358" customFormat="1">
      <c r="A28" s="14"/>
      <c r="B28" s="302">
        <v>2015</v>
      </c>
      <c r="C28" s="102">
        <v>69</v>
      </c>
      <c r="F28" s="302">
        <v>2015</v>
      </c>
      <c r="G28" s="102">
        <v>43</v>
      </c>
      <c r="I28" s="18"/>
    </row>
    <row r="29" spans="1:9" s="358" customFormat="1">
      <c r="A29" s="14"/>
      <c r="B29" s="302">
        <v>2016</v>
      </c>
      <c r="C29" s="102">
        <v>93</v>
      </c>
      <c r="F29" s="302">
        <v>2016</v>
      </c>
      <c r="G29" s="102">
        <v>33</v>
      </c>
      <c r="I29" s="18"/>
    </row>
    <row r="30" spans="1:9" s="358" customFormat="1">
      <c r="A30" s="14"/>
      <c r="B30" s="302">
        <v>2017</v>
      </c>
      <c r="C30" s="102">
        <v>57</v>
      </c>
      <c r="F30" s="302">
        <v>2017</v>
      </c>
      <c r="G30" s="102">
        <v>64</v>
      </c>
      <c r="I30" s="18"/>
    </row>
    <row r="31" spans="1:9" s="358" customFormat="1">
      <c r="A31" s="14"/>
      <c r="B31" s="302">
        <v>2018</v>
      </c>
      <c r="C31" s="102">
        <v>48</v>
      </c>
      <c r="F31" s="302">
        <v>2018</v>
      </c>
      <c r="G31" s="102">
        <v>49</v>
      </c>
      <c r="I31" s="18"/>
    </row>
    <row r="32" spans="1:9" s="358" customFormat="1">
      <c r="A32" s="14"/>
      <c r="B32" s="302"/>
      <c r="C32" s="102"/>
      <c r="F32" s="302"/>
      <c r="G32" s="102"/>
      <c r="I32" s="18"/>
    </row>
    <row r="33" spans="1:9">
      <c r="A33" s="12" t="s">
        <v>23</v>
      </c>
      <c r="B33" s="193">
        <v>1990</v>
      </c>
      <c r="C33" s="102">
        <v>124.5</v>
      </c>
      <c r="E33" s="12" t="s">
        <v>20</v>
      </c>
      <c r="F33" s="193">
        <v>1991</v>
      </c>
      <c r="G33" s="60"/>
      <c r="I33" s="18"/>
    </row>
    <row r="34" spans="1:9">
      <c r="B34" s="193">
        <v>1991</v>
      </c>
      <c r="C34" s="102">
        <v>137.19999999999999</v>
      </c>
      <c r="E34" s="14"/>
      <c r="F34" s="193">
        <v>1992</v>
      </c>
      <c r="G34" s="102">
        <v>121</v>
      </c>
      <c r="I34" s="18"/>
    </row>
    <row r="35" spans="1:9">
      <c r="B35" s="193">
        <v>1992</v>
      </c>
      <c r="C35" s="102">
        <v>140.21430000000001</v>
      </c>
      <c r="E35" s="14"/>
      <c r="F35" s="193">
        <v>1993</v>
      </c>
      <c r="G35" s="102">
        <v>146</v>
      </c>
      <c r="I35" s="18"/>
    </row>
    <row r="36" spans="1:9">
      <c r="B36" s="193">
        <v>1993</v>
      </c>
      <c r="C36" s="102">
        <v>164</v>
      </c>
      <c r="E36" s="14"/>
      <c r="F36" s="193">
        <v>1994</v>
      </c>
      <c r="G36" s="60">
        <v>69.625</v>
      </c>
      <c r="I36" s="18"/>
    </row>
    <row r="37" spans="1:9">
      <c r="B37" s="193">
        <v>1994</v>
      </c>
      <c r="C37" s="60">
        <v>79</v>
      </c>
      <c r="E37" s="14"/>
      <c r="F37" s="193">
        <v>1995</v>
      </c>
      <c r="G37" s="60">
        <v>73</v>
      </c>
      <c r="I37" s="18"/>
    </row>
    <row r="38" spans="1:9">
      <c r="B38" s="193">
        <v>1995</v>
      </c>
      <c r="C38" s="60">
        <v>37</v>
      </c>
      <c r="E38" s="14"/>
      <c r="F38" s="193">
        <v>1996</v>
      </c>
      <c r="G38" s="103">
        <v>32.5625</v>
      </c>
      <c r="I38" s="18"/>
    </row>
    <row r="39" spans="1:9">
      <c r="B39" s="193">
        <v>1996</v>
      </c>
      <c r="C39" s="103">
        <v>33.0625</v>
      </c>
      <c r="E39" s="14"/>
      <c r="F39" s="193">
        <v>1997</v>
      </c>
      <c r="G39" s="102">
        <v>45.862384843073144</v>
      </c>
      <c r="I39" s="18"/>
    </row>
    <row r="40" spans="1:9">
      <c r="B40" s="193">
        <v>1997</v>
      </c>
      <c r="C40" s="102">
        <v>44.577577959420516</v>
      </c>
      <c r="E40" s="14"/>
      <c r="F40" s="193">
        <v>1998</v>
      </c>
      <c r="G40" s="60">
        <v>35</v>
      </c>
      <c r="I40" s="18"/>
    </row>
    <row r="41" spans="1:9">
      <c r="B41" s="193">
        <v>1998</v>
      </c>
      <c r="C41" s="102">
        <v>39.799999999999997</v>
      </c>
      <c r="E41" s="14"/>
      <c r="F41" s="193">
        <v>1999</v>
      </c>
      <c r="G41" s="60">
        <v>36</v>
      </c>
      <c r="I41" s="18"/>
    </row>
    <row r="42" spans="1:9">
      <c r="B42" s="193">
        <v>1999</v>
      </c>
      <c r="C42" s="102">
        <v>37</v>
      </c>
      <c r="E42" s="14"/>
      <c r="F42" s="193">
        <v>2000</v>
      </c>
      <c r="G42" s="60">
        <v>55</v>
      </c>
      <c r="I42" s="18"/>
    </row>
    <row r="43" spans="1:9">
      <c r="B43" s="193">
        <v>2000</v>
      </c>
      <c r="C43" s="102">
        <v>57</v>
      </c>
      <c r="E43" s="14"/>
      <c r="F43" s="193">
        <v>2001</v>
      </c>
      <c r="G43" s="60">
        <v>42</v>
      </c>
      <c r="I43" s="18"/>
    </row>
    <row r="44" spans="1:9">
      <c r="B44" s="193">
        <v>2001</v>
      </c>
      <c r="C44" s="102">
        <v>42</v>
      </c>
      <c r="E44" s="14"/>
      <c r="F44" s="193">
        <v>2002</v>
      </c>
      <c r="G44" s="60">
        <v>34</v>
      </c>
      <c r="I44" s="18"/>
    </row>
    <row r="45" spans="1:9">
      <c r="B45" s="193">
        <v>2002</v>
      </c>
      <c r="C45" s="102">
        <v>49</v>
      </c>
      <c r="F45" s="193">
        <v>2003</v>
      </c>
      <c r="G45" s="60">
        <v>47.8</v>
      </c>
      <c r="I45" s="18"/>
    </row>
    <row r="46" spans="1:9">
      <c r="B46" s="193">
        <v>2003</v>
      </c>
      <c r="C46" s="102">
        <v>46.6</v>
      </c>
      <c r="F46" s="193">
        <v>2004</v>
      </c>
      <c r="G46" s="60">
        <v>30.1</v>
      </c>
      <c r="I46" s="18"/>
    </row>
    <row r="47" spans="1:9">
      <c r="B47" s="193">
        <v>2004</v>
      </c>
      <c r="C47" s="102">
        <v>26.9</v>
      </c>
      <c r="E47" s="31" t="s">
        <v>120</v>
      </c>
      <c r="F47" s="193">
        <v>2005</v>
      </c>
      <c r="G47" s="60">
        <v>37</v>
      </c>
      <c r="I47" s="18"/>
    </row>
    <row r="48" spans="1:9">
      <c r="B48" s="193">
        <v>2005</v>
      </c>
      <c r="C48" s="102">
        <v>34</v>
      </c>
      <c r="F48" s="193">
        <v>2006</v>
      </c>
      <c r="G48" s="60">
        <v>19.5</v>
      </c>
      <c r="I48" s="18"/>
    </row>
    <row r="49" spans="1:9">
      <c r="B49" s="193">
        <v>2006</v>
      </c>
      <c r="C49" s="102">
        <v>24.3</v>
      </c>
      <c r="F49" s="193">
        <v>2007</v>
      </c>
      <c r="G49" s="60">
        <v>36</v>
      </c>
      <c r="I49" s="18"/>
    </row>
    <row r="50" spans="1:9">
      <c r="B50" s="193">
        <v>2007</v>
      </c>
      <c r="C50" s="102">
        <v>31</v>
      </c>
      <c r="F50" s="193">
        <v>2008</v>
      </c>
      <c r="I50" s="18"/>
    </row>
    <row r="51" spans="1:9">
      <c r="B51" s="193"/>
      <c r="C51" s="102"/>
      <c r="F51" s="193">
        <v>2009</v>
      </c>
      <c r="I51" s="18"/>
    </row>
    <row r="52" spans="1:9">
      <c r="B52" s="193"/>
      <c r="C52" s="102"/>
      <c r="I52" s="18"/>
    </row>
    <row r="53" spans="1:9">
      <c r="B53" s="193"/>
      <c r="C53" s="102"/>
      <c r="I53" s="18"/>
    </row>
    <row r="54" spans="1:9">
      <c r="A54" s="12" t="s">
        <v>22</v>
      </c>
      <c r="B54" s="193">
        <v>1990</v>
      </c>
      <c r="C54" s="102">
        <v>129</v>
      </c>
      <c r="E54" s="12" t="s">
        <v>17</v>
      </c>
      <c r="F54" s="193">
        <v>1990</v>
      </c>
      <c r="G54" s="104">
        <v>537</v>
      </c>
      <c r="I54" s="18"/>
    </row>
    <row r="55" spans="1:9">
      <c r="B55" s="193">
        <v>1991</v>
      </c>
      <c r="C55" s="102">
        <v>144</v>
      </c>
      <c r="E55" s="14"/>
      <c r="F55" s="193">
        <v>1991</v>
      </c>
      <c r="G55" s="102">
        <v>383</v>
      </c>
      <c r="I55" s="18"/>
    </row>
    <row r="56" spans="1:9">
      <c r="B56" s="193">
        <v>1992</v>
      </c>
      <c r="C56" s="102">
        <v>146</v>
      </c>
      <c r="E56" s="14"/>
      <c r="F56" s="193">
        <v>1992</v>
      </c>
      <c r="G56" s="102">
        <v>362</v>
      </c>
      <c r="I56" s="18"/>
    </row>
    <row r="57" spans="1:9">
      <c r="B57" s="193">
        <v>1993</v>
      </c>
      <c r="C57" s="102">
        <v>175</v>
      </c>
      <c r="E57" s="14"/>
      <c r="F57" s="193">
        <v>1993</v>
      </c>
      <c r="G57" s="102">
        <v>269</v>
      </c>
      <c r="I57" s="18"/>
    </row>
    <row r="58" spans="1:9">
      <c r="B58" s="193">
        <v>1994</v>
      </c>
      <c r="C58" s="60">
        <v>83</v>
      </c>
      <c r="E58" s="14"/>
      <c r="F58" s="193">
        <v>1994</v>
      </c>
      <c r="G58" s="60">
        <v>91</v>
      </c>
      <c r="I58" s="18"/>
    </row>
    <row r="59" spans="1:9">
      <c r="B59" s="193">
        <v>1995</v>
      </c>
      <c r="C59" s="60">
        <v>34</v>
      </c>
      <c r="E59" s="14"/>
      <c r="F59" s="193">
        <v>1995</v>
      </c>
      <c r="G59" s="60">
        <v>47</v>
      </c>
      <c r="I59" s="18"/>
    </row>
    <row r="60" spans="1:9">
      <c r="B60" s="193">
        <v>1996</v>
      </c>
      <c r="C60" s="103">
        <v>29.4375</v>
      </c>
      <c r="E60" s="14"/>
      <c r="F60" s="193">
        <v>1996</v>
      </c>
      <c r="G60" s="103">
        <v>16.0625</v>
      </c>
      <c r="I60" s="18"/>
    </row>
    <row r="61" spans="1:9">
      <c r="B61" s="193">
        <v>1997</v>
      </c>
      <c r="C61" s="86">
        <v>38</v>
      </c>
      <c r="E61" s="14"/>
      <c r="F61" s="193">
        <v>1997</v>
      </c>
      <c r="G61" s="86">
        <v>80</v>
      </c>
      <c r="I61" s="18"/>
    </row>
    <row r="62" spans="1:9">
      <c r="B62" s="193">
        <v>1998</v>
      </c>
      <c r="C62" s="86">
        <v>33.299999999999997</v>
      </c>
      <c r="E62" s="14"/>
      <c r="F62" s="193">
        <v>1998</v>
      </c>
      <c r="G62" s="86">
        <v>33</v>
      </c>
      <c r="I62" s="18"/>
    </row>
    <row r="63" spans="1:9">
      <c r="B63" s="193">
        <v>1999</v>
      </c>
      <c r="C63" s="86">
        <v>34</v>
      </c>
      <c r="E63" s="14"/>
      <c r="F63" s="193">
        <v>1999</v>
      </c>
      <c r="G63" s="86">
        <v>47</v>
      </c>
      <c r="I63" s="18"/>
    </row>
    <row r="64" spans="1:9">
      <c r="B64" s="193">
        <v>2000</v>
      </c>
      <c r="C64" s="86">
        <v>59</v>
      </c>
      <c r="E64" s="14"/>
      <c r="F64" s="193">
        <v>2000</v>
      </c>
      <c r="G64" s="86">
        <v>19</v>
      </c>
      <c r="I64" s="18"/>
    </row>
    <row r="65" spans="1:9">
      <c r="B65" s="193">
        <v>2001</v>
      </c>
      <c r="C65" s="86">
        <v>42</v>
      </c>
      <c r="E65" s="14"/>
      <c r="F65" s="193">
        <v>2001</v>
      </c>
      <c r="G65" s="86">
        <v>22</v>
      </c>
      <c r="I65" s="18"/>
    </row>
    <row r="66" spans="1:9">
      <c r="B66" s="193">
        <v>2002</v>
      </c>
      <c r="C66" s="86">
        <v>46.1</v>
      </c>
      <c r="E66" s="14"/>
      <c r="F66" s="193">
        <v>2002</v>
      </c>
      <c r="G66" s="86">
        <v>14.9</v>
      </c>
      <c r="I66" s="18"/>
    </row>
    <row r="67" spans="1:9">
      <c r="B67" s="193">
        <v>2003</v>
      </c>
      <c r="C67" s="86">
        <v>49.1</v>
      </c>
      <c r="F67" s="193">
        <v>2003</v>
      </c>
      <c r="G67" s="86">
        <v>22.6</v>
      </c>
      <c r="I67" s="18"/>
    </row>
    <row r="68" spans="1:9">
      <c r="B68" s="193">
        <v>2004</v>
      </c>
      <c r="C68" s="86">
        <v>24.3</v>
      </c>
      <c r="F68" s="193">
        <v>2004</v>
      </c>
      <c r="G68" s="86">
        <v>21.7</v>
      </c>
      <c r="I68" s="18"/>
    </row>
    <row r="69" spans="1:9">
      <c r="B69" s="193">
        <v>2005</v>
      </c>
      <c r="C69" s="86">
        <v>33</v>
      </c>
      <c r="F69" s="193">
        <v>2005</v>
      </c>
      <c r="G69" s="86">
        <v>23</v>
      </c>
      <c r="I69" s="18"/>
    </row>
    <row r="70" spans="1:9">
      <c r="B70" s="193">
        <v>2006</v>
      </c>
      <c r="C70" s="86">
        <v>21.6</v>
      </c>
      <c r="F70" s="193">
        <v>2006</v>
      </c>
      <c r="G70" s="86">
        <v>7.6</v>
      </c>
      <c r="I70" s="18"/>
    </row>
    <row r="71" spans="1:9">
      <c r="B71" s="193">
        <v>2007</v>
      </c>
      <c r="C71" s="86">
        <v>30</v>
      </c>
      <c r="F71" s="193">
        <v>2007</v>
      </c>
      <c r="G71" s="86">
        <v>23</v>
      </c>
      <c r="I71" s="18"/>
    </row>
    <row r="72" spans="1:9">
      <c r="B72" s="193">
        <v>2008</v>
      </c>
      <c r="C72" s="86">
        <v>39.799999999999997</v>
      </c>
      <c r="F72" s="193">
        <v>2008</v>
      </c>
      <c r="G72" s="86">
        <v>14.8</v>
      </c>
      <c r="I72" s="18"/>
    </row>
    <row r="73" spans="1:9">
      <c r="B73" s="193">
        <v>2009</v>
      </c>
      <c r="C73" s="86">
        <v>34.200000000000003</v>
      </c>
      <c r="F73" s="193">
        <v>2009</v>
      </c>
      <c r="G73" s="86">
        <v>35.5</v>
      </c>
      <c r="I73" s="18"/>
    </row>
    <row r="74" spans="1:9">
      <c r="B74" s="193">
        <v>2010</v>
      </c>
      <c r="C74" s="86">
        <v>28.3</v>
      </c>
      <c r="F74" s="193">
        <v>2010</v>
      </c>
      <c r="G74" s="86">
        <v>19.3</v>
      </c>
      <c r="I74" s="18"/>
    </row>
    <row r="75" spans="1:9">
      <c r="B75" s="193">
        <v>2011</v>
      </c>
      <c r="C75" s="86">
        <v>33.700000000000003</v>
      </c>
      <c r="F75" s="193">
        <v>2011</v>
      </c>
      <c r="G75" s="86">
        <v>12.5</v>
      </c>
      <c r="I75" s="18"/>
    </row>
    <row r="76" spans="1:9">
      <c r="B76" s="193">
        <v>2012</v>
      </c>
      <c r="C76" s="86">
        <v>53.4</v>
      </c>
      <c r="F76" s="193">
        <v>2012</v>
      </c>
      <c r="G76" s="86">
        <v>32.299999999999997</v>
      </c>
      <c r="I76" s="18"/>
    </row>
    <row r="77" spans="1:9">
      <c r="B77" s="193">
        <v>2013</v>
      </c>
      <c r="C77" s="86">
        <v>71.400000000000006</v>
      </c>
      <c r="F77" s="193">
        <v>2013</v>
      </c>
      <c r="G77" s="86">
        <v>21.8</v>
      </c>
      <c r="I77" s="18"/>
    </row>
    <row r="78" spans="1:9">
      <c r="B78" s="302">
        <v>2014</v>
      </c>
      <c r="C78" s="86">
        <v>24.8</v>
      </c>
      <c r="F78" s="302">
        <v>2014</v>
      </c>
      <c r="G78" s="86">
        <v>19.899999999999999</v>
      </c>
      <c r="I78" s="18"/>
    </row>
    <row r="79" spans="1:9" s="358" customFormat="1">
      <c r="A79" s="14"/>
      <c r="B79" s="302">
        <v>2015</v>
      </c>
      <c r="C79" s="86">
        <v>42</v>
      </c>
      <c r="F79" s="302">
        <v>2015</v>
      </c>
      <c r="G79" s="86">
        <v>54</v>
      </c>
      <c r="I79" s="18"/>
    </row>
    <row r="80" spans="1:9" s="358" customFormat="1">
      <c r="A80" s="14"/>
      <c r="B80" s="302">
        <v>2016</v>
      </c>
      <c r="C80" s="86">
        <v>38</v>
      </c>
      <c r="F80" s="302">
        <v>2016</v>
      </c>
      <c r="G80" s="86">
        <v>25</v>
      </c>
      <c r="I80" s="18"/>
    </row>
    <row r="81" spans="1:9" s="358" customFormat="1">
      <c r="A81" s="14"/>
      <c r="B81" s="302">
        <v>2017</v>
      </c>
      <c r="C81" s="86">
        <v>33</v>
      </c>
      <c r="F81" s="302">
        <v>2017</v>
      </c>
      <c r="G81" s="86">
        <v>79</v>
      </c>
      <c r="I81" s="18"/>
    </row>
    <row r="82" spans="1:9" s="358" customFormat="1">
      <c r="A82" s="14"/>
      <c r="B82" s="302">
        <v>2018</v>
      </c>
      <c r="C82" s="86">
        <v>41</v>
      </c>
      <c r="F82" s="302">
        <v>2018</v>
      </c>
      <c r="G82" s="86">
        <v>24</v>
      </c>
      <c r="I82" s="18"/>
    </row>
    <row r="83" spans="1:9" s="358" customFormat="1">
      <c r="A83" s="14"/>
      <c r="B83" s="302"/>
      <c r="C83" s="86"/>
      <c r="F83" s="302"/>
      <c r="G83" s="86"/>
      <c r="I83" s="18"/>
    </row>
    <row r="84" spans="1:9" ht="15.5">
      <c r="A84" s="2928" t="s">
        <v>53</v>
      </c>
      <c r="B84" s="2928"/>
      <c r="C84" s="2928"/>
      <c r="D84" s="2928"/>
      <c r="E84" s="2928"/>
      <c r="F84" s="2928"/>
      <c r="G84" s="2928"/>
      <c r="I84" s="18"/>
    </row>
    <row r="85" spans="1:9">
      <c r="B85" s="22" t="s">
        <v>90</v>
      </c>
      <c r="C85" s="23" t="s">
        <v>47</v>
      </c>
      <c r="F85" s="22" t="s">
        <v>90</v>
      </c>
      <c r="G85" s="23" t="s">
        <v>47</v>
      </c>
      <c r="I85" s="18"/>
    </row>
    <row r="86" spans="1:9">
      <c r="A86" s="12" t="s">
        <v>19</v>
      </c>
      <c r="B86" s="193">
        <v>1990</v>
      </c>
      <c r="C86" s="102">
        <v>128</v>
      </c>
      <c r="E86" s="12" t="s">
        <v>51</v>
      </c>
      <c r="F86" s="193">
        <v>1990</v>
      </c>
      <c r="G86" s="60">
        <f t="shared" ref="G86:G111" si="0">(G54+G3)/2</f>
        <v>435.5</v>
      </c>
      <c r="I86" s="18"/>
    </row>
    <row r="87" spans="1:9">
      <c r="B87" s="193">
        <v>1991</v>
      </c>
      <c r="C87" s="102">
        <v>181</v>
      </c>
      <c r="E87" s="14"/>
      <c r="F87" s="193">
        <v>1991</v>
      </c>
      <c r="G87" s="60">
        <f t="shared" si="0"/>
        <v>325</v>
      </c>
      <c r="I87" s="18"/>
    </row>
    <row r="88" spans="1:9">
      <c r="B88" s="193">
        <v>1992</v>
      </c>
      <c r="C88" s="102">
        <v>157</v>
      </c>
      <c r="E88" s="14"/>
      <c r="F88" s="193">
        <v>1992</v>
      </c>
      <c r="G88" s="60">
        <f t="shared" si="0"/>
        <v>319.5</v>
      </c>
      <c r="I88" s="18"/>
    </row>
    <row r="89" spans="1:9">
      <c r="B89" s="193">
        <v>1993</v>
      </c>
      <c r="C89" s="102">
        <v>177</v>
      </c>
      <c r="E89" s="14"/>
      <c r="F89" s="193">
        <v>1993</v>
      </c>
      <c r="G89" s="60">
        <f t="shared" si="0"/>
        <v>242.5</v>
      </c>
      <c r="I89" s="18"/>
    </row>
    <row r="90" spans="1:9">
      <c r="B90" s="193">
        <v>1994</v>
      </c>
      <c r="C90" s="60">
        <v>92</v>
      </c>
      <c r="E90" s="14"/>
      <c r="F90" s="193">
        <v>1994</v>
      </c>
      <c r="G90" s="60">
        <f t="shared" si="0"/>
        <v>106.5</v>
      </c>
      <c r="I90" s="18"/>
    </row>
    <row r="91" spans="1:9">
      <c r="B91" s="193">
        <v>1995</v>
      </c>
      <c r="C91" s="60">
        <v>36</v>
      </c>
      <c r="E91" s="14"/>
      <c r="F91" s="193">
        <v>1995</v>
      </c>
      <c r="G91" s="60">
        <f t="shared" si="0"/>
        <v>60</v>
      </c>
      <c r="I91" s="18"/>
    </row>
    <row r="92" spans="1:9">
      <c r="B92" s="193">
        <v>1996</v>
      </c>
      <c r="C92" s="103">
        <v>34.9375</v>
      </c>
      <c r="E92" s="14"/>
      <c r="F92" s="193">
        <v>1996</v>
      </c>
      <c r="G92" s="60">
        <f t="shared" si="0"/>
        <v>37.28125</v>
      </c>
      <c r="I92" s="18"/>
    </row>
    <row r="93" spans="1:9">
      <c r="B93" s="193">
        <v>1997</v>
      </c>
      <c r="C93" s="102">
        <v>39</v>
      </c>
      <c r="E93" s="14"/>
      <c r="F93" s="193">
        <v>1997</v>
      </c>
      <c r="G93" s="60">
        <f t="shared" si="0"/>
        <v>71.546519746997504</v>
      </c>
      <c r="I93" s="18"/>
    </row>
    <row r="94" spans="1:9">
      <c r="B94" s="193">
        <v>1998</v>
      </c>
      <c r="C94" s="102">
        <v>34.5</v>
      </c>
      <c r="E94" s="14"/>
      <c r="F94" s="193">
        <v>1998</v>
      </c>
      <c r="G94" s="60">
        <f t="shared" si="0"/>
        <v>36.9</v>
      </c>
      <c r="I94" s="18"/>
    </row>
    <row r="95" spans="1:9">
      <c r="B95" s="193">
        <v>1999</v>
      </c>
      <c r="C95" s="102">
        <v>35</v>
      </c>
      <c r="E95" s="14"/>
      <c r="F95" s="193">
        <v>1999</v>
      </c>
      <c r="G95" s="60">
        <f t="shared" si="0"/>
        <v>42.5</v>
      </c>
      <c r="I95" s="18"/>
    </row>
    <row r="96" spans="1:9">
      <c r="B96" s="193">
        <v>2000</v>
      </c>
      <c r="C96" s="102">
        <v>58</v>
      </c>
      <c r="E96" s="14"/>
      <c r="F96" s="193">
        <v>2000</v>
      </c>
      <c r="G96" s="60">
        <f t="shared" si="0"/>
        <v>28</v>
      </c>
      <c r="I96" s="18"/>
    </row>
    <row r="97" spans="1:20">
      <c r="B97" s="193">
        <v>2001</v>
      </c>
      <c r="C97" s="102">
        <v>46</v>
      </c>
      <c r="E97" s="14"/>
      <c r="F97" s="193">
        <v>2001</v>
      </c>
      <c r="G97" s="60">
        <f t="shared" si="0"/>
        <v>22</v>
      </c>
      <c r="I97" s="18"/>
    </row>
    <row r="98" spans="1:20">
      <c r="B98" s="193">
        <v>2002</v>
      </c>
      <c r="C98" s="102">
        <v>46.9</v>
      </c>
      <c r="E98" s="14"/>
      <c r="F98" s="193">
        <v>2002</v>
      </c>
      <c r="G98" s="60">
        <f t="shared" si="0"/>
        <v>76.100000000000009</v>
      </c>
      <c r="I98" s="18"/>
    </row>
    <row r="99" spans="1:20">
      <c r="B99" s="193">
        <v>2003</v>
      </c>
      <c r="C99" s="102">
        <v>63.3</v>
      </c>
      <c r="F99" s="193">
        <v>2003</v>
      </c>
      <c r="G99" s="60">
        <f t="shared" si="0"/>
        <v>67.95</v>
      </c>
      <c r="I99" s="18"/>
    </row>
    <row r="100" spans="1:20">
      <c r="B100" s="193">
        <v>2004</v>
      </c>
      <c r="C100" s="102">
        <v>30.1</v>
      </c>
      <c r="F100" s="193">
        <v>2004</v>
      </c>
      <c r="G100" s="60">
        <f t="shared" si="0"/>
        <v>27.9</v>
      </c>
      <c r="I100" s="18"/>
    </row>
    <row r="101" spans="1:20">
      <c r="B101" s="193">
        <v>2005</v>
      </c>
      <c r="C101" s="102">
        <v>32</v>
      </c>
      <c r="F101" s="193">
        <v>2005</v>
      </c>
      <c r="G101" s="60">
        <f t="shared" si="0"/>
        <v>33.5</v>
      </c>
      <c r="I101" s="18"/>
    </row>
    <row r="102" spans="1:20">
      <c r="B102" s="193">
        <v>2006</v>
      </c>
      <c r="C102" s="102">
        <v>22.8</v>
      </c>
      <c r="F102" s="193">
        <v>2006</v>
      </c>
      <c r="G102" s="60">
        <f t="shared" si="0"/>
        <v>14.45</v>
      </c>
      <c r="I102" s="18"/>
    </row>
    <row r="103" spans="1:20">
      <c r="B103" s="193">
        <v>2007</v>
      </c>
      <c r="C103" s="102">
        <v>31</v>
      </c>
      <c r="F103" s="193">
        <v>2007</v>
      </c>
      <c r="G103" s="60">
        <f t="shared" si="0"/>
        <v>32</v>
      </c>
      <c r="I103" s="18"/>
    </row>
    <row r="104" spans="1:20" ht="28.5" customHeight="1">
      <c r="B104" s="193">
        <v>2008</v>
      </c>
      <c r="C104" s="102">
        <v>29</v>
      </c>
      <c r="F104" s="193">
        <v>2008</v>
      </c>
      <c r="G104" s="60">
        <f t="shared" si="0"/>
        <v>26.25</v>
      </c>
      <c r="I104" s="18"/>
      <c r="J104" s="305" t="s">
        <v>85</v>
      </c>
      <c r="K104" s="305" t="s">
        <v>77</v>
      </c>
      <c r="L104" s="305" t="s">
        <v>86</v>
      </c>
      <c r="M104" s="305" t="s">
        <v>87</v>
      </c>
      <c r="N104" s="305" t="s">
        <v>88</v>
      </c>
      <c r="P104" s="569" t="s">
        <v>85</v>
      </c>
      <c r="Q104" s="569" t="s">
        <v>77</v>
      </c>
      <c r="R104" s="569" t="s">
        <v>86</v>
      </c>
      <c r="S104" s="569" t="s">
        <v>87</v>
      </c>
      <c r="T104" s="569" t="s">
        <v>88</v>
      </c>
    </row>
    <row r="105" spans="1:20">
      <c r="B105" s="193">
        <v>2009</v>
      </c>
      <c r="C105" s="102">
        <v>24.2</v>
      </c>
      <c r="F105" s="193">
        <v>2009</v>
      </c>
      <c r="G105" s="60">
        <f t="shared" si="0"/>
        <v>27.3</v>
      </c>
      <c r="I105" s="335" t="s">
        <v>311</v>
      </c>
      <c r="J105">
        <v>54.333333333333336</v>
      </c>
      <c r="K105">
        <v>277</v>
      </c>
      <c r="L105">
        <v>67.666666666666671</v>
      </c>
      <c r="M105">
        <v>55.466666666666669</v>
      </c>
      <c r="N105">
        <v>87.833333333333329</v>
      </c>
      <c r="O105" s="335" t="s">
        <v>311</v>
      </c>
      <c r="P105">
        <v>79.071428571428569</v>
      </c>
      <c r="Q105">
        <v>849</v>
      </c>
      <c r="R105">
        <v>155.33333333333334</v>
      </c>
      <c r="S105">
        <v>45</v>
      </c>
      <c r="T105">
        <v>61.833333333333336</v>
      </c>
    </row>
    <row r="106" spans="1:20">
      <c r="B106" s="193">
        <v>2010</v>
      </c>
      <c r="C106" s="102">
        <v>31.1</v>
      </c>
      <c r="F106" s="193">
        <v>2010</v>
      </c>
      <c r="G106" s="60">
        <f t="shared" si="0"/>
        <v>32.6</v>
      </c>
      <c r="I106" s="335" t="s">
        <v>310</v>
      </c>
      <c r="J106">
        <v>43.133333333333333</v>
      </c>
      <c r="K106">
        <v>112</v>
      </c>
      <c r="L106">
        <v>54.166666666666664</v>
      </c>
      <c r="O106" s="335" t="s">
        <v>310</v>
      </c>
      <c r="P106">
        <v>64.357142857142861</v>
      </c>
      <c r="Q106">
        <v>356</v>
      </c>
      <c r="R106">
        <v>53.166666666666664</v>
      </c>
    </row>
    <row r="107" spans="1:20">
      <c r="B107" s="193">
        <v>2011</v>
      </c>
      <c r="C107" s="102">
        <v>39.5</v>
      </c>
      <c r="F107" s="193">
        <v>2011</v>
      </c>
      <c r="G107" s="60">
        <f t="shared" si="0"/>
        <v>24.7</v>
      </c>
      <c r="I107" s="336" t="s">
        <v>312</v>
      </c>
      <c r="J107">
        <v>37.6</v>
      </c>
      <c r="K107">
        <v>76</v>
      </c>
      <c r="L107">
        <v>39.333333333333336</v>
      </c>
      <c r="O107" s="336" t="s">
        <v>312</v>
      </c>
      <c r="P107">
        <v>44.285714285714285</v>
      </c>
      <c r="Q107">
        <v>123</v>
      </c>
      <c r="R107">
        <v>59.166666666666664</v>
      </c>
    </row>
    <row r="108" spans="1:20">
      <c r="B108" s="193">
        <v>2012</v>
      </c>
      <c r="C108" s="102">
        <v>55.9</v>
      </c>
      <c r="F108" s="193">
        <v>2012</v>
      </c>
      <c r="G108" s="60">
        <f t="shared" si="0"/>
        <v>47</v>
      </c>
      <c r="I108" s="336" t="s">
        <v>972</v>
      </c>
      <c r="J108">
        <v>42</v>
      </c>
      <c r="K108">
        <v>112</v>
      </c>
      <c r="L108">
        <v>60</v>
      </c>
      <c r="O108" s="336" t="s">
        <v>972</v>
      </c>
      <c r="P108">
        <v>29</v>
      </c>
      <c r="Q108">
        <v>54</v>
      </c>
      <c r="R108">
        <v>37.5</v>
      </c>
    </row>
    <row r="109" spans="1:20">
      <c r="B109" s="193">
        <v>2013</v>
      </c>
      <c r="C109" s="102">
        <v>82.4</v>
      </c>
      <c r="F109" s="193">
        <v>2013</v>
      </c>
      <c r="G109" s="60">
        <f t="shared" si="0"/>
        <v>34.6</v>
      </c>
      <c r="I109" s="336" t="s">
        <v>317</v>
      </c>
      <c r="J109">
        <v>68.933333333333337</v>
      </c>
      <c r="K109">
        <v>191</v>
      </c>
      <c r="L109">
        <v>115.66666666666667</v>
      </c>
      <c r="O109" s="336" t="s">
        <v>317</v>
      </c>
      <c r="P109">
        <v>32.928571428571431</v>
      </c>
      <c r="Q109">
        <v>80</v>
      </c>
      <c r="R109">
        <v>51</v>
      </c>
    </row>
    <row r="110" spans="1:20">
      <c r="B110" s="302">
        <v>2014</v>
      </c>
      <c r="C110" s="102">
        <v>25</v>
      </c>
      <c r="F110" s="302">
        <v>2014</v>
      </c>
      <c r="G110" s="60">
        <f t="shared" si="0"/>
        <v>24.15</v>
      </c>
      <c r="I110" s="336" t="s">
        <v>319</v>
      </c>
      <c r="J110">
        <v>55.466666666666669</v>
      </c>
      <c r="K110">
        <v>151.5</v>
      </c>
      <c r="L110">
        <v>87.833333333333329</v>
      </c>
      <c r="O110" s="336" t="s">
        <v>319</v>
      </c>
      <c r="P110">
        <v>57.071428571428569</v>
      </c>
      <c r="Q110">
        <v>111</v>
      </c>
      <c r="R110">
        <v>72.666666666666671</v>
      </c>
    </row>
    <row r="111" spans="1:20" s="358" customFormat="1" ht="14.5" customHeight="1">
      <c r="A111" s="14"/>
      <c r="B111" s="302">
        <v>2015</v>
      </c>
      <c r="C111" s="102">
        <v>38</v>
      </c>
      <c r="F111" s="302">
        <v>2015</v>
      </c>
      <c r="G111" s="60">
        <f t="shared" si="0"/>
        <v>48.5</v>
      </c>
      <c r="I111" s="712" t="s">
        <v>318</v>
      </c>
      <c r="O111" s="712" t="s">
        <v>318</v>
      </c>
      <c r="P111" s="358">
        <v>45</v>
      </c>
      <c r="Q111" s="358">
        <v>84.5</v>
      </c>
      <c r="R111" s="358">
        <v>61.833333333333336</v>
      </c>
    </row>
    <row r="112" spans="1:20" s="358" customFormat="1">
      <c r="A112" s="14"/>
      <c r="B112" s="302">
        <v>2016</v>
      </c>
      <c r="C112" s="102">
        <v>39</v>
      </c>
      <c r="F112" s="302">
        <v>2016</v>
      </c>
      <c r="G112" s="60">
        <v>29</v>
      </c>
      <c r="I112" s="18"/>
    </row>
    <row r="113" spans="1:20" s="358" customFormat="1">
      <c r="A113" s="14"/>
      <c r="B113" s="302">
        <v>2017</v>
      </c>
      <c r="C113" s="102">
        <v>44</v>
      </c>
      <c r="F113" s="302">
        <v>2017</v>
      </c>
      <c r="G113" s="60">
        <v>71</v>
      </c>
      <c r="I113" s="18"/>
    </row>
    <row r="114" spans="1:20" s="358" customFormat="1">
      <c r="A114" s="14"/>
      <c r="B114" s="302">
        <v>2018</v>
      </c>
      <c r="C114" s="102">
        <v>32</v>
      </c>
      <c r="F114" s="302">
        <v>2018</v>
      </c>
      <c r="G114" s="60">
        <v>36</v>
      </c>
      <c r="I114" s="18"/>
    </row>
    <row r="115" spans="1:20" s="358" customFormat="1">
      <c r="A115" s="14"/>
      <c r="B115" s="302"/>
      <c r="C115" s="102"/>
      <c r="F115" s="302"/>
      <c r="G115" s="60"/>
      <c r="I115" s="18"/>
    </row>
    <row r="116" spans="1:20" ht="31.5">
      <c r="A116" s="12" t="s">
        <v>16</v>
      </c>
      <c r="B116" s="193">
        <v>1990</v>
      </c>
      <c r="C116" s="60">
        <f t="shared" ref="C116:C130" si="1">(C3+C33+C54)/3</f>
        <v>124.33333333333333</v>
      </c>
      <c r="E116" s="12" t="s">
        <v>52</v>
      </c>
      <c r="F116" s="193">
        <v>1990</v>
      </c>
      <c r="G116" s="60">
        <f t="shared" ref="G116:G144" si="2">+G86-C86</f>
        <v>307.5</v>
      </c>
      <c r="I116" s="18"/>
      <c r="J116" s="305" t="s">
        <v>85</v>
      </c>
      <c r="K116" s="305" t="s">
        <v>77</v>
      </c>
      <c r="L116" s="305" t="s">
        <v>86</v>
      </c>
      <c r="M116" s="305" t="s">
        <v>87</v>
      </c>
      <c r="N116" s="305" t="s">
        <v>88</v>
      </c>
      <c r="O116" s="4">
        <v>2018</v>
      </c>
      <c r="P116" s="305" t="s">
        <v>85</v>
      </c>
      <c r="Q116" s="305" t="s">
        <v>77</v>
      </c>
      <c r="R116" s="305" t="s">
        <v>86</v>
      </c>
      <c r="S116" s="305" t="s">
        <v>87</v>
      </c>
      <c r="T116" s="305" t="s">
        <v>88</v>
      </c>
    </row>
    <row r="117" spans="1:20">
      <c r="B117" s="193">
        <v>1991</v>
      </c>
      <c r="C117" s="60">
        <f t="shared" si="1"/>
        <v>183.73333333333335</v>
      </c>
      <c r="E117" s="14"/>
      <c r="F117" s="193">
        <v>1991</v>
      </c>
      <c r="G117" s="60">
        <f t="shared" si="2"/>
        <v>144</v>
      </c>
      <c r="I117" s="335" t="s">
        <v>311</v>
      </c>
      <c r="J117">
        <v>24.533333333333335</v>
      </c>
      <c r="K117">
        <v>90</v>
      </c>
      <c r="L117">
        <v>19</v>
      </c>
      <c r="M117">
        <v>64.551724137931032</v>
      </c>
      <c r="N117">
        <v>95.083333333333329</v>
      </c>
      <c r="O117" s="335" t="s">
        <v>311</v>
      </c>
      <c r="P117">
        <v>23.642857142857142</v>
      </c>
      <c r="Q117">
        <v>87</v>
      </c>
      <c r="R117">
        <v>31.833333333333332</v>
      </c>
      <c r="S117">
        <v>44.642857142857146</v>
      </c>
      <c r="T117">
        <v>61.833333333333336</v>
      </c>
    </row>
    <row r="118" spans="1:20">
      <c r="B118" s="193">
        <v>1992</v>
      </c>
      <c r="C118" s="60">
        <f t="shared" si="1"/>
        <v>162.40476666666666</v>
      </c>
      <c r="E118" s="14"/>
      <c r="F118" s="193">
        <v>1992</v>
      </c>
      <c r="G118" s="60">
        <f t="shared" si="2"/>
        <v>162.5</v>
      </c>
      <c r="I118" s="335" t="s">
        <v>310</v>
      </c>
      <c r="J118">
        <v>33.266666666666666</v>
      </c>
      <c r="K118">
        <v>104</v>
      </c>
      <c r="L118">
        <v>37.166666666666664</v>
      </c>
      <c r="O118" s="335" t="s">
        <v>310</v>
      </c>
      <c r="P118">
        <v>48.5</v>
      </c>
      <c r="Q118">
        <v>110</v>
      </c>
      <c r="R118">
        <v>55.166666666666664</v>
      </c>
    </row>
    <row r="119" spans="1:20">
      <c r="B119" s="193">
        <v>1993</v>
      </c>
      <c r="C119" s="60">
        <f t="shared" si="1"/>
        <v>193</v>
      </c>
      <c r="E119" s="14"/>
      <c r="F119" s="193">
        <v>1993</v>
      </c>
      <c r="G119" s="60">
        <f t="shared" si="2"/>
        <v>65.5</v>
      </c>
      <c r="I119" s="336" t="s">
        <v>312</v>
      </c>
      <c r="J119">
        <v>38.733333333333334</v>
      </c>
      <c r="K119">
        <v>97</v>
      </c>
      <c r="L119">
        <v>57.333333333333336</v>
      </c>
      <c r="O119" s="336" t="s">
        <v>312</v>
      </c>
      <c r="P119">
        <v>32.142857142857146</v>
      </c>
      <c r="Q119">
        <v>62</v>
      </c>
      <c r="R119">
        <v>41.5</v>
      </c>
    </row>
    <row r="120" spans="1:20">
      <c r="B120" s="193">
        <v>1994</v>
      </c>
      <c r="C120" s="60">
        <f t="shared" si="1"/>
        <v>87.333333333333329</v>
      </c>
      <c r="E120" s="14"/>
      <c r="F120" s="193">
        <v>1994</v>
      </c>
      <c r="G120" s="60">
        <f t="shared" si="2"/>
        <v>14.5</v>
      </c>
      <c r="I120" s="336" t="s">
        <v>972</v>
      </c>
      <c r="J120">
        <v>39.200000000000003</v>
      </c>
      <c r="K120">
        <v>102</v>
      </c>
      <c r="L120">
        <v>36.166666666666664</v>
      </c>
      <c r="O120" s="336" t="s">
        <v>972</v>
      </c>
      <c r="P120">
        <v>25.5</v>
      </c>
      <c r="Q120">
        <v>46</v>
      </c>
      <c r="R120">
        <v>25.833333333333332</v>
      </c>
    </row>
    <row r="121" spans="1:20">
      <c r="B121" s="193">
        <v>1995</v>
      </c>
      <c r="C121" s="60">
        <f t="shared" si="1"/>
        <v>41</v>
      </c>
      <c r="E121" s="14"/>
      <c r="F121" s="193">
        <v>1995</v>
      </c>
      <c r="G121" s="60">
        <f t="shared" si="2"/>
        <v>24</v>
      </c>
      <c r="I121" s="336" t="s">
        <v>317</v>
      </c>
      <c r="J121">
        <v>38.200000000000003</v>
      </c>
      <c r="K121">
        <v>70</v>
      </c>
      <c r="L121">
        <v>56.666666666666664</v>
      </c>
      <c r="O121" s="336" t="s">
        <v>317</v>
      </c>
      <c r="P121">
        <v>41.428571428571431</v>
      </c>
      <c r="Q121">
        <v>94</v>
      </c>
      <c r="R121">
        <v>56.5</v>
      </c>
    </row>
    <row r="122" spans="1:20">
      <c r="B122" s="193">
        <v>1996</v>
      </c>
      <c r="C122" s="60">
        <f t="shared" si="1"/>
        <v>42.895833333333336</v>
      </c>
      <c r="E122" s="14"/>
      <c r="F122" s="193">
        <v>1996</v>
      </c>
      <c r="G122" s="60">
        <f t="shared" si="2"/>
        <v>2.34375</v>
      </c>
      <c r="I122" s="336" t="s">
        <v>319</v>
      </c>
      <c r="J122">
        <v>92.785714285714292</v>
      </c>
      <c r="K122">
        <v>422</v>
      </c>
      <c r="L122">
        <v>133.5</v>
      </c>
      <c r="O122" s="336" t="s">
        <v>319</v>
      </c>
      <c r="P122">
        <v>47.857142857142854</v>
      </c>
      <c r="Q122">
        <v>83</v>
      </c>
      <c r="R122">
        <v>67.166666666666671</v>
      </c>
    </row>
    <row r="123" spans="1:20" ht="21">
      <c r="B123" s="193">
        <v>1997</v>
      </c>
      <c r="C123" s="60">
        <f t="shared" si="1"/>
        <v>56.052465322207688</v>
      </c>
      <c r="E123" s="14"/>
      <c r="F123" s="193">
        <v>1997</v>
      </c>
      <c r="G123" s="60">
        <f t="shared" si="2"/>
        <v>32.546519746997504</v>
      </c>
      <c r="I123" s="712" t="s">
        <v>318</v>
      </c>
      <c r="J123">
        <v>63.06666666666667</v>
      </c>
      <c r="K123">
        <v>233</v>
      </c>
      <c r="L123">
        <v>95.083333333333329</v>
      </c>
      <c r="O123" s="712" t="s">
        <v>318</v>
      </c>
      <c r="P123">
        <v>44.642857142857146</v>
      </c>
      <c r="Q123">
        <v>82.5</v>
      </c>
      <c r="R123">
        <v>61.833333333333336</v>
      </c>
    </row>
    <row r="124" spans="1:20">
      <c r="B124" s="193">
        <v>1998</v>
      </c>
      <c r="C124" s="60">
        <f t="shared" si="1"/>
        <v>47.433333333333337</v>
      </c>
      <c r="E124" s="14"/>
      <c r="F124" s="193">
        <v>1998</v>
      </c>
      <c r="G124" s="60">
        <f t="shared" si="2"/>
        <v>2.3999999999999986</v>
      </c>
      <c r="I124" s="18"/>
    </row>
    <row r="125" spans="1:20">
      <c r="B125" s="193">
        <v>1999</v>
      </c>
      <c r="C125" s="60">
        <f t="shared" si="1"/>
        <v>41.666666666666664</v>
      </c>
      <c r="E125" s="14"/>
      <c r="F125" s="193">
        <v>1999</v>
      </c>
      <c r="G125" s="60">
        <f t="shared" si="2"/>
        <v>7.5</v>
      </c>
      <c r="I125" s="18"/>
      <c r="P125">
        <f>AVERAGE(P117:P118)</f>
        <v>36.071428571428569</v>
      </c>
    </row>
    <row r="126" spans="1:20">
      <c r="B126" s="193">
        <v>2000</v>
      </c>
      <c r="C126" s="60">
        <f t="shared" si="1"/>
        <v>57.333333333333336</v>
      </c>
      <c r="E126" s="14"/>
      <c r="F126" s="193">
        <v>2000</v>
      </c>
      <c r="G126" s="60">
        <f t="shared" si="2"/>
        <v>-30</v>
      </c>
      <c r="I126" s="18"/>
    </row>
    <row r="127" spans="1:20">
      <c r="B127" s="193">
        <v>2001</v>
      </c>
      <c r="C127" s="60">
        <f t="shared" si="1"/>
        <v>49.333333333333336</v>
      </c>
      <c r="E127" s="14"/>
      <c r="F127" s="193">
        <v>2001</v>
      </c>
      <c r="G127" s="60">
        <f t="shared" si="2"/>
        <v>-24</v>
      </c>
      <c r="I127" s="18"/>
    </row>
    <row r="128" spans="1:20">
      <c r="B128" s="193">
        <v>2002</v>
      </c>
      <c r="C128" s="60">
        <f t="shared" si="1"/>
        <v>50.199999999999996</v>
      </c>
      <c r="E128" s="14"/>
      <c r="F128" s="193">
        <v>2002</v>
      </c>
      <c r="G128" s="60">
        <f t="shared" si="2"/>
        <v>29.20000000000001</v>
      </c>
      <c r="I128" s="18"/>
    </row>
    <row r="129" spans="2:9">
      <c r="B129" s="193">
        <v>2003</v>
      </c>
      <c r="C129" s="60">
        <f t="shared" si="1"/>
        <v>49.533333333333331</v>
      </c>
      <c r="F129" s="193">
        <v>2003</v>
      </c>
      <c r="G129" s="60">
        <f t="shared" si="2"/>
        <v>4.6500000000000057</v>
      </c>
      <c r="I129" s="18"/>
    </row>
    <row r="130" spans="2:9">
      <c r="B130" s="193">
        <v>2004</v>
      </c>
      <c r="C130" s="60">
        <f t="shared" si="1"/>
        <v>31.833333333333329</v>
      </c>
      <c r="F130" s="193">
        <v>2004</v>
      </c>
      <c r="G130" s="60">
        <f t="shared" si="2"/>
        <v>-2.2000000000000028</v>
      </c>
      <c r="I130" s="18"/>
    </row>
    <row r="131" spans="2:9">
      <c r="B131" s="193">
        <v>2005</v>
      </c>
      <c r="C131" s="60">
        <v>39</v>
      </c>
      <c r="F131" s="193">
        <v>2005</v>
      </c>
      <c r="G131" s="60">
        <f t="shared" si="2"/>
        <v>1.5</v>
      </c>
      <c r="I131" s="18"/>
    </row>
    <row r="132" spans="2:9">
      <c r="B132" s="193">
        <v>2006</v>
      </c>
      <c r="C132" s="14">
        <v>24</v>
      </c>
      <c r="F132" s="193">
        <v>2006</v>
      </c>
      <c r="G132" s="60">
        <f t="shared" si="2"/>
        <v>-8.3500000000000014</v>
      </c>
      <c r="I132" s="18"/>
    </row>
    <row r="133" spans="2:9">
      <c r="B133" s="193">
        <v>2007</v>
      </c>
      <c r="C133" s="14">
        <v>30.7</v>
      </c>
      <c r="F133" s="193">
        <v>2007</v>
      </c>
      <c r="G133" s="60">
        <f t="shared" si="2"/>
        <v>1</v>
      </c>
      <c r="I133" s="18"/>
    </row>
    <row r="134" spans="2:9">
      <c r="B134" s="193">
        <v>2008</v>
      </c>
      <c r="C134" s="60">
        <v>50.6</v>
      </c>
      <c r="F134" s="193">
        <v>2008</v>
      </c>
      <c r="G134" s="60">
        <f t="shared" si="2"/>
        <v>-2.75</v>
      </c>
      <c r="I134" s="18"/>
    </row>
    <row r="135" spans="2:9">
      <c r="B135" s="193">
        <v>2009</v>
      </c>
      <c r="C135" s="60">
        <v>34.799999999999997</v>
      </c>
      <c r="F135" s="193">
        <v>2009</v>
      </c>
      <c r="G135" s="60">
        <f t="shared" si="2"/>
        <v>3.1000000000000014</v>
      </c>
      <c r="I135" s="18"/>
    </row>
    <row r="136" spans="2:9">
      <c r="B136" s="193">
        <v>2010</v>
      </c>
      <c r="C136" s="60">
        <v>33.6</v>
      </c>
      <c r="F136" s="193">
        <v>2010</v>
      </c>
      <c r="G136" s="60">
        <f t="shared" si="2"/>
        <v>1.5</v>
      </c>
      <c r="I136" s="18"/>
    </row>
    <row r="137" spans="2:9">
      <c r="B137" s="193">
        <v>2011</v>
      </c>
      <c r="C137" s="60">
        <v>40.799999999999997</v>
      </c>
      <c r="F137" s="193">
        <v>2011</v>
      </c>
      <c r="G137" s="60">
        <f t="shared" si="2"/>
        <v>-14.8</v>
      </c>
      <c r="I137" s="18"/>
    </row>
    <row r="138" spans="2:9">
      <c r="B138" s="193">
        <v>2012</v>
      </c>
      <c r="C138" s="60">
        <v>69.8</v>
      </c>
      <c r="F138" s="193">
        <v>2012</v>
      </c>
      <c r="G138" s="60">
        <f t="shared" si="2"/>
        <v>-8.8999999999999986</v>
      </c>
      <c r="I138" s="18"/>
    </row>
    <row r="139" spans="2:9">
      <c r="B139" s="227">
        <v>2013</v>
      </c>
      <c r="C139" s="60">
        <v>65.599999999999994</v>
      </c>
      <c r="F139" s="227">
        <v>2013</v>
      </c>
      <c r="G139" s="60">
        <f t="shared" si="2"/>
        <v>-47.800000000000004</v>
      </c>
      <c r="I139" s="18"/>
    </row>
    <row r="140" spans="2:9">
      <c r="B140" s="302">
        <v>2014</v>
      </c>
      <c r="C140" s="14">
        <v>30.5</v>
      </c>
      <c r="F140" s="302">
        <v>2014</v>
      </c>
      <c r="G140" s="60">
        <f t="shared" si="2"/>
        <v>-0.85000000000000142</v>
      </c>
      <c r="I140" s="18"/>
    </row>
    <row r="141" spans="2:9">
      <c r="B141" s="227">
        <v>2015</v>
      </c>
      <c r="C141" s="14">
        <v>55</v>
      </c>
      <c r="F141" s="332">
        <v>2015</v>
      </c>
      <c r="G141" s="60">
        <f t="shared" si="2"/>
        <v>10.5</v>
      </c>
      <c r="I141" s="18"/>
    </row>
    <row r="142" spans="2:9">
      <c r="B142" s="1585">
        <v>2016</v>
      </c>
      <c r="C142" s="14">
        <v>63</v>
      </c>
      <c r="F142" s="332">
        <v>2016</v>
      </c>
      <c r="G142" s="60">
        <f t="shared" si="2"/>
        <v>-10</v>
      </c>
      <c r="I142" s="18"/>
    </row>
    <row r="143" spans="2:9">
      <c r="B143" s="1585">
        <v>2017</v>
      </c>
      <c r="C143" s="14">
        <v>45</v>
      </c>
      <c r="F143" s="332">
        <v>2017</v>
      </c>
      <c r="G143" s="60">
        <f t="shared" si="2"/>
        <v>27</v>
      </c>
      <c r="I143" s="18"/>
    </row>
    <row r="144" spans="2:9">
      <c r="B144" s="1585">
        <v>2018</v>
      </c>
      <c r="C144" s="14">
        <v>45</v>
      </c>
      <c r="F144" s="332">
        <v>2018</v>
      </c>
      <c r="G144" s="60">
        <f t="shared" si="2"/>
        <v>4</v>
      </c>
      <c r="I144" s="18"/>
    </row>
    <row r="145" spans="9:9">
      <c r="I145" s="18"/>
    </row>
    <row r="146" spans="9:9">
      <c r="I146" s="18"/>
    </row>
    <row r="147" spans="9:9">
      <c r="I147" s="18"/>
    </row>
    <row r="148" spans="9:9">
      <c r="I148" s="18"/>
    </row>
    <row r="149" spans="9:9">
      <c r="I149" s="18"/>
    </row>
    <row r="150" spans="9:9">
      <c r="I150" s="18"/>
    </row>
    <row r="151" spans="9:9">
      <c r="I151" s="18"/>
    </row>
    <row r="152" spans="9:9">
      <c r="I152" s="18"/>
    </row>
    <row r="153" spans="9:9">
      <c r="I153" s="18"/>
    </row>
    <row r="154" spans="9:9">
      <c r="I154" s="18"/>
    </row>
    <row r="155" spans="9:9">
      <c r="I155" s="18"/>
    </row>
    <row r="156" spans="9:9">
      <c r="I156" s="18"/>
    </row>
    <row r="157" spans="9:9">
      <c r="I157" s="18"/>
    </row>
    <row r="158" spans="9:9">
      <c r="I158" s="18"/>
    </row>
    <row r="159" spans="9:9">
      <c r="I159" s="18"/>
    </row>
    <row r="160" spans="9:9">
      <c r="I160" s="18"/>
    </row>
    <row r="161" spans="9:9">
      <c r="I161" s="18"/>
    </row>
    <row r="162" spans="9:9">
      <c r="I162" s="18"/>
    </row>
    <row r="163" spans="9:9">
      <c r="I163" s="18"/>
    </row>
    <row r="164" spans="9:9">
      <c r="I164" s="18"/>
    </row>
    <row r="165" spans="9:9">
      <c r="I165" s="18"/>
    </row>
    <row r="166" spans="9:9">
      <c r="I166" s="18"/>
    </row>
    <row r="167" spans="9:9">
      <c r="I167" s="18"/>
    </row>
    <row r="168" spans="9:9">
      <c r="I168" s="18"/>
    </row>
    <row r="169" spans="9:9">
      <c r="I169" s="18"/>
    </row>
    <row r="170" spans="9:9">
      <c r="I170" s="18"/>
    </row>
    <row r="171" spans="9:9">
      <c r="I171" s="18"/>
    </row>
    <row r="172" spans="9:9">
      <c r="I172" s="18"/>
    </row>
    <row r="173" spans="9:9">
      <c r="I173" s="18"/>
    </row>
    <row r="174" spans="9:9">
      <c r="I174" s="18"/>
    </row>
    <row r="175" spans="9:9">
      <c r="I175" s="18"/>
    </row>
    <row r="176" spans="9:9">
      <c r="I176" s="18"/>
    </row>
    <row r="177" spans="3:9">
      <c r="I177" s="18"/>
    </row>
    <row r="178" spans="3:9">
      <c r="I178" s="18"/>
    </row>
    <row r="179" spans="3:9">
      <c r="I179" s="18"/>
    </row>
    <row r="180" spans="3:9">
      <c r="C180" s="59"/>
      <c r="I180" s="18"/>
    </row>
    <row r="181" spans="3:9">
      <c r="C181" s="59"/>
      <c r="I181" s="18"/>
    </row>
    <row r="182" spans="3:9">
      <c r="C182" s="59"/>
      <c r="I182" s="18"/>
    </row>
    <row r="183" spans="3:9">
      <c r="C183" s="59"/>
      <c r="I183" s="18"/>
    </row>
    <row r="184" spans="3:9">
      <c r="C184" s="59"/>
      <c r="I184" s="18"/>
    </row>
    <row r="185" spans="3:9">
      <c r="C185" s="59"/>
      <c r="I185" s="18"/>
    </row>
  </sheetData>
  <mergeCells count="2">
    <mergeCell ref="A1:G1"/>
    <mergeCell ref="A84:G84"/>
  </mergeCells>
  <phoneticPr fontId="10" type="noConversion"/>
  <pageMargins left="0.75" right="0.75" top="1" bottom="1" header="0.5" footer="0.5"/>
  <pageSetup orientation="portrait" horizontalDpi="0" verticalDpi="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L26"/>
  <sheetViews>
    <sheetView topLeftCell="A10" workbookViewId="0">
      <selection activeCell="O12" sqref="O12"/>
    </sheetView>
  </sheetViews>
  <sheetFormatPr defaultRowHeight="11.5"/>
  <cols>
    <col min="1" max="1" width="21.6328125" style="569" bestFit="1" customWidth="1"/>
    <col min="2" max="2" width="8.6328125" style="569" customWidth="1"/>
    <col min="3" max="16384" width="8.7265625" style="569"/>
  </cols>
  <sheetData>
    <row r="1" spans="1:12" ht="12" thickBot="1">
      <c r="A1" s="3304" t="s">
        <v>1030</v>
      </c>
      <c r="B1" s="3304"/>
      <c r="C1" s="3304"/>
      <c r="D1" s="3304"/>
      <c r="E1" s="3304"/>
      <c r="F1" s="3304"/>
      <c r="G1" s="3304"/>
      <c r="H1" s="3304"/>
      <c r="I1" s="3304"/>
      <c r="J1" s="3304"/>
      <c r="K1" s="3304"/>
      <c r="L1" s="3304"/>
    </row>
    <row r="2" spans="1:12">
      <c r="A2" s="3294"/>
      <c r="B2" s="3306" t="s">
        <v>1031</v>
      </c>
      <c r="C2" s="3306" t="s">
        <v>1032</v>
      </c>
      <c r="D2" s="3308" t="s">
        <v>1033</v>
      </c>
      <c r="E2" s="3308" t="s">
        <v>1034</v>
      </c>
      <c r="F2" s="3308" t="s">
        <v>1035</v>
      </c>
      <c r="G2" s="3308" t="s">
        <v>1036</v>
      </c>
      <c r="H2" s="3308" t="s">
        <v>1037</v>
      </c>
      <c r="I2" s="3308" t="s">
        <v>1038</v>
      </c>
      <c r="J2" s="3308" t="s">
        <v>1039</v>
      </c>
      <c r="K2" s="3308" t="s">
        <v>1040</v>
      </c>
      <c r="L2" s="3310" t="s">
        <v>1041</v>
      </c>
    </row>
    <row r="3" spans="1:12" ht="12" thickBot="1">
      <c r="A3" s="3305"/>
      <c r="B3" s="3307"/>
      <c r="C3" s="3307"/>
      <c r="D3" s="3309"/>
      <c r="E3" s="3309"/>
      <c r="F3" s="3309"/>
      <c r="G3" s="3309"/>
      <c r="H3" s="3309"/>
      <c r="I3" s="3309"/>
      <c r="J3" s="3309"/>
      <c r="K3" s="3309"/>
      <c r="L3" s="3311"/>
    </row>
    <row r="4" spans="1:12">
      <c r="A4" s="3294" t="s">
        <v>1042</v>
      </c>
      <c r="B4" s="3295"/>
      <c r="C4" s="3295"/>
      <c r="D4" s="3295"/>
      <c r="E4" s="3295"/>
      <c r="F4" s="3295"/>
      <c r="G4" s="3295"/>
      <c r="H4" s="3295"/>
      <c r="I4" s="3295"/>
      <c r="J4" s="3295"/>
      <c r="K4" s="3295"/>
      <c r="L4" s="3296"/>
    </row>
    <row r="5" spans="1:12">
      <c r="A5" s="812" t="s">
        <v>1043</v>
      </c>
      <c r="B5" s="813" t="s">
        <v>1044</v>
      </c>
      <c r="C5" s="813" t="s">
        <v>1044</v>
      </c>
      <c r="D5" s="814" t="s">
        <v>1045</v>
      </c>
      <c r="E5" s="814" t="s">
        <v>1045</v>
      </c>
      <c r="F5" s="814" t="s">
        <v>1045</v>
      </c>
      <c r="G5" s="814" t="s">
        <v>1045</v>
      </c>
      <c r="H5" s="814" t="s">
        <v>1045</v>
      </c>
      <c r="I5" s="814" t="s">
        <v>1045</v>
      </c>
      <c r="J5" s="814" t="s">
        <v>1045</v>
      </c>
      <c r="K5" s="814" t="s">
        <v>1045</v>
      </c>
      <c r="L5" s="815" t="s">
        <v>1046</v>
      </c>
    </row>
    <row r="6" spans="1:12">
      <c r="A6" s="812" t="s">
        <v>1047</v>
      </c>
      <c r="B6" s="816">
        <v>1731</v>
      </c>
      <c r="C6" s="816">
        <v>1766</v>
      </c>
      <c r="D6" s="817">
        <v>1959</v>
      </c>
      <c r="E6" s="817">
        <v>1999</v>
      </c>
      <c r="F6" s="817">
        <v>2076</v>
      </c>
      <c r="G6" s="817">
        <v>2117</v>
      </c>
      <c r="H6" s="817">
        <v>2151</v>
      </c>
      <c r="I6" s="817">
        <v>2165</v>
      </c>
      <c r="J6" s="817">
        <v>2264</v>
      </c>
      <c r="K6" s="817">
        <v>2546</v>
      </c>
      <c r="L6" s="818">
        <v>1639</v>
      </c>
    </row>
    <row r="7" spans="1:12" ht="12" thickBot="1">
      <c r="A7" s="819" t="s">
        <v>1048</v>
      </c>
      <c r="B7" s="820">
        <v>0.03</v>
      </c>
      <c r="C7" s="820">
        <v>0.03</v>
      </c>
      <c r="D7" s="821">
        <v>0.01</v>
      </c>
      <c r="E7" s="821">
        <v>0.01</v>
      </c>
      <c r="F7" s="821">
        <v>0.02</v>
      </c>
      <c r="G7" s="821">
        <v>0.03</v>
      </c>
      <c r="H7" s="821">
        <v>0.02</v>
      </c>
      <c r="I7" s="821">
        <v>0.02</v>
      </c>
      <c r="J7" s="821">
        <v>0.01</v>
      </c>
      <c r="K7" s="821">
        <v>0.02</v>
      </c>
      <c r="L7" s="822">
        <v>0.01</v>
      </c>
    </row>
    <row r="8" spans="1:12">
      <c r="A8" s="3297" t="s">
        <v>1049</v>
      </c>
      <c r="B8" s="3298"/>
      <c r="C8" s="3298"/>
      <c r="D8" s="3298"/>
      <c r="E8" s="3298"/>
      <c r="F8" s="3298"/>
      <c r="G8" s="3298"/>
      <c r="H8" s="3298"/>
      <c r="I8" s="3298"/>
      <c r="J8" s="3298"/>
      <c r="K8" s="3298"/>
      <c r="L8" s="3299"/>
    </row>
    <row r="9" spans="1:12">
      <c r="A9" s="823" t="s">
        <v>1050</v>
      </c>
      <c r="B9" s="813">
        <v>14</v>
      </c>
      <c r="C9" s="813">
        <v>4</v>
      </c>
      <c r="D9" s="814">
        <v>18</v>
      </c>
      <c r="E9" s="814">
        <v>18</v>
      </c>
      <c r="F9" s="814">
        <v>14</v>
      </c>
      <c r="G9" s="814">
        <v>14</v>
      </c>
      <c r="H9" s="814">
        <v>0</v>
      </c>
      <c r="I9" s="814">
        <v>17</v>
      </c>
      <c r="J9" s="814">
        <v>7</v>
      </c>
      <c r="K9" s="814">
        <v>4</v>
      </c>
      <c r="L9" s="815">
        <v>10</v>
      </c>
    </row>
    <row r="10" spans="1:12" ht="14">
      <c r="A10" s="823" t="s">
        <v>1059</v>
      </c>
      <c r="B10" s="813">
        <v>3</v>
      </c>
      <c r="C10" s="813">
        <v>6</v>
      </c>
      <c r="D10" s="814">
        <v>4</v>
      </c>
      <c r="E10" s="814">
        <v>3</v>
      </c>
      <c r="F10" s="814">
        <v>7</v>
      </c>
      <c r="G10" s="814">
        <v>5</v>
      </c>
      <c r="H10" s="814">
        <v>5</v>
      </c>
      <c r="I10" s="814">
        <v>2</v>
      </c>
      <c r="J10" s="814">
        <v>9</v>
      </c>
      <c r="K10" s="814">
        <v>10</v>
      </c>
      <c r="L10" s="815">
        <v>5</v>
      </c>
    </row>
    <row r="11" spans="1:12">
      <c r="A11" s="823" t="s">
        <v>1051</v>
      </c>
      <c r="B11" s="813">
        <v>17</v>
      </c>
      <c r="C11" s="813">
        <v>13</v>
      </c>
      <c r="D11" s="814">
        <v>4</v>
      </c>
      <c r="E11" s="814">
        <v>5</v>
      </c>
      <c r="F11" s="814">
        <v>4</v>
      </c>
      <c r="G11" s="814">
        <v>16</v>
      </c>
      <c r="H11" s="814">
        <v>17</v>
      </c>
      <c r="I11" s="814">
        <v>23</v>
      </c>
      <c r="J11" s="814">
        <v>39</v>
      </c>
      <c r="K11" s="814">
        <v>5</v>
      </c>
      <c r="L11" s="815">
        <v>12</v>
      </c>
    </row>
    <row r="12" spans="1:12">
      <c r="A12" s="823" t="s">
        <v>1052</v>
      </c>
      <c r="B12" s="813">
        <v>48</v>
      </c>
      <c r="C12" s="813">
        <v>29</v>
      </c>
      <c r="D12" s="814">
        <v>23</v>
      </c>
      <c r="E12" s="814">
        <v>10</v>
      </c>
      <c r="F12" s="814">
        <v>21</v>
      </c>
      <c r="G12" s="814">
        <v>34</v>
      </c>
      <c r="H12" s="814">
        <v>59</v>
      </c>
      <c r="I12" s="814">
        <v>14</v>
      </c>
      <c r="J12" s="814">
        <v>23</v>
      </c>
      <c r="K12" s="814">
        <v>12</v>
      </c>
      <c r="L12" s="815">
        <v>28</v>
      </c>
    </row>
    <row r="13" spans="1:12">
      <c r="A13" s="823" t="s">
        <v>1053</v>
      </c>
      <c r="B13" s="813">
        <v>9</v>
      </c>
      <c r="C13" s="813">
        <v>8</v>
      </c>
      <c r="D13" s="814">
        <v>6</v>
      </c>
      <c r="E13" s="814">
        <v>7</v>
      </c>
      <c r="F13" s="814">
        <v>6</v>
      </c>
      <c r="G13" s="814">
        <v>8</v>
      </c>
      <c r="H13" s="814">
        <v>12</v>
      </c>
      <c r="I13" s="814">
        <v>6</v>
      </c>
      <c r="J13" s="814">
        <v>10</v>
      </c>
      <c r="K13" s="814">
        <v>10</v>
      </c>
      <c r="L13" s="815">
        <v>4</v>
      </c>
    </row>
    <row r="14" spans="1:12" ht="14.5" thickBot="1">
      <c r="A14" s="824" t="s">
        <v>1060</v>
      </c>
      <c r="B14" s="825">
        <v>11</v>
      </c>
      <c r="C14" s="825">
        <v>10</v>
      </c>
      <c r="D14" s="826">
        <v>7</v>
      </c>
      <c r="E14" s="826">
        <v>8</v>
      </c>
      <c r="F14" s="826">
        <v>9</v>
      </c>
      <c r="G14" s="826">
        <v>11</v>
      </c>
      <c r="H14" s="826">
        <v>9</v>
      </c>
      <c r="I14" s="826">
        <v>8</v>
      </c>
      <c r="J14" s="826">
        <v>14</v>
      </c>
      <c r="K14" s="826">
        <v>13</v>
      </c>
      <c r="L14" s="827">
        <v>4</v>
      </c>
    </row>
    <row r="15" spans="1:12">
      <c r="A15" s="3294" t="s">
        <v>1054</v>
      </c>
      <c r="B15" s="3295"/>
      <c r="C15" s="3295"/>
      <c r="D15" s="3295"/>
      <c r="E15" s="3295"/>
      <c r="F15" s="3295"/>
      <c r="G15" s="3295"/>
      <c r="H15" s="3295"/>
      <c r="I15" s="3295"/>
      <c r="J15" s="3295"/>
      <c r="K15" s="3295"/>
      <c r="L15" s="3296"/>
    </row>
    <row r="16" spans="1:12">
      <c r="A16" s="823" t="s">
        <v>1050</v>
      </c>
      <c r="B16" s="828">
        <v>49.15</v>
      </c>
      <c r="C16" s="829">
        <v>86</v>
      </c>
      <c r="D16" s="830">
        <v>35</v>
      </c>
      <c r="E16" s="830">
        <v>37</v>
      </c>
      <c r="F16" s="830">
        <v>49</v>
      </c>
      <c r="G16" s="830">
        <v>49</v>
      </c>
      <c r="H16" s="830">
        <v>100</v>
      </c>
      <c r="I16" s="828">
        <v>40.67</v>
      </c>
      <c r="J16" s="828">
        <v>76</v>
      </c>
      <c r="K16" s="828">
        <v>87.29</v>
      </c>
      <c r="L16" s="831">
        <v>64</v>
      </c>
    </row>
    <row r="17" spans="1:12" ht="14">
      <c r="A17" s="823" t="s">
        <v>1059</v>
      </c>
      <c r="B17" s="828">
        <v>45</v>
      </c>
      <c r="C17" s="829">
        <v>75</v>
      </c>
      <c r="D17" s="830">
        <v>41</v>
      </c>
      <c r="E17" s="830">
        <v>28</v>
      </c>
      <c r="F17" s="830">
        <v>66</v>
      </c>
      <c r="G17" s="830">
        <v>42</v>
      </c>
      <c r="H17" s="830">
        <v>40</v>
      </c>
      <c r="I17" s="828">
        <v>7</v>
      </c>
      <c r="J17" s="828">
        <v>76</v>
      </c>
      <c r="K17" s="828">
        <v>69</v>
      </c>
      <c r="L17" s="831">
        <v>72</v>
      </c>
    </row>
    <row r="18" spans="1:12">
      <c r="A18" s="823" t="s">
        <v>1051</v>
      </c>
      <c r="B18" s="828">
        <v>76</v>
      </c>
      <c r="C18" s="829">
        <v>82</v>
      </c>
      <c r="D18" s="830">
        <v>95</v>
      </c>
      <c r="E18" s="830">
        <v>94</v>
      </c>
      <c r="F18" s="830">
        <v>96</v>
      </c>
      <c r="G18" s="830">
        <v>78</v>
      </c>
      <c r="H18" s="830">
        <v>76</v>
      </c>
      <c r="I18" s="828">
        <v>66</v>
      </c>
      <c r="J18" s="828">
        <v>43</v>
      </c>
      <c r="K18" s="828">
        <v>95</v>
      </c>
      <c r="L18" s="831">
        <v>83</v>
      </c>
    </row>
    <row r="19" spans="1:12">
      <c r="A19" s="823" t="s">
        <v>1052</v>
      </c>
      <c r="B19" s="832">
        <v>78</v>
      </c>
      <c r="C19" s="829">
        <v>47</v>
      </c>
      <c r="D19" s="833">
        <v>38</v>
      </c>
      <c r="E19" s="833">
        <v>17</v>
      </c>
      <c r="F19" s="833">
        <v>34</v>
      </c>
      <c r="G19" s="833">
        <v>56</v>
      </c>
      <c r="H19" s="833">
        <v>95</v>
      </c>
      <c r="I19" s="832">
        <v>22</v>
      </c>
      <c r="J19" s="832">
        <v>38</v>
      </c>
      <c r="K19" s="832">
        <v>19</v>
      </c>
      <c r="L19" s="834">
        <v>46</v>
      </c>
    </row>
    <row r="20" spans="1:12">
      <c r="A20" s="823" t="s">
        <v>1053</v>
      </c>
      <c r="B20" s="832">
        <v>64</v>
      </c>
      <c r="C20" s="829">
        <v>57</v>
      </c>
      <c r="D20" s="833">
        <v>43</v>
      </c>
      <c r="E20" s="833">
        <v>50</v>
      </c>
      <c r="F20" s="833">
        <v>43</v>
      </c>
      <c r="G20" s="833">
        <v>57</v>
      </c>
      <c r="H20" s="833">
        <v>86</v>
      </c>
      <c r="I20" s="832">
        <v>43</v>
      </c>
      <c r="J20" s="832">
        <v>71</v>
      </c>
      <c r="K20" s="832">
        <v>71</v>
      </c>
      <c r="L20" s="834">
        <v>29</v>
      </c>
    </row>
    <row r="21" spans="1:12" ht="14">
      <c r="A21" s="823" t="s">
        <v>1060</v>
      </c>
      <c r="B21" s="832">
        <v>92</v>
      </c>
      <c r="C21" s="829">
        <v>82</v>
      </c>
      <c r="D21" s="833">
        <v>45</v>
      </c>
      <c r="E21" s="833">
        <v>51</v>
      </c>
      <c r="F21" s="833">
        <v>55</v>
      </c>
      <c r="G21" s="833">
        <v>70</v>
      </c>
      <c r="H21" s="833">
        <v>51</v>
      </c>
      <c r="I21" s="832">
        <v>41</v>
      </c>
      <c r="J21" s="832">
        <v>87</v>
      </c>
      <c r="K21" s="832">
        <v>61</v>
      </c>
      <c r="L21" s="834">
        <v>38</v>
      </c>
    </row>
    <row r="22" spans="1:12" ht="12" thickBot="1">
      <c r="A22" s="835" t="s">
        <v>1055</v>
      </c>
      <c r="B22" s="836">
        <v>67</v>
      </c>
      <c r="C22" s="837">
        <v>72</v>
      </c>
      <c r="D22" s="838">
        <v>50</v>
      </c>
      <c r="E22" s="838">
        <v>46</v>
      </c>
      <c r="F22" s="838">
        <v>57</v>
      </c>
      <c r="G22" s="838">
        <v>59</v>
      </c>
      <c r="H22" s="838">
        <v>75</v>
      </c>
      <c r="I22" s="839">
        <v>37</v>
      </c>
      <c r="J22" s="836">
        <v>65</v>
      </c>
      <c r="K22" s="836">
        <v>67</v>
      </c>
      <c r="L22" s="840">
        <v>55</v>
      </c>
    </row>
    <row r="23" spans="1:12" ht="12" thickBot="1">
      <c r="A23" s="3301" t="s">
        <v>1056</v>
      </c>
      <c r="B23" s="3302"/>
      <c r="C23" s="3302"/>
      <c r="D23" s="3302"/>
      <c r="E23" s="3302"/>
      <c r="F23" s="3302"/>
      <c r="G23" s="3302"/>
      <c r="H23" s="3302"/>
      <c r="I23" s="3302"/>
      <c r="J23" s="3302"/>
      <c r="K23" s="3302"/>
      <c r="L23" s="3303"/>
    </row>
    <row r="24" spans="1:12">
      <c r="A24" s="841" t="s">
        <v>1057</v>
      </c>
      <c r="B24" s="842">
        <v>4.68</v>
      </c>
      <c r="C24" s="843">
        <v>4.7</v>
      </c>
      <c r="D24" s="844">
        <v>2.88</v>
      </c>
      <c r="E24" s="844">
        <v>3.36</v>
      </c>
      <c r="F24" s="844">
        <v>4.46</v>
      </c>
      <c r="G24" s="844">
        <v>4.5999999999999996</v>
      </c>
      <c r="H24" s="844">
        <v>4.47</v>
      </c>
      <c r="I24" s="845">
        <v>5.04</v>
      </c>
      <c r="J24" s="842">
        <v>4.83</v>
      </c>
      <c r="K24" s="842">
        <v>2.71</v>
      </c>
      <c r="L24" s="846">
        <v>5.04</v>
      </c>
    </row>
    <row r="25" spans="1:12" ht="12" thickBot="1">
      <c r="A25" s="824" t="s">
        <v>1058</v>
      </c>
      <c r="B25" s="847">
        <v>3.4</v>
      </c>
      <c r="C25" s="848">
        <v>2.82</v>
      </c>
      <c r="D25" s="849">
        <v>2.6</v>
      </c>
      <c r="E25" s="849">
        <v>2.14</v>
      </c>
      <c r="F25" s="849">
        <v>2.39</v>
      </c>
      <c r="G25" s="849">
        <v>2.71</v>
      </c>
      <c r="H25" s="849">
        <v>3.01</v>
      </c>
      <c r="I25" s="850">
        <v>2.59</v>
      </c>
      <c r="J25" s="847">
        <v>3.81</v>
      </c>
      <c r="K25" s="847">
        <v>3.4</v>
      </c>
      <c r="L25" s="851">
        <v>3.02</v>
      </c>
    </row>
    <row r="26" spans="1:12" ht="14">
      <c r="A26" s="3300" t="s">
        <v>1061</v>
      </c>
      <c r="B26" s="3300"/>
      <c r="C26" s="852"/>
      <c r="D26" s="852"/>
      <c r="E26" s="852"/>
      <c r="F26" s="852"/>
      <c r="G26" s="852"/>
      <c r="H26" s="852"/>
      <c r="I26" s="852"/>
      <c r="J26" s="852"/>
      <c r="K26" s="852"/>
      <c r="L26" s="852"/>
    </row>
  </sheetData>
  <mergeCells count="18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A4:L4"/>
    <mergeCell ref="A8:L8"/>
    <mergeCell ref="A15:L15"/>
    <mergeCell ref="A26:B26"/>
    <mergeCell ref="A23:L23"/>
  </mergeCells>
  <pageMargins left="0.7" right="0.7" top="0.75" bottom="0.75" header="0.3" footer="0.3"/>
  <pageSetup orientation="portrait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F4B4F-481E-4932-A9BE-8E3D83658778}">
  <dimension ref="A2:X31"/>
  <sheetViews>
    <sheetView workbookViewId="0">
      <selection activeCell="L7" sqref="L7"/>
    </sheetView>
  </sheetViews>
  <sheetFormatPr defaultRowHeight="14"/>
  <cols>
    <col min="2" max="2" width="9.453125" bestFit="1" customWidth="1"/>
    <col min="3" max="3" width="8.26953125" bestFit="1" customWidth="1"/>
    <col min="4" max="4" width="8.54296875" bestFit="1" customWidth="1"/>
    <col min="7" max="7" width="7.36328125" bestFit="1" customWidth="1"/>
    <col min="8" max="8" width="8.26953125" bestFit="1" customWidth="1"/>
    <col min="9" max="9" width="6.90625" bestFit="1" customWidth="1"/>
    <col min="11" max="11" width="8.7265625" style="358"/>
    <col min="12" max="12" width="8" bestFit="1" customWidth="1"/>
    <col min="13" max="13" width="5.453125" bestFit="1" customWidth="1"/>
    <col min="14" max="14" width="5.1796875" customWidth="1"/>
    <col min="15" max="15" width="5.36328125" bestFit="1" customWidth="1"/>
    <col min="16" max="16" width="4.90625" bestFit="1" customWidth="1"/>
    <col min="18" max="18" width="11.6328125" bestFit="1" customWidth="1"/>
    <col min="19" max="19" width="8.1796875" bestFit="1" customWidth="1"/>
    <col min="20" max="20" width="8.36328125" bestFit="1" customWidth="1"/>
  </cols>
  <sheetData>
    <row r="2" spans="1:24">
      <c r="A2" s="3312" t="s">
        <v>1405</v>
      </c>
      <c r="B2" s="3313"/>
      <c r="C2" s="3313"/>
      <c r="D2" s="3313"/>
      <c r="E2" s="3313"/>
      <c r="F2" s="3313"/>
      <c r="G2" s="3313"/>
      <c r="H2" s="3313"/>
      <c r="I2" s="3313"/>
      <c r="J2" s="3313"/>
      <c r="K2" s="3313"/>
      <c r="L2" s="3313"/>
      <c r="M2" s="3313"/>
      <c r="N2" s="108"/>
      <c r="O2" s="108"/>
      <c r="Q2" s="125">
        <v>43314</v>
      </c>
      <c r="R2" s="108"/>
      <c r="S2" s="108"/>
      <c r="T2" s="108"/>
      <c r="U2" s="108"/>
      <c r="V2" s="108"/>
      <c r="W2" s="108"/>
      <c r="X2" s="108"/>
    </row>
    <row r="3" spans="1:24" ht="34.5">
      <c r="A3" s="909" t="s">
        <v>1406</v>
      </c>
      <c r="B3" s="909" t="s">
        <v>1407</v>
      </c>
      <c r="C3" s="909" t="s">
        <v>1408</v>
      </c>
      <c r="D3" s="909" t="s">
        <v>1409</v>
      </c>
      <c r="E3" s="909" t="s">
        <v>1410</v>
      </c>
      <c r="F3" s="909" t="s">
        <v>1411</v>
      </c>
      <c r="G3" s="909" t="s">
        <v>1412</v>
      </c>
      <c r="H3" s="909" t="s">
        <v>135</v>
      </c>
      <c r="I3" s="1879" t="s">
        <v>1413</v>
      </c>
      <c r="J3" s="1879" t="s">
        <v>1414</v>
      </c>
      <c r="K3" s="1879" t="s">
        <v>1446</v>
      </c>
      <c r="L3" s="131" t="s">
        <v>1447</v>
      </c>
      <c r="M3" s="131" t="s">
        <v>1415</v>
      </c>
      <c r="N3" s="131" t="s">
        <v>911</v>
      </c>
      <c r="O3" s="131" t="s">
        <v>876</v>
      </c>
      <c r="P3" s="131" t="s">
        <v>1450</v>
      </c>
      <c r="Q3" s="909" t="s">
        <v>1406</v>
      </c>
      <c r="R3" s="909" t="s">
        <v>1407</v>
      </c>
      <c r="S3" s="131" t="s">
        <v>257</v>
      </c>
      <c r="T3" s="131" t="s">
        <v>1445</v>
      </c>
      <c r="U3" s="131"/>
      <c r="V3" s="131"/>
      <c r="W3" s="131"/>
      <c r="X3" s="909"/>
    </row>
    <row r="4" spans="1:24" ht="26">
      <c r="A4" s="116" t="s">
        <v>968</v>
      </c>
      <c r="B4" s="116" t="s">
        <v>1416</v>
      </c>
      <c r="C4" s="1876" t="s">
        <v>1417</v>
      </c>
      <c r="D4" s="1876" t="s">
        <v>432</v>
      </c>
      <c r="E4" s="116" t="s">
        <v>1418</v>
      </c>
      <c r="F4" s="804" t="s">
        <v>1434</v>
      </c>
      <c r="G4" s="1880">
        <v>43314</v>
      </c>
      <c r="H4" s="1881">
        <v>0.40277777777777773</v>
      </c>
      <c r="I4" s="1876">
        <v>7</v>
      </c>
      <c r="J4" s="1836">
        <v>0.35</v>
      </c>
      <c r="K4" s="1898">
        <v>0.2</v>
      </c>
      <c r="L4" s="1877">
        <v>2</v>
      </c>
      <c r="M4" s="1876" t="s">
        <v>871</v>
      </c>
      <c r="N4" s="661">
        <v>23.8</v>
      </c>
      <c r="O4" s="661">
        <v>4</v>
      </c>
      <c r="P4" s="1877" t="s">
        <v>432</v>
      </c>
      <c r="Q4" s="116" t="s">
        <v>968</v>
      </c>
      <c r="R4" s="116" t="s">
        <v>1416</v>
      </c>
      <c r="S4" s="116">
        <v>7</v>
      </c>
      <c r="T4" s="714">
        <v>4</v>
      </c>
      <c r="U4" s="116"/>
      <c r="V4" s="116"/>
      <c r="W4" s="116"/>
      <c r="X4" s="116"/>
    </row>
    <row r="5" spans="1:24" ht="26">
      <c r="A5" s="116" t="s">
        <v>950</v>
      </c>
      <c r="B5" s="116" t="s">
        <v>1419</v>
      </c>
      <c r="C5" s="1876" t="s">
        <v>1026</v>
      </c>
      <c r="D5" s="1876" t="s">
        <v>432</v>
      </c>
      <c r="E5" s="116" t="s">
        <v>1418</v>
      </c>
      <c r="F5" s="804" t="s">
        <v>1434</v>
      </c>
      <c r="G5" s="1880">
        <v>43314</v>
      </c>
      <c r="H5" s="1881">
        <v>0.42708333333333331</v>
      </c>
      <c r="I5" s="1876">
        <v>10</v>
      </c>
      <c r="J5" s="1836">
        <v>0.4</v>
      </c>
      <c r="K5" s="1898">
        <v>0.15</v>
      </c>
      <c r="L5" s="1877">
        <v>2</v>
      </c>
      <c r="M5" s="1899" t="s">
        <v>871</v>
      </c>
      <c r="N5" s="661">
        <v>25.6</v>
      </c>
      <c r="O5" s="661">
        <v>10.9</v>
      </c>
      <c r="P5" s="1877" t="s">
        <v>432</v>
      </c>
      <c r="Q5" s="116" t="s">
        <v>950</v>
      </c>
      <c r="R5" s="116" t="s">
        <v>1419</v>
      </c>
      <c r="S5" s="116">
        <v>10</v>
      </c>
      <c r="T5" s="714">
        <v>10.9</v>
      </c>
      <c r="U5" s="116"/>
      <c r="V5" s="116"/>
      <c r="W5" s="116"/>
      <c r="X5" s="116"/>
    </row>
    <row r="6" spans="1:24">
      <c r="A6" s="116" t="s">
        <v>1371</v>
      </c>
      <c r="B6" s="116" t="s">
        <v>1420</v>
      </c>
      <c r="C6" s="1876" t="s">
        <v>1026</v>
      </c>
      <c r="D6" s="1876" t="s">
        <v>432</v>
      </c>
      <c r="E6" s="116" t="s">
        <v>1418</v>
      </c>
      <c r="F6" s="804" t="s">
        <v>1434</v>
      </c>
      <c r="G6" s="1880">
        <v>43314</v>
      </c>
      <c r="H6" s="1881">
        <v>0.44444444444444442</v>
      </c>
      <c r="I6" s="1876">
        <v>7</v>
      </c>
      <c r="J6" s="1836">
        <v>0.4</v>
      </c>
      <c r="K6" s="1898">
        <v>0.25</v>
      </c>
      <c r="L6" s="1877">
        <v>4</v>
      </c>
      <c r="M6" s="1876" t="s">
        <v>871</v>
      </c>
      <c r="N6" s="661">
        <v>27</v>
      </c>
      <c r="O6" s="661">
        <v>6.8</v>
      </c>
      <c r="P6" s="1877" t="s">
        <v>432</v>
      </c>
      <c r="Q6" s="116" t="s">
        <v>1371</v>
      </c>
      <c r="R6" s="116" t="s">
        <v>1420</v>
      </c>
      <c r="S6" s="116">
        <v>7</v>
      </c>
      <c r="T6" s="714">
        <v>6.8</v>
      </c>
      <c r="U6" s="116"/>
      <c r="V6" s="116"/>
      <c r="W6" s="116"/>
      <c r="X6" s="116"/>
    </row>
    <row r="7" spans="1:24" ht="26">
      <c r="A7" s="116">
        <v>12</v>
      </c>
      <c r="B7" s="116" t="s">
        <v>1421</v>
      </c>
      <c r="C7" s="1876" t="s">
        <v>1026</v>
      </c>
      <c r="D7" s="1876" t="s">
        <v>432</v>
      </c>
      <c r="E7" s="116" t="s">
        <v>1418</v>
      </c>
      <c r="F7" s="804" t="s">
        <v>1434</v>
      </c>
      <c r="G7" s="1880">
        <v>43314</v>
      </c>
      <c r="H7" s="1881">
        <v>0.46527777777777773</v>
      </c>
      <c r="I7" s="1876">
        <v>11</v>
      </c>
      <c r="J7" s="1836">
        <v>0.6</v>
      </c>
      <c r="K7" s="1898">
        <v>0.15</v>
      </c>
      <c r="L7" s="1877">
        <v>2</v>
      </c>
      <c r="M7" s="1876" t="s">
        <v>871</v>
      </c>
      <c r="N7" s="661">
        <v>26.5</v>
      </c>
      <c r="O7" s="661">
        <v>6.8</v>
      </c>
      <c r="P7" s="1877" t="s">
        <v>432</v>
      </c>
      <c r="Q7" s="116">
        <v>12</v>
      </c>
      <c r="R7" s="116" t="s">
        <v>1421</v>
      </c>
      <c r="S7" s="116">
        <v>11</v>
      </c>
      <c r="T7" s="714">
        <v>6.8</v>
      </c>
      <c r="U7" s="116"/>
      <c r="V7" s="116"/>
      <c r="W7" s="116"/>
      <c r="X7" s="116"/>
    </row>
    <row r="8" spans="1:24">
      <c r="A8" s="116">
        <v>9</v>
      </c>
      <c r="B8" s="116" t="s">
        <v>1422</v>
      </c>
      <c r="C8" s="1876" t="s">
        <v>1026</v>
      </c>
      <c r="D8" s="1876" t="s">
        <v>432</v>
      </c>
      <c r="E8" s="116" t="s">
        <v>1418</v>
      </c>
      <c r="F8" s="804" t="s">
        <v>1434</v>
      </c>
      <c r="G8" s="1880">
        <v>43314</v>
      </c>
      <c r="H8" s="1881">
        <v>0.49652777777777773</v>
      </c>
      <c r="I8" s="1876">
        <v>5.5</v>
      </c>
      <c r="J8" s="1836">
        <v>0.45</v>
      </c>
      <c r="K8" s="1898">
        <v>0.2</v>
      </c>
      <c r="L8" s="1877">
        <v>3</v>
      </c>
      <c r="M8" s="1876" t="s">
        <v>871</v>
      </c>
      <c r="N8" s="661">
        <v>27.9</v>
      </c>
      <c r="O8" s="661">
        <v>7.7</v>
      </c>
      <c r="P8" s="1877" t="s">
        <v>432</v>
      </c>
      <c r="Q8" s="116">
        <v>9</v>
      </c>
      <c r="R8" s="116" t="s">
        <v>1422</v>
      </c>
      <c r="S8" s="116">
        <v>5.5</v>
      </c>
      <c r="T8" s="714">
        <v>7.7</v>
      </c>
      <c r="U8" s="116"/>
      <c r="V8" s="116"/>
      <c r="W8" s="116"/>
      <c r="X8" s="116"/>
    </row>
    <row r="9" spans="1:24" ht="26">
      <c r="A9" s="116" t="s">
        <v>1423</v>
      </c>
      <c r="B9" s="116" t="s">
        <v>1424</v>
      </c>
      <c r="C9" s="1876" t="s">
        <v>1026</v>
      </c>
      <c r="D9" s="1876" t="s">
        <v>432</v>
      </c>
      <c r="E9" s="116" t="s">
        <v>1418</v>
      </c>
      <c r="F9" s="804" t="s">
        <v>1434</v>
      </c>
      <c r="G9" s="1880">
        <v>43314</v>
      </c>
      <c r="H9" s="1881">
        <v>0.52083333333333337</v>
      </c>
      <c r="I9" s="1876">
        <v>10</v>
      </c>
      <c r="J9" s="1836">
        <v>0.3</v>
      </c>
      <c r="K9" s="1898">
        <v>0.15</v>
      </c>
      <c r="L9" s="1877">
        <v>2</v>
      </c>
      <c r="M9" s="1876" t="s">
        <v>871</v>
      </c>
      <c r="N9" s="661">
        <v>28.3</v>
      </c>
      <c r="O9" s="661">
        <v>6.5</v>
      </c>
      <c r="P9" s="1877" t="s">
        <v>429</v>
      </c>
      <c r="Q9" s="116" t="s">
        <v>1423</v>
      </c>
      <c r="R9" s="116" t="s">
        <v>1424</v>
      </c>
      <c r="S9" s="116">
        <v>10</v>
      </c>
      <c r="T9" s="714">
        <v>6.5</v>
      </c>
      <c r="U9" s="116"/>
      <c r="V9" s="116"/>
      <c r="W9" s="116"/>
      <c r="X9" s="116"/>
    </row>
    <row r="10" spans="1:24">
      <c r="A10" s="116">
        <v>5</v>
      </c>
      <c r="B10" s="116" t="s">
        <v>1425</v>
      </c>
      <c r="C10" s="1876" t="s">
        <v>1026</v>
      </c>
      <c r="D10" s="1876" t="s">
        <v>432</v>
      </c>
      <c r="E10" s="116" t="s">
        <v>1418</v>
      </c>
      <c r="F10" s="804" t="s">
        <v>1434</v>
      </c>
      <c r="G10" s="1880">
        <v>43314</v>
      </c>
      <c r="H10" s="1881">
        <v>0.54166666666666663</v>
      </c>
      <c r="I10" s="1876">
        <v>20</v>
      </c>
      <c r="J10" s="1836">
        <v>0.6</v>
      </c>
      <c r="K10" s="1898">
        <v>0.18</v>
      </c>
      <c r="L10" s="1877">
        <v>3</v>
      </c>
      <c r="M10" s="1876" t="s">
        <v>872</v>
      </c>
      <c r="N10" s="661">
        <v>33</v>
      </c>
      <c r="O10" s="661">
        <v>7</v>
      </c>
      <c r="P10" s="1877" t="s">
        <v>432</v>
      </c>
      <c r="Q10" s="116">
        <v>5</v>
      </c>
      <c r="R10" s="116" t="s">
        <v>1425</v>
      </c>
      <c r="S10" s="116">
        <v>20</v>
      </c>
      <c r="T10" s="714">
        <v>7</v>
      </c>
      <c r="U10" s="116"/>
      <c r="V10" s="116"/>
      <c r="W10" s="116"/>
      <c r="X10" s="116"/>
    </row>
    <row r="11" spans="1:24" ht="26">
      <c r="A11" s="116" t="s">
        <v>1368</v>
      </c>
      <c r="B11" s="116" t="s">
        <v>1426</v>
      </c>
      <c r="C11" s="1876" t="s">
        <v>1427</v>
      </c>
      <c r="D11" s="1876" t="s">
        <v>432</v>
      </c>
      <c r="E11" s="116" t="s">
        <v>1418</v>
      </c>
      <c r="F11" s="804" t="s">
        <v>1434</v>
      </c>
      <c r="G11" s="1880">
        <v>43314</v>
      </c>
      <c r="H11" s="1881">
        <v>0.56597222222222221</v>
      </c>
      <c r="I11" s="1876">
        <v>12</v>
      </c>
      <c r="J11" s="1836">
        <v>0.5</v>
      </c>
      <c r="K11" s="1898">
        <v>0.12</v>
      </c>
      <c r="L11" s="1877">
        <v>2</v>
      </c>
      <c r="M11" s="1876" t="s">
        <v>871</v>
      </c>
      <c r="N11" s="661">
        <v>31.6</v>
      </c>
      <c r="O11" s="661">
        <v>7.8</v>
      </c>
      <c r="P11" s="1877" t="s">
        <v>432</v>
      </c>
      <c r="Q11" s="116" t="s">
        <v>1368</v>
      </c>
      <c r="R11" s="116" t="s">
        <v>1426</v>
      </c>
      <c r="S11" s="116">
        <v>12</v>
      </c>
      <c r="T11" s="714">
        <v>7.8</v>
      </c>
      <c r="U11" s="116"/>
      <c r="V11" s="116"/>
      <c r="W11" s="116"/>
      <c r="X11" s="116"/>
    </row>
    <row r="12" spans="1:24" ht="26">
      <c r="A12" s="116" t="s">
        <v>1367</v>
      </c>
      <c r="B12" s="116" t="s">
        <v>1428</v>
      </c>
      <c r="C12" s="1876" t="s">
        <v>1427</v>
      </c>
      <c r="D12" s="1876" t="s">
        <v>432</v>
      </c>
      <c r="E12" s="116" t="s">
        <v>1418</v>
      </c>
      <c r="F12" s="804" t="s">
        <v>1434</v>
      </c>
      <c r="G12" s="1880">
        <v>43314</v>
      </c>
      <c r="H12" s="1881">
        <v>0.58333333333333337</v>
      </c>
      <c r="I12" s="1876">
        <v>12</v>
      </c>
      <c r="J12" s="1836">
        <v>0.35</v>
      </c>
      <c r="K12" s="1898">
        <v>0.1</v>
      </c>
      <c r="L12" s="1877">
        <v>2</v>
      </c>
      <c r="M12" s="1876" t="s">
        <v>871</v>
      </c>
      <c r="N12" s="661">
        <v>28.5</v>
      </c>
      <c r="O12" s="661">
        <v>6.4</v>
      </c>
      <c r="P12" s="1877" t="s">
        <v>429</v>
      </c>
      <c r="Q12" s="116" t="s">
        <v>1367</v>
      </c>
      <c r="R12" s="116" t="s">
        <v>1428</v>
      </c>
      <c r="S12" s="116">
        <v>12</v>
      </c>
      <c r="T12" s="714">
        <v>6.4</v>
      </c>
      <c r="U12" s="116"/>
      <c r="V12" s="116"/>
      <c r="W12" s="116"/>
      <c r="X12" s="116"/>
    </row>
    <row r="13" spans="1:24">
      <c r="A13" s="116">
        <v>58</v>
      </c>
      <c r="B13" s="1878" t="s">
        <v>1429</v>
      </c>
      <c r="C13" s="1876" t="s">
        <v>1427</v>
      </c>
      <c r="D13" s="1876" t="s">
        <v>432</v>
      </c>
      <c r="E13" s="116" t="s">
        <v>1418</v>
      </c>
      <c r="F13" s="804" t="s">
        <v>1434</v>
      </c>
      <c r="G13" s="1880">
        <v>43314</v>
      </c>
      <c r="H13" s="1881">
        <v>0.61458333333333337</v>
      </c>
      <c r="I13" s="1876">
        <v>12</v>
      </c>
      <c r="J13" s="1836">
        <v>0.55000000000000004</v>
      </c>
      <c r="K13" s="1898">
        <v>0.08</v>
      </c>
      <c r="L13" s="1877">
        <v>1</v>
      </c>
      <c r="M13" s="1876" t="s">
        <v>871</v>
      </c>
      <c r="N13" s="661">
        <v>27.2</v>
      </c>
      <c r="O13" s="661">
        <v>6.5</v>
      </c>
      <c r="P13" s="1877" t="s">
        <v>429</v>
      </c>
      <c r="Q13" s="116">
        <v>58</v>
      </c>
      <c r="R13" s="1878" t="s">
        <v>1429</v>
      </c>
      <c r="S13" s="116">
        <v>12</v>
      </c>
      <c r="T13" s="714">
        <v>6.5</v>
      </c>
      <c r="U13" s="116"/>
      <c r="V13" s="116"/>
      <c r="W13" s="116"/>
      <c r="X13" s="116"/>
    </row>
    <row r="14" spans="1:24">
      <c r="A14" s="116">
        <v>90</v>
      </c>
      <c r="B14" s="1878" t="s">
        <v>1430</v>
      </c>
      <c r="C14" s="1876" t="s">
        <v>1431</v>
      </c>
      <c r="D14" s="1876" t="s">
        <v>432</v>
      </c>
      <c r="E14" s="116" t="s">
        <v>1418</v>
      </c>
      <c r="F14" s="804" t="s">
        <v>1434</v>
      </c>
      <c r="G14" s="1880">
        <v>43314</v>
      </c>
      <c r="H14" s="1882">
        <v>0.35416666666666669</v>
      </c>
      <c r="I14" s="1876">
        <v>20</v>
      </c>
      <c r="J14" s="1836">
        <v>0.65</v>
      </c>
      <c r="K14" s="1898">
        <v>0.9</v>
      </c>
      <c r="L14" s="1877">
        <v>5</v>
      </c>
      <c r="M14" s="1876" t="s">
        <v>871</v>
      </c>
      <c r="N14" s="661">
        <v>23.4</v>
      </c>
      <c r="O14" s="661">
        <v>9.6</v>
      </c>
      <c r="P14" s="1877" t="s">
        <v>432</v>
      </c>
      <c r="Q14" s="116">
        <v>90</v>
      </c>
      <c r="R14" s="1878" t="s">
        <v>1430</v>
      </c>
      <c r="S14" s="116">
        <v>20</v>
      </c>
      <c r="T14" s="714">
        <v>9.6</v>
      </c>
      <c r="U14" s="116"/>
      <c r="V14" s="116"/>
      <c r="W14" s="116"/>
      <c r="X14" s="116"/>
    </row>
    <row r="15" spans="1:24">
      <c r="A15" s="1883" t="s">
        <v>259</v>
      </c>
      <c r="B15" s="1883" t="s">
        <v>1432</v>
      </c>
      <c r="C15" s="1883"/>
      <c r="D15" s="1883" t="s">
        <v>1433</v>
      </c>
      <c r="E15" s="1884">
        <v>24.74</v>
      </c>
      <c r="F15" s="1883" t="s">
        <v>911</v>
      </c>
      <c r="G15" s="1885" t="s">
        <v>1448</v>
      </c>
      <c r="H15" s="1883" t="s">
        <v>922</v>
      </c>
      <c r="I15" s="1897" t="s">
        <v>1449</v>
      </c>
      <c r="J15" s="116"/>
      <c r="K15" s="116"/>
      <c r="L15" s="116"/>
      <c r="M15" s="116"/>
      <c r="N15" s="108"/>
      <c r="O15" s="108"/>
      <c r="Q15" s="108"/>
      <c r="R15" s="108"/>
      <c r="S15" s="108"/>
      <c r="T15" s="108"/>
      <c r="U15" s="108"/>
      <c r="V15" s="108"/>
      <c r="W15" s="108"/>
      <c r="X15" s="108"/>
    </row>
    <row r="16" spans="1:24">
      <c r="Q16" s="587" t="s">
        <v>474</v>
      </c>
      <c r="R16" s="1889">
        <v>4.0199999999999996</v>
      </c>
      <c r="S16" s="1890" t="s">
        <v>906</v>
      </c>
      <c r="T16" s="1889">
        <v>6.3</v>
      </c>
      <c r="U16" s="1890" t="s">
        <v>914</v>
      </c>
      <c r="V16" s="106">
        <v>0.25</v>
      </c>
      <c r="W16" s="108"/>
      <c r="X16" s="108"/>
    </row>
    <row r="17" spans="1:24">
      <c r="A17" s="3314" t="s">
        <v>1435</v>
      </c>
      <c r="B17" s="3315"/>
      <c r="C17" s="3316" t="s">
        <v>1436</v>
      </c>
      <c r="D17" s="3317"/>
      <c r="E17" s="3021" t="s">
        <v>1437</v>
      </c>
      <c r="F17" s="3023"/>
      <c r="G17" s="3021" t="s">
        <v>1438</v>
      </c>
      <c r="H17" s="3022"/>
      <c r="Q17" s="587" t="s">
        <v>475</v>
      </c>
      <c r="R17" s="1889">
        <v>10.4</v>
      </c>
      <c r="S17" s="1891" t="s">
        <v>741</v>
      </c>
      <c r="T17" s="1892">
        <v>1</v>
      </c>
      <c r="U17" s="1890" t="s">
        <v>915</v>
      </c>
      <c r="V17" s="106">
        <v>0.01</v>
      </c>
      <c r="W17" s="108"/>
      <c r="X17" s="108"/>
    </row>
    <row r="18" spans="1:24">
      <c r="A18" s="131" t="s">
        <v>139</v>
      </c>
      <c r="B18" s="363">
        <v>7.91</v>
      </c>
      <c r="C18" s="131" t="s">
        <v>139</v>
      </c>
      <c r="D18" s="363">
        <v>8.01</v>
      </c>
      <c r="E18" s="131" t="s">
        <v>139</v>
      </c>
      <c r="F18" s="363">
        <v>7.99</v>
      </c>
      <c r="G18" s="131" t="s">
        <v>139</v>
      </c>
      <c r="H18" s="363">
        <v>8.07</v>
      </c>
      <c r="Q18" s="587" t="s">
        <v>462</v>
      </c>
      <c r="R18" s="1889">
        <v>10.3</v>
      </c>
      <c r="S18" s="1893" t="s">
        <v>745</v>
      </c>
      <c r="T18" s="1896">
        <v>1.5</v>
      </c>
      <c r="U18" s="1890" t="s">
        <v>916</v>
      </c>
      <c r="V18" s="106">
        <v>0.25</v>
      </c>
      <c r="W18" s="108"/>
      <c r="X18" s="108"/>
    </row>
    <row r="19" spans="1:24">
      <c r="A19" s="131" t="s">
        <v>138</v>
      </c>
      <c r="B19" s="713">
        <v>16.100000000000001</v>
      </c>
      <c r="C19" s="131" t="s">
        <v>138</v>
      </c>
      <c r="D19" s="713">
        <v>16.2</v>
      </c>
      <c r="E19" s="131" t="s">
        <v>138</v>
      </c>
      <c r="F19" s="713">
        <v>15.5</v>
      </c>
      <c r="G19" s="131" t="s">
        <v>138</v>
      </c>
      <c r="H19" s="713">
        <v>17.100000000000001</v>
      </c>
      <c r="Q19" s="587" t="s">
        <v>777</v>
      </c>
      <c r="R19" s="1889">
        <v>4.2</v>
      </c>
      <c r="S19" s="1891" t="s">
        <v>740</v>
      </c>
      <c r="T19" s="106">
        <v>10</v>
      </c>
      <c r="U19" s="1890" t="s">
        <v>917</v>
      </c>
      <c r="V19" s="106">
        <v>2</v>
      </c>
      <c r="W19" s="108"/>
      <c r="X19" s="108"/>
    </row>
    <row r="20" spans="1:24">
      <c r="A20" s="131" t="s">
        <v>137</v>
      </c>
      <c r="B20" s="363">
        <v>8.98</v>
      </c>
      <c r="C20" s="131" t="s">
        <v>137</v>
      </c>
      <c r="D20" s="363">
        <v>8.5299999999999994</v>
      </c>
      <c r="E20" s="131" t="s">
        <v>137</v>
      </c>
      <c r="F20" s="363">
        <v>9.06</v>
      </c>
      <c r="G20" s="131" t="s">
        <v>137</v>
      </c>
      <c r="H20" s="363">
        <v>9.18</v>
      </c>
      <c r="Q20" s="1874" t="s">
        <v>476</v>
      </c>
      <c r="R20" s="1889">
        <v>9.6999999999999993</v>
      </c>
      <c r="S20" s="1875" t="s">
        <v>1404</v>
      </c>
      <c r="T20" s="1894">
        <v>12</v>
      </c>
      <c r="U20" s="1895" t="s">
        <v>1444</v>
      </c>
      <c r="V20" s="1894">
        <v>0</v>
      </c>
      <c r="W20" s="108"/>
      <c r="X20" s="108"/>
    </row>
    <row r="21" spans="1:24">
      <c r="A21" s="131" t="s">
        <v>136</v>
      </c>
      <c r="B21" s="713">
        <v>366.1</v>
      </c>
      <c r="C21" s="1886" t="s">
        <v>136</v>
      </c>
      <c r="D21" s="713">
        <v>247</v>
      </c>
      <c r="E21" s="1886" t="s">
        <v>136</v>
      </c>
      <c r="F21" s="713">
        <v>207.3</v>
      </c>
      <c r="G21" s="1886" t="s">
        <v>136</v>
      </c>
      <c r="H21" s="713">
        <v>238.2</v>
      </c>
      <c r="Q21" s="587" t="s">
        <v>1403</v>
      </c>
      <c r="R21" s="106">
        <v>1722</v>
      </c>
      <c r="S21" s="1890"/>
      <c r="T21" s="106"/>
      <c r="U21" s="106"/>
      <c r="V21" s="106"/>
      <c r="W21" s="108"/>
      <c r="X21" s="108"/>
    </row>
    <row r="22" spans="1:24">
      <c r="A22" s="3021" t="s">
        <v>1439</v>
      </c>
      <c r="B22" s="3023"/>
      <c r="C22" s="3021" t="s">
        <v>1440</v>
      </c>
      <c r="D22" s="3023"/>
      <c r="E22" s="3021" t="s">
        <v>1441</v>
      </c>
      <c r="F22" s="3023"/>
      <c r="G22" s="3021" t="s">
        <v>1442</v>
      </c>
      <c r="H22" s="3022"/>
    </row>
    <row r="23" spans="1:24">
      <c r="A23" s="131" t="s">
        <v>139</v>
      </c>
      <c r="B23" s="363">
        <v>8.09</v>
      </c>
      <c r="C23" s="131" t="s">
        <v>139</v>
      </c>
      <c r="D23" s="363">
        <v>8.08</v>
      </c>
      <c r="E23" s="131" t="s">
        <v>139</v>
      </c>
      <c r="F23" s="363">
        <v>7.88</v>
      </c>
      <c r="G23" s="131" t="s">
        <v>139</v>
      </c>
      <c r="H23" s="363">
        <v>7.74</v>
      </c>
    </row>
    <row r="24" spans="1:24">
      <c r="A24" s="131" t="s">
        <v>138</v>
      </c>
      <c r="B24" s="713">
        <v>18.2</v>
      </c>
      <c r="C24" s="131" t="s">
        <v>138</v>
      </c>
      <c r="D24" s="713">
        <v>20.7</v>
      </c>
      <c r="E24" s="1886" t="s">
        <v>138</v>
      </c>
      <c r="F24" s="713">
        <v>19.600000000000001</v>
      </c>
      <c r="G24" s="1886" t="s">
        <v>138</v>
      </c>
      <c r="H24" s="713">
        <v>18.3</v>
      </c>
    </row>
    <row r="25" spans="1:24">
      <c r="A25" s="131" t="s">
        <v>137</v>
      </c>
      <c r="B25" s="363">
        <v>8.8000000000000007</v>
      </c>
      <c r="C25" s="131" t="s">
        <v>137</v>
      </c>
      <c r="D25" s="363">
        <v>7.27</v>
      </c>
      <c r="E25" s="131" t="s">
        <v>137</v>
      </c>
      <c r="F25" s="363">
        <v>7.24</v>
      </c>
      <c r="G25" s="131" t="s">
        <v>137</v>
      </c>
      <c r="H25" s="363">
        <v>9.57</v>
      </c>
    </row>
    <row r="26" spans="1:24">
      <c r="A26" s="131" t="s">
        <v>136</v>
      </c>
      <c r="B26" s="713">
        <v>148.19999999999999</v>
      </c>
      <c r="C26" s="1886" t="s">
        <v>136</v>
      </c>
      <c r="D26" s="713">
        <v>135.19999999999999</v>
      </c>
      <c r="E26" s="1886" t="s">
        <v>136</v>
      </c>
      <c r="F26" s="713">
        <v>107.3</v>
      </c>
      <c r="G26" s="1886" t="s">
        <v>136</v>
      </c>
      <c r="H26" s="713">
        <v>71.900000000000006</v>
      </c>
    </row>
    <row r="27" spans="1:24">
      <c r="A27" s="3021" t="s">
        <v>1039</v>
      </c>
      <c r="B27" s="3023"/>
      <c r="C27" s="3021" t="s">
        <v>1040</v>
      </c>
      <c r="D27" s="3022"/>
      <c r="E27" s="3063" t="s">
        <v>1443</v>
      </c>
      <c r="F27" s="3065"/>
      <c r="G27" s="116"/>
      <c r="H27" s="116"/>
    </row>
    <row r="28" spans="1:24">
      <c r="A28" s="131" t="s">
        <v>139</v>
      </c>
      <c r="B28" s="363">
        <v>7.59</v>
      </c>
      <c r="C28" s="131" t="s">
        <v>139</v>
      </c>
      <c r="D28" s="1887">
        <v>7.65</v>
      </c>
      <c r="E28" s="131" t="s">
        <v>139</v>
      </c>
      <c r="F28" s="364">
        <v>7.72</v>
      </c>
      <c r="G28" s="116"/>
      <c r="H28" s="116"/>
    </row>
    <row r="29" spans="1:24">
      <c r="A29" s="131" t="s">
        <v>138</v>
      </c>
      <c r="B29" s="713">
        <v>18.600000000000001</v>
      </c>
      <c r="C29" s="1886" t="s">
        <v>138</v>
      </c>
      <c r="D29" s="1888">
        <v>14.7</v>
      </c>
      <c r="E29" s="131" t="s">
        <v>138</v>
      </c>
      <c r="F29" s="714">
        <v>18.8</v>
      </c>
      <c r="G29" s="116"/>
      <c r="H29" s="116"/>
    </row>
    <row r="30" spans="1:24">
      <c r="A30" s="131" t="s">
        <v>137</v>
      </c>
      <c r="B30" s="363">
        <v>8.2100000000000009</v>
      </c>
      <c r="C30" s="131" t="s">
        <v>137</v>
      </c>
      <c r="D30" s="1887">
        <v>8.56</v>
      </c>
      <c r="E30" s="131" t="s">
        <v>137</v>
      </c>
      <c r="F30" s="364">
        <v>6.83</v>
      </c>
      <c r="G30" s="116"/>
      <c r="H30" s="116"/>
    </row>
    <row r="31" spans="1:24">
      <c r="A31" s="131" t="s">
        <v>136</v>
      </c>
      <c r="B31" s="713">
        <v>61.9</v>
      </c>
      <c r="C31" s="1886" t="s">
        <v>136</v>
      </c>
      <c r="D31" s="1888">
        <v>46.6</v>
      </c>
      <c r="E31" s="1886" t="s">
        <v>136</v>
      </c>
      <c r="F31" s="714">
        <v>860</v>
      </c>
      <c r="G31" s="116"/>
      <c r="H31" s="116"/>
    </row>
  </sheetData>
  <mergeCells count="12">
    <mergeCell ref="A27:B27"/>
    <mergeCell ref="C27:D27"/>
    <mergeCell ref="E27:F27"/>
    <mergeCell ref="A2:M2"/>
    <mergeCell ref="A17:B17"/>
    <mergeCell ref="C17:D17"/>
    <mergeCell ref="E17:F17"/>
    <mergeCell ref="G17:H17"/>
    <mergeCell ref="A22:B22"/>
    <mergeCell ref="C22:D22"/>
    <mergeCell ref="E22:F22"/>
    <mergeCell ref="G22:H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"/>
  <sheetViews>
    <sheetView topLeftCell="M1" workbookViewId="0">
      <selection activeCell="AB2" sqref="AB2"/>
    </sheetView>
  </sheetViews>
  <sheetFormatPr defaultRowHeight="14"/>
  <cols>
    <col min="1" max="1" width="34.90625" style="25" customWidth="1"/>
    <col min="2" max="3" width="6.36328125" bestFit="1" customWidth="1"/>
    <col min="4" max="4" width="6.90625" bestFit="1" customWidth="1"/>
    <col min="5" max="5" width="7.54296875" customWidth="1"/>
    <col min="6" max="6" width="7.36328125" bestFit="1" customWidth="1"/>
    <col min="7" max="9" width="6.90625" bestFit="1" customWidth="1"/>
    <col min="10" max="10" width="5.36328125" bestFit="1" customWidth="1"/>
    <col min="11" max="13" width="6.36328125" bestFit="1" customWidth="1"/>
    <col min="14" max="14" width="13.7265625" bestFit="1" customWidth="1"/>
    <col min="15" max="15" width="10" customWidth="1"/>
    <col min="16" max="16" width="9.54296875" customWidth="1"/>
    <col min="17" max="17" width="26.6328125" customWidth="1"/>
    <col min="18" max="18" width="4.453125" bestFit="1" customWidth="1"/>
    <col min="19" max="20" width="4.90625" bestFit="1" customWidth="1"/>
    <col min="21" max="22" width="4.453125" bestFit="1" customWidth="1"/>
    <col min="23" max="24" width="5.26953125" bestFit="1" customWidth="1"/>
    <col min="25" max="25" width="6.26953125" bestFit="1" customWidth="1"/>
    <col min="26" max="26" width="5.26953125" bestFit="1" customWidth="1"/>
    <col min="28" max="28" width="8.7265625" style="358"/>
    <col min="30" max="30" width="21.6328125" customWidth="1"/>
  </cols>
  <sheetData>
    <row r="1" spans="1:35">
      <c r="A1" s="2929" t="s">
        <v>89</v>
      </c>
      <c r="B1" s="2929"/>
      <c r="C1" s="2929"/>
      <c r="D1" s="2929"/>
      <c r="E1" s="2929"/>
      <c r="F1" s="2929"/>
      <c r="G1" s="2929"/>
      <c r="H1" s="2929"/>
      <c r="I1" s="2929"/>
      <c r="J1" s="2929"/>
      <c r="K1" s="2929"/>
      <c r="L1" s="2929"/>
      <c r="M1" s="2929"/>
      <c r="N1" s="2929"/>
      <c r="O1" s="312">
        <v>2.7230000000000002E-3</v>
      </c>
      <c r="P1" s="25"/>
      <c r="Q1" s="25"/>
      <c r="R1" s="26"/>
      <c r="S1" s="25"/>
      <c r="T1" s="25"/>
      <c r="AB1" s="358">
        <f>SUM(R3:AB3)</f>
        <v>35932.273951291922</v>
      </c>
    </row>
    <row r="2" spans="1:35">
      <c r="A2" s="156"/>
      <c r="B2" s="2930" t="s">
        <v>81</v>
      </c>
      <c r="C2" s="2930"/>
      <c r="D2" s="2930"/>
      <c r="E2" s="2930"/>
      <c r="F2" s="2930"/>
      <c r="G2" s="2930"/>
      <c r="H2" s="2930"/>
      <c r="I2" s="2930"/>
      <c r="J2" s="2930"/>
      <c r="K2" s="2930"/>
      <c r="L2" s="2930"/>
      <c r="M2" s="2930"/>
      <c r="N2" s="127"/>
      <c r="O2" s="25"/>
      <c r="P2" s="137"/>
      <c r="Q2" s="137"/>
      <c r="R2" s="1826">
        <v>2008</v>
      </c>
      <c r="S2" s="1826">
        <v>2009</v>
      </c>
      <c r="T2" s="1826">
        <v>2010</v>
      </c>
      <c r="U2" s="1826">
        <v>2011</v>
      </c>
      <c r="V2" s="1826">
        <v>2012</v>
      </c>
      <c r="W2" s="1826">
        <v>2013</v>
      </c>
      <c r="X2" s="1826">
        <v>2014</v>
      </c>
      <c r="Y2" s="1826">
        <v>2015</v>
      </c>
      <c r="Z2" s="1826">
        <v>2016</v>
      </c>
      <c r="AA2" s="1826">
        <v>2017</v>
      </c>
      <c r="AB2" s="1826">
        <v>2018</v>
      </c>
      <c r="AC2" s="41" t="s">
        <v>786</v>
      </c>
      <c r="AD2" s="2931" t="s">
        <v>1386</v>
      </c>
      <c r="AE2" s="2931"/>
      <c r="AF2" s="2931"/>
      <c r="AG2" s="2931"/>
      <c r="AH2" s="2931"/>
      <c r="AI2" s="2931"/>
    </row>
    <row r="3" spans="1:35" ht="52">
      <c r="A3" s="157"/>
      <c r="B3" s="158" t="s">
        <v>65</v>
      </c>
      <c r="C3" s="158" t="s">
        <v>66</v>
      </c>
      <c r="D3" s="158" t="s">
        <v>67</v>
      </c>
      <c r="E3" s="158" t="s">
        <v>68</v>
      </c>
      <c r="F3" s="158" t="s">
        <v>69</v>
      </c>
      <c r="G3" s="158" t="s">
        <v>70</v>
      </c>
      <c r="H3" s="158" t="s">
        <v>71</v>
      </c>
      <c r="I3" s="158" t="s">
        <v>72</v>
      </c>
      <c r="J3" s="158" t="s">
        <v>73</v>
      </c>
      <c r="K3" s="158" t="s">
        <v>74</v>
      </c>
      <c r="L3" s="158" t="s">
        <v>75</v>
      </c>
      <c r="M3" s="158" t="s">
        <v>76</v>
      </c>
      <c r="N3" s="159" t="s">
        <v>82</v>
      </c>
      <c r="O3" s="25"/>
      <c r="P3" s="137"/>
      <c r="Q3" s="1827" t="s">
        <v>412</v>
      </c>
      <c r="R3" s="1828">
        <v>667</v>
      </c>
      <c r="S3" s="1828">
        <v>1014</v>
      </c>
      <c r="T3" s="1828">
        <v>1395</v>
      </c>
      <c r="U3" s="1829">
        <v>223</v>
      </c>
      <c r="V3" s="1829">
        <v>374</v>
      </c>
      <c r="W3" s="1829">
        <v>6759</v>
      </c>
      <c r="X3" s="1829">
        <v>2030.6921468590576</v>
      </c>
      <c r="Y3" s="1830">
        <v>18866.581804432863</v>
      </c>
      <c r="Z3" s="1829">
        <v>1288</v>
      </c>
      <c r="AA3" s="1831">
        <v>2983</v>
      </c>
      <c r="AB3" s="1831">
        <v>332</v>
      </c>
      <c r="AC3" s="41">
        <f>MEDIAN(R3:AA3)</f>
        <v>1341.5</v>
      </c>
      <c r="AD3" s="1832"/>
      <c r="AE3" s="1820" t="s">
        <v>1398</v>
      </c>
      <c r="AF3" s="1820" t="s">
        <v>1399</v>
      </c>
      <c r="AG3" s="1820" t="s">
        <v>1400</v>
      </c>
      <c r="AH3" s="1820" t="s">
        <v>1387</v>
      </c>
      <c r="AI3" s="1820" t="s">
        <v>1397</v>
      </c>
    </row>
    <row r="4" spans="1:35">
      <c r="A4" s="160" t="s">
        <v>311</v>
      </c>
      <c r="B4" s="105">
        <v>86.06219999999999</v>
      </c>
      <c r="C4" s="105">
        <v>126.51540000000001</v>
      </c>
      <c r="D4" s="105">
        <v>110.65140000000001</v>
      </c>
      <c r="E4" s="105">
        <v>77.337000000000003</v>
      </c>
      <c r="F4" s="105">
        <v>227.45010000000002</v>
      </c>
      <c r="G4" s="105">
        <v>89.234999999999999</v>
      </c>
      <c r="H4" s="105">
        <v>190.56630000000001</v>
      </c>
      <c r="I4" s="105">
        <v>67.620300000000015</v>
      </c>
      <c r="J4" s="105">
        <v>130.87800000000001</v>
      </c>
      <c r="K4" s="105">
        <v>55.325700000000005</v>
      </c>
      <c r="L4" s="105">
        <v>130.87800000000001</v>
      </c>
      <c r="M4" s="105">
        <v>73.767600000000002</v>
      </c>
      <c r="N4" s="161">
        <f>SUM(B4:M4)</f>
        <v>1366.287</v>
      </c>
      <c r="O4" s="27"/>
      <c r="P4" s="304"/>
      <c r="Q4" s="343"/>
      <c r="R4" s="343"/>
      <c r="S4" s="41"/>
      <c r="T4" s="137"/>
      <c r="U4" s="41"/>
      <c r="V4" s="41"/>
      <c r="W4" s="41"/>
      <c r="X4" s="41"/>
      <c r="Y4" s="41"/>
      <c r="Z4" s="41"/>
      <c r="AA4" s="41"/>
      <c r="AB4" s="41"/>
      <c r="AC4" s="41"/>
      <c r="AD4" s="1833">
        <v>2000</v>
      </c>
      <c r="AE4" s="1834">
        <v>3637</v>
      </c>
      <c r="AF4" s="1834">
        <f>AE4*0.25</f>
        <v>909.25</v>
      </c>
      <c r="AG4" s="1834">
        <v>1216</v>
      </c>
      <c r="AH4" s="1834">
        <f>AG4-AF4</f>
        <v>306.75</v>
      </c>
      <c r="AI4" s="1835">
        <f>AH4/AG4</f>
        <v>0.25226151315789475</v>
      </c>
    </row>
    <row r="5" spans="1:35">
      <c r="A5" s="160" t="s">
        <v>310</v>
      </c>
      <c r="B5" s="105">
        <v>633.17190000000005</v>
      </c>
      <c r="C5" s="105">
        <v>511.81230000000005</v>
      </c>
      <c r="D5" s="105">
        <v>252.0393</v>
      </c>
      <c r="E5" s="105">
        <v>332.77790769230774</v>
      </c>
      <c r="F5" s="105">
        <v>1670.2809</v>
      </c>
      <c r="G5" s="105">
        <v>643.0075800000003</v>
      </c>
      <c r="H5" s="105">
        <v>316.40748000000002</v>
      </c>
      <c r="I5" s="105">
        <v>169.56633000000002</v>
      </c>
      <c r="J5" s="105">
        <v>304.03356000000014</v>
      </c>
      <c r="K5" s="105">
        <v>461.04750000000001</v>
      </c>
      <c r="L5" s="105">
        <v>142.77600000000001</v>
      </c>
      <c r="M5" s="105">
        <v>184.41899999999998</v>
      </c>
      <c r="N5" s="161">
        <f>SUM(B5:M5)</f>
        <v>5621.3397576923071</v>
      </c>
      <c r="O5" s="25"/>
      <c r="P5" s="304"/>
      <c r="Q5" s="344"/>
      <c r="R5" s="344"/>
      <c r="S5" s="41"/>
      <c r="T5" s="137"/>
      <c r="U5" s="41"/>
      <c r="V5" s="41"/>
      <c r="W5" s="41"/>
      <c r="X5" s="41"/>
      <c r="Y5" s="41"/>
      <c r="Z5" s="41"/>
      <c r="AA5" s="41"/>
      <c r="AB5" s="41"/>
      <c r="AC5" s="41"/>
      <c r="AD5" s="1833">
        <v>2001</v>
      </c>
      <c r="AE5" s="1834">
        <v>2638</v>
      </c>
      <c r="AF5" s="1834">
        <f t="shared" ref="AF5:AF22" si="0">AE5*0.25</f>
        <v>659.5</v>
      </c>
      <c r="AG5" s="1834">
        <v>1542</v>
      </c>
      <c r="AH5" s="1834">
        <f t="shared" ref="AH5:AH22" si="1">AG5-AF5</f>
        <v>882.5</v>
      </c>
      <c r="AI5" s="1835">
        <f>AH5/AG5</f>
        <v>0.57230869001297013</v>
      </c>
    </row>
    <row r="6" spans="1:35">
      <c r="A6" s="157" t="s">
        <v>21</v>
      </c>
      <c r="B6" s="231">
        <f>SUM(B4:B5)</f>
        <v>719.23410000000001</v>
      </c>
      <c r="C6" s="231">
        <f t="shared" ref="C6:M6" si="2">SUM(C4:C5)</f>
        <v>638.32770000000005</v>
      </c>
      <c r="D6" s="231">
        <f t="shared" si="2"/>
        <v>362.69069999999999</v>
      </c>
      <c r="E6" s="231">
        <f t="shared" si="2"/>
        <v>410.11490769230772</v>
      </c>
      <c r="F6" s="231">
        <f t="shared" si="2"/>
        <v>1897.731</v>
      </c>
      <c r="G6" s="231">
        <f t="shared" si="2"/>
        <v>732.24258000000032</v>
      </c>
      <c r="H6" s="231">
        <f t="shared" si="2"/>
        <v>506.97378000000003</v>
      </c>
      <c r="I6" s="231">
        <f t="shared" si="2"/>
        <v>237.18663000000004</v>
      </c>
      <c r="J6" s="231">
        <f t="shared" si="2"/>
        <v>434.91156000000012</v>
      </c>
      <c r="K6" s="231">
        <f t="shared" si="2"/>
        <v>516.3732</v>
      </c>
      <c r="L6" s="231">
        <f t="shared" si="2"/>
        <v>273.654</v>
      </c>
      <c r="M6" s="231">
        <f t="shared" si="2"/>
        <v>258.1866</v>
      </c>
      <c r="N6" s="161">
        <f>SUM(N4:N5)</f>
        <v>6987.6267576923074</v>
      </c>
      <c r="O6" s="25"/>
      <c r="P6" s="304"/>
      <c r="Q6" s="344"/>
      <c r="R6" s="344"/>
      <c r="S6" s="41"/>
      <c r="T6" s="137"/>
      <c r="U6" s="41"/>
      <c r="V6" s="41"/>
      <c r="W6" s="41"/>
      <c r="X6" s="41"/>
      <c r="Y6" s="41"/>
      <c r="Z6" s="41"/>
      <c r="AA6" s="41"/>
      <c r="AB6" s="41"/>
      <c r="AC6" s="41"/>
      <c r="AD6" s="1833">
        <v>2002</v>
      </c>
      <c r="AE6" s="1834">
        <v>2721.5</v>
      </c>
      <c r="AF6" s="1834">
        <f t="shared" si="0"/>
        <v>680.375</v>
      </c>
      <c r="AG6" s="1834">
        <v>442</v>
      </c>
      <c r="AH6" s="1834">
        <f t="shared" si="1"/>
        <v>-238.375</v>
      </c>
      <c r="AI6" s="1835">
        <v>0.02</v>
      </c>
    </row>
    <row r="7" spans="1:35">
      <c r="A7" s="157" t="s">
        <v>408</v>
      </c>
      <c r="B7" s="228">
        <v>671.02737000000002</v>
      </c>
      <c r="C7" s="228">
        <v>599.26401642857149</v>
      </c>
      <c r="D7" s="228">
        <v>230.16482699999997</v>
      </c>
      <c r="E7" s="228">
        <v>231.29712000000004</v>
      </c>
      <c r="F7" s="228">
        <v>2346.8805000000011</v>
      </c>
      <c r="G7" s="228">
        <v>616.27674000000002</v>
      </c>
      <c r="H7" s="228">
        <v>451.2514799999999</v>
      </c>
      <c r="I7" s="228">
        <v>221.71923000000004</v>
      </c>
      <c r="J7" s="228">
        <v>259.83249000000001</v>
      </c>
      <c r="K7" s="228">
        <v>271.45286999999996</v>
      </c>
      <c r="L7" s="228">
        <v>190.84392</v>
      </c>
      <c r="M7" s="228">
        <v>202.72208999999995</v>
      </c>
      <c r="N7" s="170">
        <f>SUM(B7:M7)</f>
        <v>6292.732653428573</v>
      </c>
      <c r="O7" s="25"/>
      <c r="P7" s="304"/>
      <c r="Q7" s="344"/>
      <c r="R7" s="344"/>
      <c r="S7" s="41"/>
      <c r="T7" s="137"/>
      <c r="U7" s="41"/>
      <c r="V7" s="41"/>
      <c r="W7" s="41"/>
      <c r="X7" s="41"/>
      <c r="Y7" s="41"/>
      <c r="Z7" s="41"/>
      <c r="AA7" s="41"/>
      <c r="AB7" s="41"/>
      <c r="AC7" s="41"/>
      <c r="AD7" s="1833">
        <v>2003</v>
      </c>
      <c r="AE7" s="1834">
        <v>4498.4600000000009</v>
      </c>
      <c r="AF7" s="1834">
        <f t="shared" si="0"/>
        <v>1124.6150000000002</v>
      </c>
      <c r="AG7" s="1834">
        <v>1687</v>
      </c>
      <c r="AH7" s="1834">
        <f t="shared" si="1"/>
        <v>562.38499999999976</v>
      </c>
      <c r="AI7" s="1835">
        <f t="shared" ref="AI7:AI22" si="3">AH7/AG7</f>
        <v>0.33336395969176036</v>
      </c>
    </row>
    <row r="8" spans="1:35">
      <c r="A8" s="174" t="s">
        <v>410</v>
      </c>
      <c r="B8" s="710">
        <f>B6-B7</f>
        <v>48.206729999999993</v>
      </c>
      <c r="C8" s="710">
        <f t="shared" ref="C8:M8" si="4">C6-C7</f>
        <v>39.063683571428555</v>
      </c>
      <c r="D8" s="710">
        <f t="shared" si="4"/>
        <v>132.52587300000002</v>
      </c>
      <c r="E8" s="710">
        <f t="shared" si="4"/>
        <v>178.81778769230769</v>
      </c>
      <c r="F8" s="710">
        <f t="shared" si="4"/>
        <v>-449.14950000000113</v>
      </c>
      <c r="G8" s="710">
        <f t="shared" si="4"/>
        <v>115.9658400000003</v>
      </c>
      <c r="H8" s="710">
        <f t="shared" si="4"/>
        <v>55.722300000000132</v>
      </c>
      <c r="I8" s="710">
        <f t="shared" si="4"/>
        <v>15.467399999999998</v>
      </c>
      <c r="J8" s="710">
        <f t="shared" si="4"/>
        <v>175.07907000000012</v>
      </c>
      <c r="K8" s="710">
        <f t="shared" si="4"/>
        <v>244.92033000000004</v>
      </c>
      <c r="L8" s="710">
        <f t="shared" si="4"/>
        <v>82.810079999999999</v>
      </c>
      <c r="M8" s="710">
        <f t="shared" si="4"/>
        <v>55.464510000000047</v>
      </c>
      <c r="N8" s="711">
        <f>SUM(B8:M8)</f>
        <v>694.8941042637357</v>
      </c>
      <c r="O8" s="25"/>
      <c r="P8" s="213"/>
      <c r="Q8" s="344"/>
      <c r="R8" s="344"/>
      <c r="S8" s="41"/>
      <c r="T8" s="137"/>
      <c r="U8" s="41"/>
      <c r="V8" s="41"/>
      <c r="W8" s="41"/>
      <c r="X8" s="41"/>
      <c r="Y8" s="41"/>
      <c r="Z8" s="41"/>
      <c r="AA8" s="41"/>
      <c r="AB8" s="41"/>
      <c r="AC8" s="41"/>
      <c r="AD8" s="1833">
        <v>2004</v>
      </c>
      <c r="AE8" s="1834">
        <v>1716.1</v>
      </c>
      <c r="AF8" s="1834">
        <f t="shared" si="0"/>
        <v>429.02499999999998</v>
      </c>
      <c r="AG8" s="1834">
        <v>2318</v>
      </c>
      <c r="AH8" s="1834">
        <f t="shared" si="1"/>
        <v>1888.9749999999999</v>
      </c>
      <c r="AI8" s="1835">
        <f t="shared" si="3"/>
        <v>0.81491587575496116</v>
      </c>
    </row>
    <row r="9" spans="1:35" ht="18" customHeight="1">
      <c r="A9" s="169" t="s">
        <v>972</v>
      </c>
      <c r="B9" s="106">
        <v>1475.3519999999999</v>
      </c>
      <c r="C9" s="106">
        <v>690.08399999999995</v>
      </c>
      <c r="D9" s="106">
        <v>614.73</v>
      </c>
      <c r="E9" s="106">
        <v>547.30799999999999</v>
      </c>
      <c r="F9" s="106">
        <v>2458.92</v>
      </c>
      <c r="G9" s="106">
        <v>844.75800000000004</v>
      </c>
      <c r="H9" s="106">
        <v>799.149</v>
      </c>
      <c r="I9" s="106">
        <v>596.28809999999999</v>
      </c>
      <c r="J9" s="106">
        <v>630.59400000000005</v>
      </c>
      <c r="K9" s="106">
        <v>836.03280000000007</v>
      </c>
      <c r="L9" s="106">
        <v>594.90000000000009</v>
      </c>
      <c r="M9" s="106">
        <v>596.28809999999999</v>
      </c>
      <c r="N9" s="161">
        <f>SUM(B9:M9)</f>
        <v>10684.404</v>
      </c>
      <c r="O9" s="25"/>
      <c r="P9" s="338"/>
      <c r="Q9" s="344"/>
      <c r="R9" s="344"/>
      <c r="S9" s="41"/>
      <c r="T9" s="137"/>
      <c r="U9" s="41"/>
      <c r="V9" s="41"/>
      <c r="W9" s="41"/>
      <c r="X9" s="41"/>
      <c r="Y9" s="41"/>
      <c r="Z9" s="41"/>
      <c r="AA9" s="41"/>
      <c r="AB9" s="41"/>
      <c r="AC9" s="41"/>
      <c r="AD9" s="1833">
        <v>2005</v>
      </c>
      <c r="AE9" s="1834">
        <v>1993.63</v>
      </c>
      <c r="AF9" s="1834">
        <f t="shared" si="0"/>
        <v>498.40750000000003</v>
      </c>
      <c r="AG9" s="1834">
        <v>2795</v>
      </c>
      <c r="AH9" s="1834">
        <f t="shared" si="1"/>
        <v>2296.5924999999997</v>
      </c>
      <c r="AI9" s="1835">
        <f t="shared" si="3"/>
        <v>0.8216788908765652</v>
      </c>
    </row>
    <row r="10" spans="1:35" s="9" customFormat="1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36"/>
      <c r="P10" s="137"/>
      <c r="Q10" s="346"/>
      <c r="R10" s="340"/>
      <c r="S10" s="340"/>
      <c r="T10" s="340"/>
      <c r="U10" s="41"/>
      <c r="V10" s="346"/>
      <c r="W10" s="339"/>
      <c r="X10" s="339"/>
      <c r="Y10" s="339"/>
      <c r="Z10" s="345"/>
      <c r="AA10" s="41"/>
      <c r="AB10" s="41"/>
      <c r="AC10" s="41"/>
      <c r="AD10" s="1833">
        <v>2006</v>
      </c>
      <c r="AE10" s="1834">
        <v>1544.82</v>
      </c>
      <c r="AF10" s="1834">
        <f t="shared" si="0"/>
        <v>386.20499999999998</v>
      </c>
      <c r="AG10" s="1834">
        <v>1016</v>
      </c>
      <c r="AH10" s="1834">
        <f t="shared" si="1"/>
        <v>629.79500000000007</v>
      </c>
      <c r="AI10" s="1835">
        <f t="shared" si="3"/>
        <v>0.61987696850393703</v>
      </c>
    </row>
    <row r="11" spans="1:35" s="9" customFormat="1">
      <c r="A11" s="163" t="s">
        <v>248</v>
      </c>
      <c r="B11" s="158" t="s">
        <v>65</v>
      </c>
      <c r="C11" s="158" t="s">
        <v>66</v>
      </c>
      <c r="D11" s="158" t="s">
        <v>67</v>
      </c>
      <c r="E11" s="158" t="s">
        <v>68</v>
      </c>
      <c r="F11" s="158" t="s">
        <v>69</v>
      </c>
      <c r="G11" s="158" t="s">
        <v>70</v>
      </c>
      <c r="H11" s="158" t="s">
        <v>71</v>
      </c>
      <c r="I11" s="158" t="s">
        <v>72</v>
      </c>
      <c r="J11" s="158" t="s">
        <v>73</v>
      </c>
      <c r="K11" s="158" t="s">
        <v>74</v>
      </c>
      <c r="L11" s="158" t="s">
        <v>75</v>
      </c>
      <c r="M11" s="158" t="s">
        <v>76</v>
      </c>
      <c r="N11" s="163" t="s">
        <v>83</v>
      </c>
      <c r="O11" s="136"/>
      <c r="P11" s="137"/>
      <c r="Q11" s="137"/>
      <c r="R11" s="137"/>
      <c r="S11" s="137"/>
      <c r="T11" s="137"/>
      <c r="U11" s="41"/>
      <c r="V11" s="41"/>
      <c r="W11" s="41"/>
      <c r="X11" s="41"/>
      <c r="Y11" s="41"/>
      <c r="Z11" s="41"/>
      <c r="AA11" s="41"/>
      <c r="AB11" s="41"/>
      <c r="AC11" s="41"/>
      <c r="AD11" s="1833">
        <v>2007</v>
      </c>
      <c r="AE11" s="1834">
        <v>1871.82</v>
      </c>
      <c r="AF11" s="1834">
        <f t="shared" si="0"/>
        <v>467.95499999999998</v>
      </c>
      <c r="AG11" s="1834">
        <v>6357</v>
      </c>
      <c r="AH11" s="1834">
        <f t="shared" si="1"/>
        <v>5889.0450000000001</v>
      </c>
      <c r="AI11" s="1835">
        <f t="shared" si="3"/>
        <v>0.92638744690891928</v>
      </c>
    </row>
    <row r="12" spans="1:35" s="9" customFormat="1">
      <c r="A12" s="160" t="s">
        <v>311</v>
      </c>
      <c r="B12" s="229">
        <v>911</v>
      </c>
      <c r="C12" s="229">
        <v>769</v>
      </c>
      <c r="D12" s="229">
        <v>872</v>
      </c>
      <c r="E12" s="229">
        <v>662</v>
      </c>
      <c r="F12" s="229">
        <v>554</v>
      </c>
      <c r="G12" s="229">
        <v>617</v>
      </c>
      <c r="H12" s="229">
        <v>1149</v>
      </c>
      <c r="I12" s="550">
        <v>704</v>
      </c>
      <c r="J12" s="550">
        <v>675.5</v>
      </c>
      <c r="K12" s="550">
        <v>672</v>
      </c>
      <c r="L12" s="168">
        <v>392</v>
      </c>
      <c r="M12" s="168">
        <v>621</v>
      </c>
      <c r="N12" s="161">
        <f>AVERAGE(B12:M12)</f>
        <v>716.54166666666663</v>
      </c>
      <c r="O12" s="136"/>
      <c r="P12" s="137"/>
      <c r="Q12" s="137"/>
      <c r="R12" s="137"/>
      <c r="S12" s="137"/>
      <c r="T12" s="137"/>
      <c r="U12" s="41"/>
      <c r="V12" s="41"/>
      <c r="W12" s="41"/>
      <c r="X12" s="41"/>
      <c r="Y12" s="41"/>
      <c r="Z12" s="41"/>
      <c r="AA12" s="41"/>
      <c r="AB12" s="41"/>
      <c r="AC12" s="41"/>
      <c r="AD12" s="1833">
        <v>2008</v>
      </c>
      <c r="AE12" s="1834">
        <v>1243.4000000000001</v>
      </c>
      <c r="AF12" s="1834">
        <f t="shared" si="0"/>
        <v>310.85000000000002</v>
      </c>
      <c r="AG12" s="1834">
        <v>1658</v>
      </c>
      <c r="AH12" s="1834">
        <f t="shared" si="1"/>
        <v>1347.15</v>
      </c>
      <c r="AI12" s="1835">
        <f t="shared" si="3"/>
        <v>0.81251507840772019</v>
      </c>
    </row>
    <row r="13" spans="1:35" s="9" customFormat="1">
      <c r="A13" s="160" t="s">
        <v>310</v>
      </c>
      <c r="B13" s="704">
        <v>1252</v>
      </c>
      <c r="C13" s="704">
        <v>1245</v>
      </c>
      <c r="D13" s="704">
        <v>1333</v>
      </c>
      <c r="E13" s="704">
        <v>1143</v>
      </c>
      <c r="F13" s="704">
        <v>769</v>
      </c>
      <c r="G13" s="704">
        <v>833</v>
      </c>
      <c r="H13" s="704">
        <v>956.5</v>
      </c>
      <c r="I13" s="704">
        <v>1220.5</v>
      </c>
      <c r="J13" s="704">
        <v>934</v>
      </c>
      <c r="K13" s="704">
        <v>790</v>
      </c>
      <c r="L13" s="704">
        <v>1066</v>
      </c>
      <c r="M13" s="704">
        <v>2342</v>
      </c>
      <c r="N13" s="161">
        <f>AVERAGE(B13:M13)</f>
        <v>1157</v>
      </c>
      <c r="O13" s="136"/>
      <c r="P13" s="137"/>
      <c r="Q13" s="137"/>
      <c r="R13" s="137"/>
      <c r="S13" s="137"/>
      <c r="T13" s="137"/>
      <c r="U13" s="41"/>
      <c r="V13" s="41"/>
      <c r="W13" s="41"/>
      <c r="X13" s="41"/>
      <c r="Y13" s="41"/>
      <c r="Z13" s="41"/>
      <c r="AA13" s="41"/>
      <c r="AB13" s="41"/>
      <c r="AC13" s="41"/>
      <c r="AD13" s="1833">
        <v>2009</v>
      </c>
      <c r="AE13" s="1834">
        <v>1251.8000000000002</v>
      </c>
      <c r="AF13" s="1834">
        <f t="shared" si="0"/>
        <v>312.95000000000005</v>
      </c>
      <c r="AG13" s="1834">
        <v>2375</v>
      </c>
      <c r="AH13" s="1834">
        <f t="shared" si="1"/>
        <v>2062.0500000000002</v>
      </c>
      <c r="AI13" s="1835">
        <f t="shared" si="3"/>
        <v>0.86823157894736847</v>
      </c>
    </row>
    <row r="14" spans="1:35" s="9" customFormat="1">
      <c r="A14" s="175" t="s">
        <v>312</v>
      </c>
      <c r="B14" s="229">
        <v>906</v>
      </c>
      <c r="C14" s="229">
        <v>1002</v>
      </c>
      <c r="D14" s="229">
        <v>829</v>
      </c>
      <c r="E14" s="229">
        <v>874</v>
      </c>
      <c r="F14" s="229">
        <v>653</v>
      </c>
      <c r="G14" s="229">
        <v>693</v>
      </c>
      <c r="H14" s="229">
        <v>589</v>
      </c>
      <c r="I14" s="229">
        <v>585</v>
      </c>
      <c r="J14" s="229">
        <v>595.5</v>
      </c>
      <c r="K14" s="229">
        <v>643</v>
      </c>
      <c r="L14" s="229">
        <v>546</v>
      </c>
      <c r="M14" s="229">
        <v>713</v>
      </c>
      <c r="N14" s="161">
        <f>AVERAGE(B14:M14)</f>
        <v>719.04166666666663</v>
      </c>
      <c r="O14" s="136"/>
      <c r="P14" s="137"/>
      <c r="Q14" s="233"/>
      <c r="R14" s="233"/>
      <c r="S14" s="137"/>
      <c r="T14" s="341"/>
      <c r="U14" s="342"/>
      <c r="V14" s="342"/>
      <c r="W14" s="342"/>
      <c r="X14" s="41"/>
      <c r="Y14" s="41"/>
      <c r="Z14" s="41"/>
      <c r="AA14" s="41"/>
      <c r="AB14" s="41"/>
      <c r="AC14" s="41"/>
      <c r="AD14" s="1833">
        <v>2010</v>
      </c>
      <c r="AE14" s="1834">
        <v>1121.4100000000001</v>
      </c>
      <c r="AF14" s="1834">
        <f t="shared" si="0"/>
        <v>280.35250000000002</v>
      </c>
      <c r="AG14" s="1834">
        <v>3654</v>
      </c>
      <c r="AH14" s="1834">
        <f t="shared" si="1"/>
        <v>3373.6475</v>
      </c>
      <c r="AI14" s="1835">
        <f t="shared" si="3"/>
        <v>0.92327517788724689</v>
      </c>
    </row>
    <row r="15" spans="1:35" s="9" customFormat="1">
      <c r="A15" s="175" t="s">
        <v>972</v>
      </c>
      <c r="B15" s="229">
        <v>1037</v>
      </c>
      <c r="C15" s="229">
        <v>1127</v>
      </c>
      <c r="D15" s="229">
        <v>1015</v>
      </c>
      <c r="E15" s="229">
        <v>987</v>
      </c>
      <c r="F15" s="229">
        <v>823</v>
      </c>
      <c r="G15" s="229">
        <v>811</v>
      </c>
      <c r="H15" s="229">
        <v>936</v>
      </c>
      <c r="I15" s="229">
        <v>758</v>
      </c>
      <c r="J15" s="229">
        <v>863.5</v>
      </c>
      <c r="K15" s="229">
        <v>896</v>
      </c>
      <c r="L15" s="229">
        <v>709</v>
      </c>
      <c r="M15" s="229">
        <v>1225</v>
      </c>
      <c r="N15" s="161">
        <f>AVERAGE(B15:M15)</f>
        <v>932.29166666666663</v>
      </c>
      <c r="O15" s="136"/>
      <c r="P15" s="137"/>
      <c r="Q15" s="233"/>
      <c r="R15" s="233"/>
      <c r="S15" s="137"/>
      <c r="T15" s="341"/>
      <c r="U15" s="342"/>
      <c r="V15" s="342"/>
      <c r="W15" s="342"/>
      <c r="X15" s="41"/>
      <c r="Y15" s="41"/>
      <c r="Z15" s="41"/>
      <c r="AA15" s="41"/>
      <c r="AB15" s="41"/>
      <c r="AC15" s="41"/>
      <c r="AD15" s="1833">
        <v>2011</v>
      </c>
      <c r="AE15" s="1834">
        <v>909.31000000000006</v>
      </c>
      <c r="AF15" s="1834">
        <f t="shared" si="0"/>
        <v>227.32750000000001</v>
      </c>
      <c r="AG15" s="1834">
        <v>847</v>
      </c>
      <c r="AH15" s="1834">
        <f t="shared" si="1"/>
        <v>619.67250000000001</v>
      </c>
      <c r="AI15" s="1835">
        <f t="shared" si="3"/>
        <v>0.73160861865407323</v>
      </c>
    </row>
    <row r="16" spans="1:35" s="9" customFormat="1">
      <c r="A16" s="169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70"/>
      <c r="O16" s="136"/>
      <c r="P16" s="137"/>
      <c r="Q16" s="233"/>
      <c r="R16" s="233"/>
      <c r="S16" s="137"/>
      <c r="T16" s="137"/>
      <c r="U16" s="41"/>
      <c r="V16" s="41"/>
      <c r="W16" s="41"/>
      <c r="X16" s="41"/>
      <c r="Y16" s="41"/>
      <c r="Z16" s="41"/>
      <c r="AA16" s="41"/>
      <c r="AB16" s="41"/>
      <c r="AC16" s="41"/>
      <c r="AD16" s="1833">
        <v>2012</v>
      </c>
      <c r="AE16" s="1834">
        <v>971.91999999999985</v>
      </c>
      <c r="AF16" s="1834">
        <f t="shared" si="0"/>
        <v>242.97999999999996</v>
      </c>
      <c r="AG16" s="1834">
        <v>634</v>
      </c>
      <c r="AH16" s="1834">
        <f t="shared" si="1"/>
        <v>391.02000000000004</v>
      </c>
      <c r="AI16" s="1835">
        <f t="shared" si="3"/>
        <v>0.61675078864353317</v>
      </c>
    </row>
    <row r="17" spans="1:35" s="9" customFormat="1">
      <c r="A17" s="163" t="s">
        <v>272</v>
      </c>
      <c r="B17" s="164" t="s">
        <v>65</v>
      </c>
      <c r="C17" s="164" t="s">
        <v>66</v>
      </c>
      <c r="D17" s="164" t="s">
        <v>67</v>
      </c>
      <c r="E17" s="164" t="s">
        <v>68</v>
      </c>
      <c r="F17" s="164" t="s">
        <v>69</v>
      </c>
      <c r="G17" s="164" t="s">
        <v>70</v>
      </c>
      <c r="H17" s="164" t="s">
        <v>71</v>
      </c>
      <c r="I17" s="164" t="s">
        <v>72</v>
      </c>
      <c r="J17" s="164" t="s">
        <v>73</v>
      </c>
      <c r="K17" s="164" t="s">
        <v>74</v>
      </c>
      <c r="L17" s="164" t="s">
        <v>75</v>
      </c>
      <c r="M17" s="164" t="s">
        <v>76</v>
      </c>
      <c r="N17" s="164" t="s">
        <v>245</v>
      </c>
      <c r="O17" s="136"/>
      <c r="P17" s="137"/>
      <c r="Q17" s="233"/>
      <c r="R17" s="233"/>
      <c r="S17" s="137"/>
      <c r="T17" s="137"/>
      <c r="U17" s="41"/>
      <c r="V17" s="41"/>
      <c r="W17" s="41"/>
      <c r="X17" s="41"/>
      <c r="Y17" s="41"/>
      <c r="Z17" s="41"/>
      <c r="AA17" s="41"/>
      <c r="AB17" s="41"/>
      <c r="AC17" s="41"/>
      <c r="AD17" s="1833">
        <v>2013</v>
      </c>
      <c r="AE17" s="1834">
        <v>1138.01</v>
      </c>
      <c r="AF17" s="1834">
        <f t="shared" si="0"/>
        <v>284.5025</v>
      </c>
      <c r="AG17" s="1834">
        <v>16006</v>
      </c>
      <c r="AH17" s="1834">
        <f t="shared" si="1"/>
        <v>15721.497499999999</v>
      </c>
      <c r="AI17" s="1835">
        <f t="shared" si="3"/>
        <v>0.98222525927777082</v>
      </c>
    </row>
    <row r="18" spans="1:35" s="9" customFormat="1">
      <c r="A18" s="160" t="s">
        <v>311</v>
      </c>
      <c r="B18" s="229">
        <f>B4*$O$1*B12</f>
        <v>213.4904546166</v>
      </c>
      <c r="C18" s="229">
        <f t="shared" ref="C18:M18" si="5">C4*$O$1*C12</f>
        <v>264.92160289980006</v>
      </c>
      <c r="D18" s="229">
        <f t="shared" si="5"/>
        <v>262.73688063840007</v>
      </c>
      <c r="E18" s="229">
        <f t="shared" si="5"/>
        <v>139.40968696200002</v>
      </c>
      <c r="F18" s="229">
        <f t="shared" si="5"/>
        <v>343.1180287542</v>
      </c>
      <c r="G18" s="229">
        <f t="shared" si="5"/>
        <v>149.922920385</v>
      </c>
      <c r="H18" s="229">
        <f t="shared" si="5"/>
        <v>596.2299281001001</v>
      </c>
      <c r="I18" s="229">
        <f t="shared" si="5"/>
        <v>129.62757413760005</v>
      </c>
      <c r="J18" s="229">
        <f t="shared" si="5"/>
        <v>240.73522634700004</v>
      </c>
      <c r="K18" s="229">
        <f t="shared" si="5"/>
        <v>101.23806409920002</v>
      </c>
      <c r="L18" s="229">
        <f t="shared" si="5"/>
        <v>139.70127124800001</v>
      </c>
      <c r="M18" s="229">
        <f t="shared" si="5"/>
        <v>124.73975755080001</v>
      </c>
      <c r="N18" s="161">
        <f>SUM(B18:M18)</f>
        <v>2705.8713957387004</v>
      </c>
      <c r="O18" s="136"/>
      <c r="P18" s="137"/>
      <c r="Q18" s="233"/>
      <c r="R18" s="233"/>
      <c r="S18" s="137"/>
      <c r="T18" s="137"/>
      <c r="U18" s="41"/>
      <c r="V18" s="41"/>
      <c r="W18" s="41"/>
      <c r="X18" s="41"/>
      <c r="Y18" s="41"/>
      <c r="Z18" s="41"/>
      <c r="AA18" s="41"/>
      <c r="AB18" s="41"/>
      <c r="AC18" s="41"/>
      <c r="AD18" s="1833">
        <v>2014</v>
      </c>
      <c r="AE18" s="1834">
        <v>1075.79</v>
      </c>
      <c r="AF18" s="1834">
        <f t="shared" si="0"/>
        <v>268.94749999999999</v>
      </c>
      <c r="AG18" s="1834">
        <v>4010</v>
      </c>
      <c r="AH18" s="1834">
        <f t="shared" si="1"/>
        <v>3741.0524999999998</v>
      </c>
      <c r="AI18" s="1835">
        <f t="shared" si="3"/>
        <v>0.93293079800498746</v>
      </c>
    </row>
    <row r="19" spans="1:35" s="9" customFormat="1">
      <c r="A19" s="160" t="s">
        <v>310</v>
      </c>
      <c r="B19" s="229">
        <f>B5*$O$1*B13</f>
        <v>2158.6071087924001</v>
      </c>
      <c r="C19" s="229">
        <f t="shared" ref="C19:M19" si="6">C5*$O$1*C13</f>
        <v>1735.1127916605003</v>
      </c>
      <c r="D19" s="229">
        <f t="shared" si="6"/>
        <v>914.84191752870004</v>
      </c>
      <c r="E19" s="229">
        <f t="shared" si="6"/>
        <v>1035.7342993445541</v>
      </c>
      <c r="F19" s="229">
        <f t="shared" si="6"/>
        <v>3497.5464909483003</v>
      </c>
      <c r="G19" s="229">
        <f t="shared" si="6"/>
        <v>1458.5077304032206</v>
      </c>
      <c r="H19" s="229">
        <f t="shared" si="6"/>
        <v>824.09894383026005</v>
      </c>
      <c r="I19" s="229">
        <f t="shared" si="6"/>
        <v>563.54038679809514</v>
      </c>
      <c r="J19" s="229">
        <f t="shared" si="6"/>
        <v>773.24308054392031</v>
      </c>
      <c r="K19" s="229">
        <f t="shared" si="6"/>
        <v>991.79155057499997</v>
      </c>
      <c r="L19" s="229">
        <f t="shared" si="6"/>
        <v>414.43846516800005</v>
      </c>
      <c r="M19" s="229">
        <f t="shared" si="6"/>
        <v>1176.0890184539999</v>
      </c>
      <c r="N19" s="161">
        <f>SUM(B19:M19)</f>
        <v>15543.551784046949</v>
      </c>
      <c r="O19" s="136"/>
      <c r="P19" s="137"/>
      <c r="Q19" s="233"/>
      <c r="R19" s="233"/>
      <c r="S19" s="137"/>
      <c r="T19" s="137"/>
      <c r="U19" s="41"/>
      <c r="V19" s="41"/>
      <c r="W19" s="41"/>
      <c r="X19" s="41"/>
      <c r="Y19" s="41"/>
      <c r="Z19" s="41"/>
      <c r="AA19" s="41"/>
      <c r="AB19" s="41"/>
      <c r="AC19" s="41"/>
      <c r="AD19" s="1833">
        <v>2015</v>
      </c>
      <c r="AE19" s="1834">
        <v>1235.1799999999998</v>
      </c>
      <c r="AF19" s="1834">
        <f t="shared" si="0"/>
        <v>308.79499999999996</v>
      </c>
      <c r="AG19" s="1834">
        <v>29186</v>
      </c>
      <c r="AH19" s="1834">
        <f t="shared" si="1"/>
        <v>28877.205000000002</v>
      </c>
      <c r="AI19" s="1835">
        <f t="shared" si="3"/>
        <v>0.98941975604742005</v>
      </c>
    </row>
    <row r="20" spans="1:35">
      <c r="A20" s="165" t="s">
        <v>84</v>
      </c>
      <c r="B20" s="230">
        <f>SUM(B18:B19)</f>
        <v>2372.097563409</v>
      </c>
      <c r="C20" s="230">
        <f t="shared" ref="C20:N20" si="7">SUM(C18:C19)</f>
        <v>2000.0343945603004</v>
      </c>
      <c r="D20" s="230">
        <f t="shared" si="7"/>
        <v>1177.5787981671001</v>
      </c>
      <c r="E20" s="230">
        <f t="shared" si="7"/>
        <v>1175.1439863065541</v>
      </c>
      <c r="F20" s="230">
        <f t="shared" si="7"/>
        <v>3840.6645197025005</v>
      </c>
      <c r="G20" s="230">
        <f t="shared" si="7"/>
        <v>1608.4306507882206</v>
      </c>
      <c r="H20" s="230">
        <f t="shared" si="7"/>
        <v>1420.32887193036</v>
      </c>
      <c r="I20" s="230">
        <f t="shared" si="7"/>
        <v>693.16796093569519</v>
      </c>
      <c r="J20" s="230">
        <f t="shared" si="7"/>
        <v>1013.9783068909203</v>
      </c>
      <c r="K20" s="230">
        <f t="shared" si="7"/>
        <v>1093.0296146742</v>
      </c>
      <c r="L20" s="230">
        <f t="shared" si="7"/>
        <v>554.13973641600001</v>
      </c>
      <c r="M20" s="230">
        <f t="shared" si="7"/>
        <v>1300.8287760047999</v>
      </c>
      <c r="N20" s="161">
        <f t="shared" si="7"/>
        <v>18249.423179785648</v>
      </c>
      <c r="O20" s="28" t="s">
        <v>1750</v>
      </c>
      <c r="P20" s="137">
        <f>G20+F20</f>
        <v>5449.0951704907211</v>
      </c>
      <c r="Q20" s="233"/>
      <c r="R20" s="233"/>
      <c r="S20" s="137"/>
      <c r="T20" s="137"/>
      <c r="U20" s="41"/>
      <c r="V20" s="41"/>
      <c r="W20" s="41"/>
      <c r="X20" s="41"/>
      <c r="Y20" s="41"/>
      <c r="Z20" s="41"/>
      <c r="AA20" s="41"/>
      <c r="AB20" s="41"/>
      <c r="AC20" s="41"/>
      <c r="AD20" s="1833">
        <v>2016</v>
      </c>
      <c r="AE20" s="1824">
        <v>1024</v>
      </c>
      <c r="AF20" s="1834">
        <f t="shared" si="0"/>
        <v>256</v>
      </c>
      <c r="AG20" s="1824">
        <v>5657</v>
      </c>
      <c r="AH20" s="1834">
        <f t="shared" si="1"/>
        <v>5401</v>
      </c>
      <c r="AI20" s="1835">
        <f t="shared" si="3"/>
        <v>0.95474633197808023</v>
      </c>
    </row>
    <row r="21" spans="1:35">
      <c r="A21" s="169" t="s">
        <v>409</v>
      </c>
      <c r="B21" s="229">
        <f>B7*$O$1*B15</f>
        <v>1894.8142070648703</v>
      </c>
      <c r="C21" s="229">
        <f t="shared" ref="C21:M21" si="8">C7*$O$1*C15</f>
        <v>1839.0339981603452</v>
      </c>
      <c r="D21" s="229">
        <f t="shared" si="8"/>
        <v>636.13990627981502</v>
      </c>
      <c r="E21" s="229">
        <f t="shared" si="8"/>
        <v>621.63437100912006</v>
      </c>
      <c r="F21" s="229">
        <f t="shared" si="8"/>
        <v>5259.427260034503</v>
      </c>
      <c r="G21" s="229">
        <f t="shared" si="8"/>
        <v>1360.9565876092202</v>
      </c>
      <c r="H21" s="229">
        <f t="shared" si="8"/>
        <v>1150.1172821174398</v>
      </c>
      <c r="I21" s="229">
        <f t="shared" si="8"/>
        <v>457.63602917382008</v>
      </c>
      <c r="J21" s="229">
        <f t="shared" si="8"/>
        <v>610.94686197814508</v>
      </c>
      <c r="K21" s="229">
        <f t="shared" si="8"/>
        <v>662.29288384895995</v>
      </c>
      <c r="L21" s="229">
        <f t="shared" si="8"/>
        <v>368.44460785944</v>
      </c>
      <c r="M21" s="229">
        <f t="shared" si="8"/>
        <v>676.21500756074977</v>
      </c>
      <c r="N21" s="170">
        <f>SUM(B21:M21)</f>
        <v>15537.65900269643</v>
      </c>
      <c r="O21" s="28"/>
      <c r="P21" s="774">
        <f>P20/N20</f>
        <v>0.29858999469783376</v>
      </c>
      <c r="Q21" s="233"/>
      <c r="R21" s="233"/>
      <c r="S21" s="137"/>
      <c r="T21" s="137"/>
      <c r="U21" s="41"/>
      <c r="V21" s="41"/>
      <c r="W21" s="41"/>
      <c r="X21" s="41"/>
      <c r="Y21" s="41"/>
      <c r="Z21" s="41"/>
      <c r="AA21" s="41"/>
      <c r="AB21" s="41"/>
      <c r="AC21" s="41"/>
      <c r="AD21" s="1838">
        <v>2017</v>
      </c>
      <c r="AE21" s="1839">
        <v>1011</v>
      </c>
      <c r="AF21" s="1834">
        <f t="shared" si="0"/>
        <v>252.75</v>
      </c>
      <c r="AG21" s="1839">
        <v>6034</v>
      </c>
      <c r="AH21" s="1839">
        <f t="shared" si="1"/>
        <v>5781.25</v>
      </c>
      <c r="AI21" s="1840">
        <f t="shared" si="3"/>
        <v>0.95811236327477622</v>
      </c>
    </row>
    <row r="22" spans="1:35">
      <c r="A22" s="169" t="s">
        <v>411</v>
      </c>
      <c r="B22" s="232">
        <f>B20-B21</f>
        <v>477.28335634412974</v>
      </c>
      <c r="C22" s="232">
        <f t="shared" ref="C22:M22" si="9">C20-C21</f>
        <v>161.00039639995521</v>
      </c>
      <c r="D22" s="232">
        <f t="shared" si="9"/>
        <v>541.43889188728508</v>
      </c>
      <c r="E22" s="232">
        <f t="shared" si="9"/>
        <v>553.50961529743404</v>
      </c>
      <c r="F22" s="232">
        <f t="shared" si="9"/>
        <v>-1418.7627403320025</v>
      </c>
      <c r="G22" s="232">
        <f t="shared" si="9"/>
        <v>247.4740631790005</v>
      </c>
      <c r="H22" s="232">
        <f t="shared" si="9"/>
        <v>270.21158981292024</v>
      </c>
      <c r="I22" s="232">
        <f t="shared" si="9"/>
        <v>235.53193176187511</v>
      </c>
      <c r="J22" s="232">
        <f t="shared" si="9"/>
        <v>403.03144491277521</v>
      </c>
      <c r="K22" s="232">
        <f t="shared" si="9"/>
        <v>430.7367308252401</v>
      </c>
      <c r="L22" s="232">
        <f t="shared" si="9"/>
        <v>185.69512855656001</v>
      </c>
      <c r="M22" s="232">
        <f t="shared" si="9"/>
        <v>624.61376844405015</v>
      </c>
      <c r="N22" s="170">
        <f>SUM(B22:M22)</f>
        <v>2711.7641770892228</v>
      </c>
      <c r="O22" s="28"/>
      <c r="P22" s="137"/>
      <c r="Q22" s="233"/>
      <c r="R22" s="233"/>
      <c r="S22" s="137"/>
      <c r="T22" s="137"/>
      <c r="U22" s="41"/>
      <c r="V22" s="41"/>
      <c r="W22" s="41"/>
      <c r="X22" s="41"/>
      <c r="Y22" s="41"/>
      <c r="Z22" s="41"/>
      <c r="AA22" s="41"/>
      <c r="AB22" s="41"/>
      <c r="AC22" s="41"/>
      <c r="AD22" s="1833">
        <v>2018</v>
      </c>
      <c r="AF22" s="1834">
        <f t="shared" si="0"/>
        <v>0</v>
      </c>
      <c r="AG22" s="1839">
        <v>741</v>
      </c>
      <c r="AH22" s="1839">
        <f t="shared" si="1"/>
        <v>741</v>
      </c>
      <c r="AI22" s="1840">
        <f t="shared" si="3"/>
        <v>1</v>
      </c>
    </row>
    <row r="23" spans="1:35">
      <c r="A23" s="169" t="s">
        <v>972</v>
      </c>
      <c r="B23" s="229">
        <f>B9*$O$1*B15</f>
        <v>4166.0266853519997</v>
      </c>
      <c r="C23" s="229">
        <f t="shared" ref="C23:M23" si="10">C9*$O$1*C15</f>
        <v>2117.744270964</v>
      </c>
      <c r="D23" s="229">
        <f t="shared" si="10"/>
        <v>1699.0184368500002</v>
      </c>
      <c r="E23" s="229">
        <f t="shared" si="10"/>
        <v>1470.9455281080002</v>
      </c>
      <c r="F23" s="229">
        <f t="shared" si="10"/>
        <v>5510.5110286800009</v>
      </c>
      <c r="G23" s="229">
        <f t="shared" si="10"/>
        <v>1865.5238635740002</v>
      </c>
      <c r="H23" s="229">
        <f t="shared" si="10"/>
        <v>2036.8134324720002</v>
      </c>
      <c r="I23" s="229">
        <f t="shared" si="10"/>
        <v>1230.7589121954002</v>
      </c>
      <c r="J23" s="229">
        <f t="shared" si="10"/>
        <v>1482.7222934370002</v>
      </c>
      <c r="K23" s="229">
        <f t="shared" si="10"/>
        <v>2039.7595137024005</v>
      </c>
      <c r="L23" s="229">
        <f t="shared" si="10"/>
        <v>1148.5181043000002</v>
      </c>
      <c r="M23" s="229">
        <f t="shared" si="10"/>
        <v>1989.0233079675002</v>
      </c>
      <c r="N23" s="170">
        <f>SUM(B23:M23)</f>
        <v>26757.365377602306</v>
      </c>
      <c r="O23" s="28"/>
      <c r="P23" s="137"/>
      <c r="Q23" s="233"/>
      <c r="R23" s="233"/>
      <c r="S23" s="137"/>
      <c r="T23" s="137"/>
      <c r="U23" s="41"/>
      <c r="V23" s="41"/>
      <c r="W23" s="41"/>
      <c r="X23" s="41"/>
      <c r="Y23" s="41"/>
      <c r="Z23" s="41"/>
      <c r="AA23" s="41"/>
      <c r="AB23" s="41"/>
      <c r="AC23" s="41"/>
      <c r="AD23" s="1832" t="s">
        <v>786</v>
      </c>
      <c r="AE23" s="1824">
        <f>MEDIAN(AE4:AE22)</f>
        <v>1247.6000000000001</v>
      </c>
      <c r="AF23" s="2753">
        <f t="shared" ref="AF23:AI23" si="11">MEDIAN(AF4:AF22)</f>
        <v>310.85000000000002</v>
      </c>
      <c r="AG23" s="2753">
        <f t="shared" si="11"/>
        <v>2318</v>
      </c>
      <c r="AH23" s="2753">
        <f t="shared" si="11"/>
        <v>1888.9749999999999</v>
      </c>
      <c r="AI23" s="2817">
        <f t="shared" si="11"/>
        <v>0.8216788908765652</v>
      </c>
    </row>
    <row r="24" spans="1:35" s="9" customFormat="1">
      <c r="A24" s="176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37"/>
      <c r="P24" s="137"/>
      <c r="Q24" s="233"/>
      <c r="R24" s="233"/>
      <c r="S24" s="137"/>
      <c r="T24" s="137"/>
      <c r="U24" s="41"/>
      <c r="V24" s="41"/>
      <c r="W24" s="41"/>
      <c r="X24" s="41"/>
      <c r="Y24" s="41"/>
      <c r="Z24" s="41"/>
      <c r="AA24" s="41"/>
      <c r="AB24" s="41"/>
      <c r="AC24" s="41"/>
      <c r="AD24" s="1822" t="s">
        <v>15</v>
      </c>
      <c r="AE24" s="1829">
        <f>AVERAGE(AE4:AE22)</f>
        <v>1755.7305555555556</v>
      </c>
      <c r="AF24" s="1829">
        <f t="shared" ref="AF24:AH24" si="12">AVERAGE(AF4:AF22)</f>
        <v>415.8309210526316</v>
      </c>
      <c r="AG24" s="1829">
        <f t="shared" si="12"/>
        <v>4640.7894736842109</v>
      </c>
      <c r="AH24" s="1829">
        <f t="shared" si="12"/>
        <v>4224.9585526315786</v>
      </c>
      <c r="AI24" s="1837">
        <f>AVERAGE(AI4:AI22)</f>
        <v>0.74371626821210435</v>
      </c>
    </row>
    <row r="25" spans="1:35">
      <c r="A25" s="163" t="s">
        <v>63</v>
      </c>
      <c r="B25" s="158" t="s">
        <v>65</v>
      </c>
      <c r="C25" s="158" t="s">
        <v>66</v>
      </c>
      <c r="D25" s="158" t="s">
        <v>67</v>
      </c>
      <c r="E25" s="158" t="s">
        <v>68</v>
      </c>
      <c r="F25" s="158" t="s">
        <v>69</v>
      </c>
      <c r="G25" s="158" t="s">
        <v>70</v>
      </c>
      <c r="H25" s="158" t="s">
        <v>71</v>
      </c>
      <c r="I25" s="158" t="s">
        <v>72</v>
      </c>
      <c r="J25" s="158" t="s">
        <v>73</v>
      </c>
      <c r="K25" s="158" t="s">
        <v>74</v>
      </c>
      <c r="L25" s="158" t="s">
        <v>75</v>
      </c>
      <c r="M25" s="158" t="s">
        <v>76</v>
      </c>
      <c r="N25" s="164" t="s">
        <v>83</v>
      </c>
      <c r="O25" s="29"/>
      <c r="P25" s="347"/>
      <c r="Q25" s="348"/>
      <c r="R25" s="348"/>
      <c r="S25" s="41"/>
      <c r="T25" s="137"/>
      <c r="U25" s="41"/>
      <c r="V25" s="41"/>
      <c r="W25" s="41"/>
      <c r="X25" s="41"/>
      <c r="Y25" s="41"/>
      <c r="Z25" s="41"/>
      <c r="AA25" s="41"/>
      <c r="AB25" s="41"/>
      <c r="AC25" s="41"/>
    </row>
    <row r="26" spans="1:35">
      <c r="A26" s="171" t="s">
        <v>109</v>
      </c>
      <c r="B26" s="168">
        <v>16</v>
      </c>
      <c r="C26" s="168">
        <v>8</v>
      </c>
      <c r="D26" s="168">
        <v>8</v>
      </c>
      <c r="E26" s="168">
        <v>21</v>
      </c>
      <c r="F26" s="168">
        <v>18</v>
      </c>
      <c r="G26" s="168">
        <v>53</v>
      </c>
      <c r="H26" s="168">
        <v>29.5</v>
      </c>
      <c r="I26" s="1743">
        <v>49</v>
      </c>
      <c r="J26" s="1743">
        <v>17</v>
      </c>
      <c r="K26" s="1743">
        <v>10</v>
      </c>
      <c r="L26" s="168">
        <v>6</v>
      </c>
      <c r="M26" s="168">
        <v>18</v>
      </c>
      <c r="N26" s="172">
        <f>AVERAGE(B26:M26)</f>
        <v>21.125</v>
      </c>
      <c r="O26" s="30"/>
      <c r="P26" s="349"/>
      <c r="Q26" s="350"/>
      <c r="R26" s="350"/>
      <c r="S26" s="41"/>
      <c r="T26" s="137"/>
      <c r="U26" s="41"/>
      <c r="V26" s="41"/>
      <c r="W26" s="41"/>
      <c r="X26" s="41"/>
      <c r="Y26" s="41"/>
      <c r="Z26" s="41"/>
      <c r="AA26" s="41"/>
      <c r="AB26" s="41"/>
      <c r="AC26" s="41"/>
    </row>
    <row r="27" spans="1:35">
      <c r="A27" s="171" t="s">
        <v>108</v>
      </c>
      <c r="B27" s="168">
        <v>32</v>
      </c>
      <c r="C27" s="168">
        <v>21</v>
      </c>
      <c r="D27" s="168">
        <v>56</v>
      </c>
      <c r="E27" s="168">
        <v>17</v>
      </c>
      <c r="F27" s="168">
        <v>30</v>
      </c>
      <c r="G27" s="168">
        <v>62</v>
      </c>
      <c r="H27" s="168">
        <v>72.5</v>
      </c>
      <c r="I27" s="168">
        <v>29.5</v>
      </c>
      <c r="J27" s="168">
        <v>63.5</v>
      </c>
      <c r="K27" s="168">
        <v>79</v>
      </c>
      <c r="L27" s="168">
        <v>51</v>
      </c>
      <c r="M27" s="168">
        <v>70</v>
      </c>
      <c r="N27" s="162">
        <f>AVERAGE(B27:M27)</f>
        <v>48.625</v>
      </c>
      <c r="O27" s="30"/>
      <c r="P27" s="349"/>
      <c r="Q27" s="350"/>
      <c r="R27" s="350"/>
      <c r="S27" s="41"/>
      <c r="T27" s="137"/>
      <c r="U27" s="41"/>
      <c r="V27" s="41"/>
      <c r="W27" s="41"/>
      <c r="X27" s="41"/>
      <c r="Y27" s="41"/>
      <c r="Z27" s="41"/>
      <c r="AA27" s="41"/>
      <c r="AB27" s="41"/>
      <c r="AC27" s="41"/>
      <c r="AD27" s="515"/>
      <c r="AE27" s="2932" t="s">
        <v>1749</v>
      </c>
      <c r="AF27" s="2932"/>
      <c r="AG27" s="2932"/>
      <c r="AH27" s="2932"/>
      <c r="AI27" s="2932"/>
    </row>
    <row r="28" spans="1:35" ht="24.5" customHeight="1">
      <c r="A28" s="169" t="s">
        <v>409</v>
      </c>
      <c r="B28" s="168">
        <v>16</v>
      </c>
      <c r="C28" s="168">
        <v>15</v>
      </c>
      <c r="D28" s="168">
        <v>12</v>
      </c>
      <c r="E28" s="168">
        <v>16</v>
      </c>
      <c r="F28" s="168">
        <v>14</v>
      </c>
      <c r="G28" s="168">
        <v>44</v>
      </c>
      <c r="H28" s="168">
        <v>26</v>
      </c>
      <c r="I28" s="168">
        <v>46</v>
      </c>
      <c r="J28" s="168">
        <v>52.5</v>
      </c>
      <c r="K28" s="168">
        <v>48</v>
      </c>
      <c r="L28" s="168">
        <v>36</v>
      </c>
      <c r="M28" s="168">
        <v>42</v>
      </c>
      <c r="N28" s="162">
        <f>AVERAGE(B28:M28)</f>
        <v>30.625</v>
      </c>
      <c r="O28" s="30"/>
      <c r="P28" s="349"/>
      <c r="Q28" s="350"/>
      <c r="R28" s="350"/>
      <c r="S28" s="41"/>
      <c r="T28" s="137"/>
      <c r="U28" s="41"/>
      <c r="V28" s="41"/>
      <c r="W28" s="41"/>
      <c r="X28" s="41"/>
      <c r="Y28" s="41"/>
      <c r="Z28" s="41"/>
      <c r="AA28" s="41"/>
      <c r="AB28" s="41"/>
      <c r="AC28" s="41"/>
      <c r="AD28" s="1841"/>
      <c r="AE28" s="2818" t="s">
        <v>1389</v>
      </c>
      <c r="AF28" s="1842" t="s">
        <v>1390</v>
      </c>
      <c r="AG28" s="1843" t="s">
        <v>1391</v>
      </c>
      <c r="AH28" s="1842" t="s">
        <v>1392</v>
      </c>
      <c r="AI28" s="1842" t="s">
        <v>1388</v>
      </c>
    </row>
    <row r="29" spans="1:35" s="358" customFormat="1">
      <c r="A29" s="169" t="s">
        <v>972</v>
      </c>
      <c r="B29" s="168">
        <v>17</v>
      </c>
      <c r="C29" s="168">
        <v>19</v>
      </c>
      <c r="D29" s="168">
        <v>18</v>
      </c>
      <c r="E29" s="168">
        <v>27</v>
      </c>
      <c r="F29" s="168">
        <v>30</v>
      </c>
      <c r="G29" s="168">
        <v>46</v>
      </c>
      <c r="H29" s="168">
        <v>30.5</v>
      </c>
      <c r="I29" s="168">
        <v>25.5</v>
      </c>
      <c r="J29" s="168">
        <v>21.5</v>
      </c>
      <c r="K29" s="168">
        <v>26</v>
      </c>
      <c r="L29" s="168">
        <v>19</v>
      </c>
      <c r="M29" s="168">
        <v>19</v>
      </c>
      <c r="N29" s="162">
        <f>AVERAGE(B29:M29)</f>
        <v>24.875</v>
      </c>
      <c r="O29" s="30"/>
      <c r="P29" s="349"/>
      <c r="Q29" s="350"/>
      <c r="R29" s="350"/>
      <c r="S29" s="41"/>
      <c r="T29" s="137"/>
      <c r="U29" s="41"/>
      <c r="V29" s="41"/>
      <c r="W29" s="41"/>
      <c r="X29" s="41"/>
      <c r="Y29" s="41"/>
      <c r="Z29" s="41"/>
      <c r="AA29" s="41"/>
      <c r="AB29" s="41"/>
      <c r="AC29" s="41"/>
      <c r="AD29" s="1825" t="s">
        <v>1393</v>
      </c>
      <c r="AE29" s="1844">
        <f>N32</f>
        <v>75.014107355250019</v>
      </c>
      <c r="AF29" s="1823">
        <v>20.45</v>
      </c>
      <c r="AG29" s="1845">
        <f>AF29/AE31</f>
        <v>2.7593843495025399E-2</v>
      </c>
      <c r="AH29" s="1823">
        <f>AE29-AF29</f>
        <v>54.564107355250016</v>
      </c>
      <c r="AI29" s="1846">
        <f>AH29/AE29</f>
        <v>0.72738461176171332</v>
      </c>
    </row>
    <row r="30" spans="1:35">
      <c r="A30" s="127"/>
      <c r="B30" s="127"/>
      <c r="C30" s="127"/>
      <c r="D30" s="127"/>
      <c r="E30" s="127"/>
      <c r="F30" s="127"/>
      <c r="G30" s="127"/>
      <c r="H30" s="127"/>
      <c r="I30" s="127"/>
      <c r="J30" s="127">
        <v>119</v>
      </c>
      <c r="K30" s="127"/>
      <c r="L30" s="127"/>
      <c r="M30" s="127"/>
      <c r="N30" s="127"/>
      <c r="O30" s="25"/>
      <c r="P30" s="137"/>
      <c r="Q30" s="233"/>
      <c r="R30" s="233"/>
      <c r="S30" s="137"/>
      <c r="T30" s="137"/>
      <c r="U30" s="41"/>
      <c r="V30" s="41"/>
      <c r="W30" s="41"/>
      <c r="X30" s="41"/>
      <c r="Y30" s="41"/>
      <c r="Z30" s="41"/>
      <c r="AA30" s="41"/>
      <c r="AB30" s="41"/>
      <c r="AC30" s="41"/>
      <c r="AD30" s="1825" t="s">
        <v>1394</v>
      </c>
      <c r="AE30" s="1844">
        <f>N33</f>
        <v>666.09323434894975</v>
      </c>
      <c r="AF30" s="1823">
        <v>990.42</v>
      </c>
      <c r="AG30" s="1845">
        <f>AF30/AE31</f>
        <v>1.3364055977673865</v>
      </c>
      <c r="AH30" s="1823">
        <f>AE30-AF30</f>
        <v>-324.32676565105021</v>
      </c>
      <c r="AI30" s="1846">
        <f>AH30/AE30</f>
        <v>-0.48690896247888243</v>
      </c>
    </row>
    <row r="31" spans="1:35">
      <c r="A31" s="163" t="s">
        <v>107</v>
      </c>
      <c r="B31" s="164" t="s">
        <v>65</v>
      </c>
      <c r="C31" s="164" t="s">
        <v>66</v>
      </c>
      <c r="D31" s="164" t="s">
        <v>67</v>
      </c>
      <c r="E31" s="164" t="s">
        <v>68</v>
      </c>
      <c r="F31" s="164" t="s">
        <v>69</v>
      </c>
      <c r="G31" s="164" t="s">
        <v>70</v>
      </c>
      <c r="H31" s="164" t="s">
        <v>71</v>
      </c>
      <c r="I31" s="164" t="s">
        <v>72</v>
      </c>
      <c r="J31" s="164" t="s">
        <v>73</v>
      </c>
      <c r="K31" s="164" t="s">
        <v>74</v>
      </c>
      <c r="L31" s="164" t="s">
        <v>75</v>
      </c>
      <c r="M31" s="164" t="s">
        <v>76</v>
      </c>
      <c r="N31" s="164" t="s">
        <v>245</v>
      </c>
      <c r="O31" s="25"/>
      <c r="P31" s="137"/>
      <c r="Q31" s="233"/>
      <c r="R31" s="233"/>
      <c r="S31" s="137"/>
      <c r="T31" s="137"/>
      <c r="U31" s="41"/>
      <c r="V31" s="41"/>
      <c r="W31" s="41"/>
      <c r="X31" s="41"/>
      <c r="Y31" s="41"/>
      <c r="Z31" s="41"/>
      <c r="AA31" s="41"/>
      <c r="AB31" s="41"/>
      <c r="AC31" s="41"/>
      <c r="AD31" s="1825" t="s">
        <v>1395</v>
      </c>
      <c r="AE31" s="1844">
        <f>SUM(AE29:AE30)</f>
        <v>741.10734170419983</v>
      </c>
      <c r="AF31" s="1823">
        <v>1011</v>
      </c>
      <c r="AG31" s="1845">
        <f>AF31/AE31</f>
        <v>1.364174854448444</v>
      </c>
      <c r="AH31" s="1823">
        <f>AE31-AF31</f>
        <v>-269.89265829580017</v>
      </c>
      <c r="AI31" s="1846">
        <f>AH31/AE31</f>
        <v>-0.36417485444844394</v>
      </c>
    </row>
    <row r="32" spans="1:35">
      <c r="A32" s="160" t="s">
        <v>311</v>
      </c>
      <c r="B32" s="229">
        <f>B4*$O$1*B26</f>
        <v>3.7495579295999999</v>
      </c>
      <c r="C32" s="229">
        <f t="shared" ref="C32:M32" si="13">C4*$O$1*C26</f>
        <v>2.7560114736000005</v>
      </c>
      <c r="D32" s="229">
        <f t="shared" si="13"/>
        <v>2.4104300976000004</v>
      </c>
      <c r="E32" s="229">
        <f t="shared" si="13"/>
        <v>4.422361671</v>
      </c>
      <c r="F32" s="229">
        <f t="shared" si="13"/>
        <v>11.148239201400001</v>
      </c>
      <c r="G32" s="229">
        <f t="shared" si="13"/>
        <v>12.878305965000001</v>
      </c>
      <c r="H32" s="229">
        <f t="shared" si="13"/>
        <v>15.307905029550001</v>
      </c>
      <c r="I32" s="229">
        <f t="shared" si="13"/>
        <v>9.0223737681000031</v>
      </c>
      <c r="J32" s="229">
        <f t="shared" si="13"/>
        <v>6.0584734980000006</v>
      </c>
      <c r="K32" s="229">
        <f t="shared" si="13"/>
        <v>1.5065188110000003</v>
      </c>
      <c r="L32" s="229">
        <f t="shared" si="13"/>
        <v>2.1382847640000002</v>
      </c>
      <c r="M32" s="229">
        <f t="shared" si="13"/>
        <v>3.6156451464000003</v>
      </c>
      <c r="N32" s="161">
        <f>SUM(B32:M32)</f>
        <v>75.014107355250019</v>
      </c>
      <c r="O32" s="25" t="s">
        <v>870</v>
      </c>
      <c r="P32" s="774">
        <f>N32/N34</f>
        <v>0.10121895052712972</v>
      </c>
      <c r="Q32" s="351"/>
      <c r="R32" s="233"/>
      <c r="S32" s="137"/>
      <c r="T32" s="137"/>
      <c r="U32" s="41"/>
      <c r="V32" s="41"/>
      <c r="W32" s="41"/>
      <c r="X32" s="41"/>
      <c r="Y32" s="41"/>
      <c r="Z32" s="41"/>
      <c r="AA32" s="41"/>
      <c r="AB32" s="41"/>
      <c r="AC32" s="41"/>
      <c r="AD32" s="1825" t="s">
        <v>409</v>
      </c>
      <c r="AE32" s="1847">
        <f>N35</f>
        <v>408.85275624901197</v>
      </c>
      <c r="AF32" s="515"/>
      <c r="AG32" s="515"/>
      <c r="AH32" s="515"/>
      <c r="AI32" s="358"/>
    </row>
    <row r="33" spans="1:35" ht="26">
      <c r="A33" s="160" t="s">
        <v>310</v>
      </c>
      <c r="B33" s="229">
        <f>B5*$O$1*B27</f>
        <v>55.172066678400007</v>
      </c>
      <c r="C33" s="229">
        <f t="shared" ref="C33:M33" si="14">C5*$O$1*C27</f>
        <v>29.266962750900003</v>
      </c>
      <c r="D33" s="229">
        <f t="shared" si="14"/>
        <v>38.432968778400003</v>
      </c>
      <c r="E33" s="229">
        <f t="shared" si="14"/>
        <v>15.404622124984618</v>
      </c>
      <c r="F33" s="229">
        <f t="shared" si="14"/>
        <v>136.44524672100002</v>
      </c>
      <c r="G33" s="229">
        <f t="shared" si="14"/>
        <v>108.55639770108006</v>
      </c>
      <c r="H33" s="229">
        <f t="shared" si="14"/>
        <v>62.464373682900003</v>
      </c>
      <c r="I33" s="229">
        <f t="shared" si="14"/>
        <v>13.621008939405003</v>
      </c>
      <c r="J33" s="229">
        <f t="shared" si="14"/>
        <v>52.570594876380021</v>
      </c>
      <c r="K33" s="229">
        <f t="shared" si="14"/>
        <v>99.179155057499997</v>
      </c>
      <c r="L33" s="229">
        <f t="shared" si="14"/>
        <v>19.827731448000005</v>
      </c>
      <c r="M33" s="229">
        <f t="shared" si="14"/>
        <v>35.152105589999998</v>
      </c>
      <c r="N33" s="161">
        <f>SUM(B33:M33)</f>
        <v>666.09323434894975</v>
      </c>
      <c r="O33" s="25"/>
      <c r="P33" s="137"/>
      <c r="Q33" s="351"/>
      <c r="R33" s="233"/>
      <c r="S33" s="137"/>
      <c r="T33" s="137"/>
      <c r="U33" s="41"/>
      <c r="V33" s="41"/>
      <c r="W33" s="41"/>
      <c r="X33" s="41"/>
      <c r="Y33" s="41"/>
      <c r="Z33" s="41"/>
      <c r="AA33" s="41"/>
      <c r="AB33" s="41"/>
      <c r="AC33" s="41"/>
      <c r="AD33" s="1825" t="s">
        <v>412</v>
      </c>
      <c r="AE33" s="1847">
        <f>N36</f>
        <v>332.25458545518768</v>
      </c>
      <c r="AF33" s="515"/>
      <c r="AG33" s="515"/>
      <c r="AH33" s="515"/>
      <c r="AI33" s="358"/>
    </row>
    <row r="34" spans="1:35" ht="26">
      <c r="A34" s="165" t="s">
        <v>84</v>
      </c>
      <c r="B34" s="173">
        <f>SUM(B32:B33)</f>
        <v>58.921624608000009</v>
      </c>
      <c r="C34" s="173">
        <f t="shared" ref="C34:M34" si="15">SUM(C32:C33)</f>
        <v>32.022974224500004</v>
      </c>
      <c r="D34" s="173">
        <f t="shared" si="15"/>
        <v>40.843398876000002</v>
      </c>
      <c r="E34" s="173">
        <f t="shared" si="15"/>
        <v>19.826983795984617</v>
      </c>
      <c r="F34" s="173">
        <f t="shared" si="15"/>
        <v>147.59348592240002</v>
      </c>
      <c r="G34" s="173">
        <f t="shared" si="15"/>
        <v>121.43470366608005</v>
      </c>
      <c r="H34" s="173">
        <f t="shared" si="15"/>
        <v>77.772278712450003</v>
      </c>
      <c r="I34" s="173">
        <f t="shared" si="15"/>
        <v>22.643382707505005</v>
      </c>
      <c r="J34" s="173">
        <f>SUM(J32:J33)</f>
        <v>58.629068374380019</v>
      </c>
      <c r="K34" s="173">
        <f t="shared" si="15"/>
        <v>100.6856738685</v>
      </c>
      <c r="L34" s="173">
        <f t="shared" si="15"/>
        <v>21.966016212000007</v>
      </c>
      <c r="M34" s="173">
        <f t="shared" si="15"/>
        <v>38.767750736399996</v>
      </c>
      <c r="N34" s="161">
        <f>SUM(N32:N33)</f>
        <v>741.10734170419983</v>
      </c>
      <c r="O34" s="25" t="s">
        <v>1750</v>
      </c>
      <c r="P34" s="137">
        <f>G34+F34</f>
        <v>269.02818958848007</v>
      </c>
      <c r="Q34" s="351"/>
      <c r="R34" s="233"/>
      <c r="S34" s="137"/>
      <c r="T34" s="137"/>
      <c r="U34" s="41"/>
      <c r="V34" s="41"/>
      <c r="W34" s="41"/>
      <c r="X34" s="41"/>
      <c r="Y34" s="41"/>
      <c r="Z34" s="41"/>
      <c r="AA34" s="41"/>
      <c r="AB34" s="41"/>
      <c r="AC34" s="41"/>
      <c r="AD34" s="1848" t="s">
        <v>972</v>
      </c>
      <c r="AE34" s="1821">
        <f>N37</f>
        <v>746.55971655824999</v>
      </c>
      <c r="AF34" s="108"/>
      <c r="AG34" s="108"/>
      <c r="AH34" s="108"/>
      <c r="AI34" s="358"/>
    </row>
    <row r="35" spans="1:35" ht="23">
      <c r="A35" s="169" t="s">
        <v>409</v>
      </c>
      <c r="B35" s="229">
        <f>B7*$O$1*B28</f>
        <v>29.235320456160004</v>
      </c>
      <c r="C35" s="229">
        <f t="shared" ref="C35:M35" si="16">C7*$O$1*C28</f>
        <v>24.476938751025003</v>
      </c>
      <c r="D35" s="229">
        <f t="shared" si="16"/>
        <v>7.5208658870520004</v>
      </c>
      <c r="E35" s="229">
        <f t="shared" si="16"/>
        <v>10.077152924160002</v>
      </c>
      <c r="F35" s="229">
        <f t="shared" si="16"/>
        <v>89.467778421000048</v>
      </c>
      <c r="G35" s="229">
        <f t="shared" si="16"/>
        <v>73.837348772880006</v>
      </c>
      <c r="H35" s="229">
        <f t="shared" si="16"/>
        <v>31.947702281039994</v>
      </c>
      <c r="I35" s="229">
        <f t="shared" si="16"/>
        <v>27.772107311340005</v>
      </c>
      <c r="J35" s="229">
        <f t="shared" si="16"/>
        <v>37.145003189175007</v>
      </c>
      <c r="K35" s="229">
        <f t="shared" si="16"/>
        <v>35.479975920480001</v>
      </c>
      <c r="L35" s="229">
        <f t="shared" si="16"/>
        <v>18.708047789759998</v>
      </c>
      <c r="M35" s="229">
        <f t="shared" si="16"/>
        <v>23.184514544939994</v>
      </c>
      <c r="N35" s="170">
        <f>SUM(B35:M35)</f>
        <v>408.85275624901197</v>
      </c>
      <c r="O35" s="25"/>
      <c r="P35" s="774">
        <f>P34/N34</f>
        <v>0.36300839898555209</v>
      </c>
      <c r="Q35" s="351"/>
      <c r="R35" s="233"/>
      <c r="S35" s="137"/>
      <c r="T35" s="137"/>
      <c r="U35" s="41"/>
      <c r="V35" s="41"/>
      <c r="W35" s="41"/>
      <c r="X35" s="41"/>
      <c r="Y35" s="41"/>
      <c r="Z35" s="41"/>
      <c r="AA35" s="41"/>
      <c r="AB35" s="41"/>
      <c r="AC35" s="41"/>
      <c r="AD35" s="1849" t="s">
        <v>1396</v>
      </c>
      <c r="AE35" s="1850">
        <f>1-AE32/AE34</f>
        <v>0.45235090083096996</v>
      </c>
      <c r="AF35" s="40">
        <f>AE34-AE32</f>
        <v>337.70696030923801</v>
      </c>
      <c r="AG35" s="358"/>
      <c r="AH35" s="358"/>
      <c r="AI35" s="358"/>
    </row>
    <row r="36" spans="1:35">
      <c r="A36" s="169" t="s">
        <v>412</v>
      </c>
      <c r="B36" s="155">
        <f>B34-B35</f>
        <v>29.686304151840005</v>
      </c>
      <c r="C36" s="155">
        <f t="shared" ref="C36:M36" si="17">C34-C35</f>
        <v>7.5460354734750013</v>
      </c>
      <c r="D36" s="155">
        <f t="shared" si="17"/>
        <v>33.322532988947998</v>
      </c>
      <c r="E36" s="155">
        <f t="shared" si="17"/>
        <v>9.7498308718246154</v>
      </c>
      <c r="F36" s="155">
        <f t="shared" si="17"/>
        <v>58.125707501399972</v>
      </c>
      <c r="G36" s="155">
        <f t="shared" si="17"/>
        <v>47.597354893200048</v>
      </c>
      <c r="H36" s="155">
        <f t="shared" si="17"/>
        <v>45.824576431410009</v>
      </c>
      <c r="I36" s="155">
        <f t="shared" si="17"/>
        <v>-5.1287246038349998</v>
      </c>
      <c r="J36" s="155">
        <f t="shared" si="17"/>
        <v>21.484065185205012</v>
      </c>
      <c r="K36" s="155">
        <f t="shared" si="17"/>
        <v>65.205697948020003</v>
      </c>
      <c r="L36" s="155">
        <f t="shared" si="17"/>
        <v>3.2579684222400083</v>
      </c>
      <c r="M36" s="155">
        <f t="shared" si="17"/>
        <v>15.583236191460003</v>
      </c>
      <c r="N36" s="170">
        <f>SUM(B36:M36)</f>
        <v>332.25458545518768</v>
      </c>
      <c r="O36" s="25"/>
      <c r="P36" s="137"/>
      <c r="Q36" s="351"/>
      <c r="R36" s="233"/>
      <c r="S36" s="137"/>
      <c r="T36" s="137"/>
      <c r="U36" s="41"/>
      <c r="V36" s="41"/>
      <c r="W36" s="41"/>
      <c r="X36" s="41"/>
      <c r="Y36" s="41"/>
      <c r="Z36" s="41"/>
      <c r="AA36" s="41"/>
      <c r="AB36" s="41"/>
      <c r="AC36" s="41"/>
      <c r="AG36" s="358"/>
      <c r="AH36" s="358"/>
      <c r="AI36" s="358"/>
    </row>
    <row r="37" spans="1:35">
      <c r="A37" s="169" t="s">
        <v>972</v>
      </c>
      <c r="B37" s="229">
        <f>B9*$O$1*B29</f>
        <v>68.295519431999992</v>
      </c>
      <c r="C37" s="229">
        <f t="shared" ref="C37:M37" si="18">C9*$O$1*C29</f>
        <v>35.702875907999996</v>
      </c>
      <c r="D37" s="229">
        <f t="shared" si="18"/>
        <v>30.130376220000002</v>
      </c>
      <c r="E37" s="229">
        <f t="shared" si="18"/>
        <v>40.238631468000001</v>
      </c>
      <c r="F37" s="229">
        <f t="shared" si="18"/>
        <v>200.86917480000002</v>
      </c>
      <c r="G37" s="229">
        <f t="shared" si="18"/>
        <v>105.81269756400002</v>
      </c>
      <c r="H37" s="229">
        <f t="shared" si="18"/>
        <v>66.370523173500004</v>
      </c>
      <c r="I37" s="229">
        <f t="shared" si="18"/>
        <v>41.404158655650001</v>
      </c>
      <c r="J37" s="229">
        <f t="shared" si="18"/>
        <v>36.917810433000007</v>
      </c>
      <c r="K37" s="229">
        <f t="shared" si="18"/>
        <v>59.189450174400008</v>
      </c>
      <c r="L37" s="229">
        <f t="shared" si="18"/>
        <v>30.778341300000008</v>
      </c>
      <c r="M37" s="229">
        <f t="shared" si="18"/>
        <v>30.850157429700001</v>
      </c>
      <c r="N37" s="170">
        <f>SUM(B37:M37)</f>
        <v>746.55971655824999</v>
      </c>
      <c r="O37" s="25"/>
      <c r="P37" s="137"/>
      <c r="Q37" s="351"/>
      <c r="R37" s="233"/>
      <c r="S37" s="137"/>
      <c r="T37" s="137"/>
      <c r="U37" s="41"/>
      <c r="V37" s="41"/>
      <c r="W37" s="41"/>
      <c r="X37" s="41"/>
      <c r="Y37" s="41"/>
      <c r="Z37" s="41"/>
      <c r="AA37" s="41"/>
      <c r="AB37" s="41"/>
      <c r="AC37" s="41"/>
    </row>
    <row r="38" spans="1:35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67"/>
      <c r="O38" s="28"/>
      <c r="P38" s="137"/>
      <c r="Q38" s="233"/>
      <c r="R38" s="233"/>
      <c r="S38" s="137"/>
      <c r="T38" s="137"/>
      <c r="U38" s="41"/>
      <c r="V38" s="41"/>
      <c r="W38" s="41"/>
      <c r="X38" s="41"/>
      <c r="Y38" s="41"/>
      <c r="Z38" s="41"/>
      <c r="AA38" s="41"/>
      <c r="AB38" s="41"/>
      <c r="AC38" s="41"/>
    </row>
    <row r="39" spans="1:3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137"/>
      <c r="Q39" s="175"/>
      <c r="R39" s="353"/>
      <c r="S39" s="137"/>
      <c r="T39" s="137"/>
      <c r="U39" s="41"/>
      <c r="V39" s="41"/>
      <c r="W39" s="41"/>
      <c r="X39" s="41"/>
      <c r="Y39" s="41"/>
      <c r="Z39" s="41"/>
      <c r="AA39" s="41"/>
      <c r="AB39" s="41"/>
      <c r="AC39" s="41"/>
    </row>
    <row r="40" spans="1:3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137"/>
      <c r="Q40" s="166"/>
      <c r="R40" s="353"/>
      <c r="S40" s="137"/>
      <c r="T40" s="137"/>
      <c r="U40" s="41"/>
      <c r="V40" s="41"/>
      <c r="W40" s="41"/>
      <c r="X40" s="41"/>
      <c r="Y40" s="41"/>
      <c r="Z40" s="41"/>
      <c r="AA40" s="41"/>
      <c r="AB40" s="41"/>
      <c r="AC40" s="41"/>
    </row>
    <row r="41" spans="1:3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137"/>
      <c r="Q41" s="175"/>
      <c r="R41" s="353"/>
      <c r="S41" s="137"/>
      <c r="T41" s="137"/>
      <c r="U41" s="41"/>
      <c r="V41" s="41"/>
      <c r="W41" s="41"/>
      <c r="X41" s="41"/>
      <c r="Y41" s="41"/>
      <c r="Z41" s="41"/>
      <c r="AA41" s="41"/>
      <c r="AB41" s="41"/>
      <c r="AC41" s="41"/>
    </row>
    <row r="42" spans="1:3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137"/>
      <c r="Q42" s="175"/>
      <c r="R42" s="353"/>
      <c r="S42" s="137"/>
      <c r="T42" s="137"/>
      <c r="U42" s="41"/>
      <c r="V42" s="41"/>
      <c r="W42" s="41"/>
      <c r="X42" s="41"/>
      <c r="Y42" s="41"/>
      <c r="Z42" s="41"/>
      <c r="AA42" s="41"/>
      <c r="AB42" s="41"/>
      <c r="AC42" s="41"/>
    </row>
    <row r="43" spans="1:3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137"/>
      <c r="Q43" s="137"/>
      <c r="R43" s="137"/>
      <c r="S43" s="137"/>
      <c r="T43" s="137"/>
      <c r="U43" s="41"/>
      <c r="V43" s="41"/>
      <c r="W43" s="41"/>
      <c r="X43" s="41"/>
      <c r="Y43" s="41"/>
      <c r="Z43" s="41"/>
      <c r="AA43" s="41"/>
      <c r="AB43" s="41"/>
      <c r="AC43" s="41"/>
    </row>
    <row r="44" spans="1:3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137"/>
      <c r="Q44" s="352"/>
      <c r="R44" s="353"/>
      <c r="S44" s="137"/>
      <c r="T44" s="137"/>
      <c r="U44" s="41"/>
      <c r="V44" s="41"/>
      <c r="W44" s="41"/>
      <c r="X44" s="41"/>
      <c r="Y44" s="41"/>
      <c r="Z44" s="41"/>
      <c r="AA44" s="41"/>
      <c r="AB44" s="41"/>
      <c r="AC44" s="41"/>
    </row>
    <row r="45" spans="1:3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137"/>
      <c r="Q45" s="175"/>
      <c r="R45" s="353"/>
      <c r="S45" s="137"/>
      <c r="T45" s="137"/>
      <c r="U45" s="41"/>
      <c r="V45" s="41"/>
      <c r="W45" s="41"/>
      <c r="X45" s="41"/>
      <c r="Y45" s="41"/>
      <c r="Z45" s="41"/>
      <c r="AA45" s="41"/>
      <c r="AB45" s="41"/>
      <c r="AC45" s="41"/>
    </row>
    <row r="46" spans="1:3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137"/>
      <c r="Q46" s="175"/>
      <c r="R46" s="353"/>
      <c r="S46" s="137"/>
      <c r="T46" s="137"/>
      <c r="U46" s="41"/>
      <c r="V46" s="41"/>
      <c r="W46" s="41"/>
      <c r="X46" s="41"/>
      <c r="Y46" s="41"/>
      <c r="Z46" s="41"/>
      <c r="AA46" s="41"/>
      <c r="AB46" s="41"/>
      <c r="AC46" s="41"/>
    </row>
    <row r="47" spans="1:3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137"/>
      <c r="Q47" s="166"/>
      <c r="R47" s="353"/>
      <c r="S47" s="137"/>
      <c r="T47" s="137"/>
      <c r="U47" s="41"/>
      <c r="V47" s="41"/>
      <c r="W47" s="41"/>
      <c r="X47" s="41"/>
      <c r="Y47" s="41"/>
      <c r="Z47" s="41"/>
      <c r="AA47" s="41"/>
      <c r="AB47" s="41"/>
      <c r="AC47" s="41"/>
    </row>
    <row r="48" spans="1:3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137"/>
      <c r="Q48" s="175"/>
      <c r="R48" s="353"/>
      <c r="S48" s="137"/>
      <c r="T48" s="137"/>
      <c r="U48" s="41"/>
      <c r="V48" s="41"/>
      <c r="W48" s="41"/>
      <c r="X48" s="41"/>
      <c r="Y48" s="41"/>
      <c r="Z48" s="41"/>
      <c r="AA48" s="41"/>
      <c r="AB48" s="41"/>
      <c r="AC48" s="41"/>
    </row>
    <row r="49" spans="2:29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137"/>
      <c r="Q49" s="175"/>
      <c r="R49" s="353"/>
      <c r="S49" s="137"/>
      <c r="T49" s="137"/>
      <c r="U49" s="41"/>
      <c r="V49" s="41"/>
      <c r="W49" s="41"/>
      <c r="X49" s="41"/>
      <c r="Y49" s="41"/>
      <c r="Z49" s="41"/>
      <c r="AA49" s="41"/>
      <c r="AB49" s="41"/>
      <c r="AC49" s="41"/>
    </row>
    <row r="50" spans="2:29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2:29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2:29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2:29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2:29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2:29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</sheetData>
  <mergeCells count="4">
    <mergeCell ref="A1:N1"/>
    <mergeCell ref="B2:M2"/>
    <mergeCell ref="AD2:AI2"/>
    <mergeCell ref="AE27:AI27"/>
  </mergeCells>
  <phoneticPr fontId="10" type="noConversion"/>
  <pageMargins left="0.75" right="0.75" top="1" bottom="1" header="0.5" footer="0.5"/>
  <pageSetup orientation="landscape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65"/>
  <sheetViews>
    <sheetView topLeftCell="E1" workbookViewId="0">
      <selection activeCell="AA8" sqref="AA8"/>
    </sheetView>
  </sheetViews>
  <sheetFormatPr defaultColWidth="5.7265625" defaultRowHeight="14"/>
  <cols>
    <col min="1" max="1" width="8.26953125" customWidth="1"/>
  </cols>
  <sheetData>
    <row r="1" spans="1:30">
      <c r="A1" s="2933" t="s">
        <v>35</v>
      </c>
      <c r="B1" s="2933"/>
      <c r="C1" s="2933"/>
      <c r="D1" s="2933"/>
      <c r="E1" s="2933"/>
      <c r="F1" s="2933"/>
      <c r="G1" s="2933"/>
      <c r="H1" s="2933"/>
      <c r="I1" s="2933"/>
      <c r="J1" s="2933"/>
      <c r="K1" s="2933"/>
      <c r="L1" s="2933"/>
      <c r="M1" s="2933"/>
      <c r="N1" s="2933"/>
    </row>
    <row r="2" spans="1:30">
      <c r="B2" s="193">
        <v>1988</v>
      </c>
      <c r="C2" s="193">
        <v>1991</v>
      </c>
      <c r="D2" s="193">
        <v>1992</v>
      </c>
      <c r="E2" s="193">
        <v>1993</v>
      </c>
      <c r="F2" s="193">
        <v>1994</v>
      </c>
      <c r="G2" s="193">
        <v>1995</v>
      </c>
      <c r="H2" s="193">
        <v>1996</v>
      </c>
      <c r="I2" s="193">
        <v>1997</v>
      </c>
      <c r="J2" s="193">
        <v>1998</v>
      </c>
      <c r="K2" s="193">
        <v>1999</v>
      </c>
      <c r="L2" s="193">
        <v>2000</v>
      </c>
      <c r="M2" s="193">
        <v>2001</v>
      </c>
      <c r="N2" s="193">
        <v>2002</v>
      </c>
      <c r="O2" s="193">
        <v>2003</v>
      </c>
      <c r="P2" s="193">
        <v>2004</v>
      </c>
      <c r="Q2" s="193">
        <v>2005</v>
      </c>
      <c r="R2" s="193">
        <v>2006</v>
      </c>
      <c r="S2" s="193">
        <v>2007</v>
      </c>
      <c r="T2" s="193">
        <v>2008</v>
      </c>
      <c r="U2" s="193">
        <v>2009</v>
      </c>
      <c r="V2" s="193">
        <v>2010</v>
      </c>
      <c r="W2" s="193">
        <v>2011</v>
      </c>
      <c r="X2" s="193">
        <v>2012</v>
      </c>
      <c r="Y2" s="227">
        <v>2013</v>
      </c>
      <c r="Z2" s="227">
        <v>2014</v>
      </c>
      <c r="AA2" s="227">
        <v>2015</v>
      </c>
      <c r="AB2" s="332">
        <v>2016</v>
      </c>
      <c r="AC2" s="332">
        <v>2017</v>
      </c>
      <c r="AD2" s="332">
        <v>2018</v>
      </c>
    </row>
    <row r="3" spans="1:30">
      <c r="A3" s="31" t="s">
        <v>27</v>
      </c>
      <c r="B3">
        <v>166</v>
      </c>
      <c r="C3">
        <v>184.16</v>
      </c>
      <c r="D3">
        <v>162.26</v>
      </c>
      <c r="E3">
        <v>167.91</v>
      </c>
      <c r="F3">
        <v>87.03</v>
      </c>
      <c r="G3">
        <v>40.909999999999997</v>
      </c>
      <c r="H3" s="5">
        <v>29.44</v>
      </c>
      <c r="I3" s="5">
        <v>37.700000000000003</v>
      </c>
      <c r="J3">
        <v>36.6</v>
      </c>
      <c r="K3">
        <v>41.6</v>
      </c>
      <c r="L3">
        <v>60</v>
      </c>
      <c r="M3">
        <v>49.8</v>
      </c>
      <c r="N3">
        <v>50.2</v>
      </c>
      <c r="O3">
        <v>49.5</v>
      </c>
      <c r="P3">
        <v>31.9</v>
      </c>
      <c r="Q3">
        <v>39.200000000000003</v>
      </c>
      <c r="R3">
        <v>24</v>
      </c>
      <c r="S3">
        <v>30.7</v>
      </c>
      <c r="T3">
        <v>50.6</v>
      </c>
      <c r="U3">
        <v>34.799999999999997</v>
      </c>
      <c r="V3">
        <v>33.6</v>
      </c>
      <c r="W3">
        <v>40.799999999999997</v>
      </c>
      <c r="X3">
        <v>61.6</v>
      </c>
      <c r="Y3">
        <v>65.599999999999994</v>
      </c>
      <c r="Z3">
        <v>30.5</v>
      </c>
      <c r="AA3">
        <v>55.5</v>
      </c>
      <c r="AB3">
        <v>63.1</v>
      </c>
      <c r="AC3">
        <v>45</v>
      </c>
      <c r="AD3">
        <v>44.6</v>
      </c>
    </row>
    <row r="4" spans="1:30">
      <c r="A4" s="31" t="s">
        <v>28</v>
      </c>
      <c r="B4" s="5">
        <v>255.14285714285714</v>
      </c>
      <c r="C4">
        <v>349.27</v>
      </c>
      <c r="D4">
        <v>266.27</v>
      </c>
      <c r="E4">
        <v>442.5</v>
      </c>
      <c r="F4">
        <v>348.74</v>
      </c>
      <c r="G4">
        <v>492.7</v>
      </c>
      <c r="H4" s="5">
        <v>577.75</v>
      </c>
      <c r="I4" s="5">
        <v>393</v>
      </c>
      <c r="J4" s="32">
        <v>358</v>
      </c>
      <c r="K4" s="32">
        <v>402</v>
      </c>
      <c r="L4">
        <v>441</v>
      </c>
      <c r="M4">
        <v>387</v>
      </c>
      <c r="N4">
        <v>282</v>
      </c>
      <c r="O4">
        <v>266</v>
      </c>
      <c r="P4">
        <v>247</v>
      </c>
      <c r="Q4">
        <v>207</v>
      </c>
      <c r="R4">
        <v>153</v>
      </c>
      <c r="S4">
        <v>229</v>
      </c>
      <c r="T4">
        <v>232</v>
      </c>
      <c r="U4">
        <v>267</v>
      </c>
      <c r="V4">
        <v>254</v>
      </c>
      <c r="W4">
        <v>172</v>
      </c>
      <c r="X4">
        <v>134</v>
      </c>
      <c r="Y4">
        <v>153</v>
      </c>
      <c r="Z4">
        <v>291</v>
      </c>
      <c r="AA4">
        <v>352</v>
      </c>
      <c r="AB4">
        <v>784</v>
      </c>
      <c r="AC4">
        <v>771</v>
      </c>
      <c r="AD4">
        <v>810</v>
      </c>
    </row>
    <row r="5" spans="1:30">
      <c r="A5" s="31" t="s">
        <v>29</v>
      </c>
      <c r="B5" s="5">
        <v>7.4714285714285706</v>
      </c>
      <c r="C5">
        <v>21.22</v>
      </c>
      <c r="D5">
        <v>19.010000000000002</v>
      </c>
      <c r="E5">
        <v>8.9</v>
      </c>
      <c r="F5">
        <v>20.43</v>
      </c>
      <c r="G5">
        <v>5.09</v>
      </c>
      <c r="H5" s="5">
        <v>17.100000000000001</v>
      </c>
      <c r="I5" s="5">
        <v>8.1999999999999993</v>
      </c>
      <c r="J5">
        <v>4.3</v>
      </c>
      <c r="K5">
        <v>5.8</v>
      </c>
      <c r="L5">
        <v>14.1</v>
      </c>
      <c r="M5">
        <v>24.6</v>
      </c>
      <c r="N5">
        <v>15.4</v>
      </c>
      <c r="O5">
        <v>14.8</v>
      </c>
      <c r="P5">
        <v>6.6</v>
      </c>
      <c r="Q5">
        <v>15.5</v>
      </c>
      <c r="R5">
        <v>9.1</v>
      </c>
      <c r="S5">
        <v>9.3000000000000007</v>
      </c>
      <c r="T5">
        <v>17.3</v>
      </c>
      <c r="U5">
        <v>12.5</v>
      </c>
      <c r="V5">
        <v>10.6</v>
      </c>
      <c r="W5">
        <v>10.8</v>
      </c>
      <c r="X5">
        <v>14.9</v>
      </c>
      <c r="Y5">
        <v>14.6</v>
      </c>
      <c r="Z5">
        <v>5.3</v>
      </c>
      <c r="AA5">
        <v>13.2</v>
      </c>
      <c r="AB5">
        <v>10.1</v>
      </c>
      <c r="AC5">
        <v>12.8</v>
      </c>
      <c r="AD5">
        <v>16.399999999999999</v>
      </c>
    </row>
    <row r="6" spans="1:30">
      <c r="A6" s="31" t="s">
        <v>30</v>
      </c>
      <c r="B6">
        <v>14</v>
      </c>
      <c r="C6">
        <v>69.67</v>
      </c>
      <c r="D6">
        <v>65.67</v>
      </c>
      <c r="E6">
        <v>32</v>
      </c>
      <c r="F6">
        <v>69.5</v>
      </c>
      <c r="G6">
        <v>36.85</v>
      </c>
      <c r="H6" s="5">
        <v>97.3</v>
      </c>
      <c r="I6" s="5">
        <v>31.7</v>
      </c>
      <c r="J6">
        <v>41.3</v>
      </c>
      <c r="K6">
        <v>36.700000000000003</v>
      </c>
      <c r="L6">
        <v>104.9</v>
      </c>
      <c r="M6">
        <v>69.7</v>
      </c>
      <c r="N6">
        <v>43.7</v>
      </c>
      <c r="O6">
        <v>37.700000000000003</v>
      </c>
      <c r="P6">
        <v>15.2</v>
      </c>
      <c r="Q6">
        <v>75.5</v>
      </c>
      <c r="R6">
        <v>28.7</v>
      </c>
      <c r="S6">
        <v>50.8</v>
      </c>
      <c r="T6">
        <v>73.900000000000006</v>
      </c>
      <c r="U6">
        <v>80.400000000000006</v>
      </c>
      <c r="V6">
        <v>24.1</v>
      </c>
      <c r="W6">
        <v>17.399999999999999</v>
      </c>
      <c r="X6">
        <v>52.9</v>
      </c>
      <c r="Y6">
        <v>54.3</v>
      </c>
      <c r="Z6">
        <v>18.3</v>
      </c>
      <c r="AA6">
        <v>45.7</v>
      </c>
      <c r="AB6">
        <v>23.9</v>
      </c>
      <c r="AC6">
        <v>44.2</v>
      </c>
      <c r="AD6">
        <v>44.5</v>
      </c>
    </row>
    <row r="7" spans="1:30">
      <c r="A7" s="31" t="s">
        <v>25</v>
      </c>
      <c r="B7">
        <v>1.625</v>
      </c>
      <c r="C7">
        <v>2.17</v>
      </c>
      <c r="D7">
        <v>2.1</v>
      </c>
      <c r="E7">
        <v>2.84</v>
      </c>
      <c r="F7">
        <v>1.79</v>
      </c>
      <c r="G7">
        <v>2.14</v>
      </c>
      <c r="H7" s="5">
        <v>2.5125000000000002</v>
      </c>
      <c r="I7" s="5">
        <v>1.7</v>
      </c>
      <c r="J7">
        <v>1.8</v>
      </c>
      <c r="K7">
        <v>1.8</v>
      </c>
      <c r="L7">
        <v>2.4</v>
      </c>
      <c r="M7">
        <v>2.2999999999999998</v>
      </c>
      <c r="N7">
        <v>3</v>
      </c>
      <c r="O7">
        <v>1.7</v>
      </c>
      <c r="P7">
        <v>2.6</v>
      </c>
      <c r="Q7">
        <v>2.1</v>
      </c>
      <c r="R7">
        <v>2.4</v>
      </c>
      <c r="S7">
        <v>1.7</v>
      </c>
      <c r="T7">
        <v>2.4</v>
      </c>
      <c r="U7">
        <v>2.7</v>
      </c>
      <c r="V7">
        <v>1.7</v>
      </c>
      <c r="W7">
        <v>2.2000000000000002</v>
      </c>
      <c r="X7">
        <v>2.21</v>
      </c>
      <c r="Y7">
        <v>1.86</v>
      </c>
      <c r="Z7">
        <v>1.98</v>
      </c>
      <c r="AA7">
        <v>1.17</v>
      </c>
      <c r="AB7">
        <v>1.2</v>
      </c>
      <c r="AC7">
        <v>2.17</v>
      </c>
      <c r="AD7">
        <v>1.59</v>
      </c>
    </row>
    <row r="10" spans="1:30">
      <c r="A10" s="2933" t="s">
        <v>31</v>
      </c>
      <c r="B10" s="2933"/>
      <c r="C10" s="2933"/>
      <c r="D10" s="2933"/>
      <c r="E10" s="2933"/>
      <c r="F10" s="2933"/>
      <c r="G10" s="2933"/>
      <c r="H10" s="2933"/>
      <c r="I10" s="2933"/>
      <c r="J10" s="2933"/>
      <c r="K10" s="2933"/>
      <c r="L10" s="2933"/>
      <c r="M10" s="2933"/>
      <c r="N10" s="2933"/>
    </row>
    <row r="11" spans="1:30">
      <c r="C11" s="193">
        <v>1991</v>
      </c>
      <c r="D11" s="193">
        <v>1992</v>
      </c>
      <c r="E11" s="193">
        <v>1993</v>
      </c>
      <c r="F11" s="193">
        <v>1994</v>
      </c>
      <c r="G11" s="193">
        <v>1995</v>
      </c>
      <c r="H11" s="193">
        <v>1996</v>
      </c>
      <c r="I11" s="193">
        <v>1997</v>
      </c>
      <c r="J11" s="193">
        <v>1998</v>
      </c>
      <c r="K11" s="193">
        <v>1999</v>
      </c>
      <c r="L11" s="193">
        <v>2000</v>
      </c>
      <c r="M11" s="193">
        <v>2001</v>
      </c>
      <c r="N11" s="193">
        <v>2002</v>
      </c>
      <c r="O11" s="193">
        <v>2003</v>
      </c>
      <c r="P11" s="193">
        <v>2004</v>
      </c>
      <c r="Q11" s="193">
        <v>2005</v>
      </c>
      <c r="R11" s="193">
        <v>2006</v>
      </c>
      <c r="S11" s="193">
        <v>2007</v>
      </c>
      <c r="T11" s="193">
        <v>2008</v>
      </c>
      <c r="U11" s="193">
        <v>2009</v>
      </c>
      <c r="V11" s="193">
        <v>2010</v>
      </c>
      <c r="W11" s="193">
        <v>2011</v>
      </c>
      <c r="X11" s="193">
        <v>2012</v>
      </c>
      <c r="Y11" s="227">
        <v>2013</v>
      </c>
      <c r="Z11" s="302">
        <v>2014</v>
      </c>
      <c r="AA11" s="227">
        <v>2015</v>
      </c>
      <c r="AB11" s="332">
        <v>2016</v>
      </c>
      <c r="AC11" s="332">
        <v>2017</v>
      </c>
      <c r="AD11" s="332">
        <v>2018</v>
      </c>
    </row>
    <row r="12" spans="1:30">
      <c r="A12" s="31" t="s">
        <v>27</v>
      </c>
      <c r="C12">
        <v>191.83</v>
      </c>
      <c r="D12">
        <v>181.66</v>
      </c>
      <c r="E12">
        <v>206.9</v>
      </c>
      <c r="F12">
        <v>92.27</v>
      </c>
      <c r="G12">
        <v>58.4</v>
      </c>
      <c r="H12">
        <v>30.9</v>
      </c>
      <c r="I12">
        <v>39</v>
      </c>
      <c r="J12" s="5">
        <v>35</v>
      </c>
      <c r="K12" s="5">
        <v>46.4</v>
      </c>
      <c r="L12">
        <v>42.4</v>
      </c>
      <c r="M12">
        <v>62.2</v>
      </c>
      <c r="N12">
        <v>51</v>
      </c>
      <c r="O12">
        <v>62.4</v>
      </c>
      <c r="P12">
        <v>40.299999999999997</v>
      </c>
      <c r="Q12">
        <v>45.8</v>
      </c>
      <c r="R12">
        <v>25.5</v>
      </c>
      <c r="S12">
        <v>28.6</v>
      </c>
      <c r="T12">
        <v>61.4</v>
      </c>
      <c r="U12">
        <v>49.1</v>
      </c>
      <c r="V12">
        <v>38.799999999999997</v>
      </c>
      <c r="W12">
        <v>55.2</v>
      </c>
      <c r="X12">
        <v>97.2</v>
      </c>
      <c r="Y12">
        <v>111.7</v>
      </c>
      <c r="Z12">
        <v>44.7</v>
      </c>
      <c r="AA12">
        <v>87.8</v>
      </c>
      <c r="AB12">
        <v>95.1</v>
      </c>
      <c r="AC12">
        <v>62</v>
      </c>
      <c r="AD12">
        <v>61.8</v>
      </c>
    </row>
    <row r="13" spans="1:30">
      <c r="A13" s="31" t="s">
        <v>28</v>
      </c>
      <c r="C13">
        <v>234.14</v>
      </c>
      <c r="D13">
        <v>133.19999999999999</v>
      </c>
      <c r="E13">
        <v>198.57</v>
      </c>
      <c r="F13">
        <v>156.69999999999999</v>
      </c>
      <c r="G13">
        <v>284.52999999999997</v>
      </c>
      <c r="H13">
        <v>340.4</v>
      </c>
      <c r="I13">
        <v>302.89999999999998</v>
      </c>
      <c r="J13">
        <v>228</v>
      </c>
      <c r="K13">
        <v>201</v>
      </c>
      <c r="L13">
        <v>347</v>
      </c>
      <c r="M13">
        <v>208</v>
      </c>
      <c r="N13">
        <v>171</v>
      </c>
      <c r="O13">
        <v>121</v>
      </c>
      <c r="P13">
        <v>175</v>
      </c>
      <c r="Q13">
        <v>150</v>
      </c>
      <c r="R13">
        <v>102</v>
      </c>
      <c r="S13">
        <v>145</v>
      </c>
      <c r="T13">
        <v>79</v>
      </c>
      <c r="U13">
        <v>180</v>
      </c>
      <c r="V13">
        <v>112</v>
      </c>
      <c r="W13">
        <v>111</v>
      </c>
      <c r="X13">
        <v>32</v>
      </c>
      <c r="Y13">
        <v>103</v>
      </c>
      <c r="Z13">
        <v>172</v>
      </c>
      <c r="AA13">
        <v>148</v>
      </c>
      <c r="AB13">
        <v>670</v>
      </c>
      <c r="AC13">
        <v>669</v>
      </c>
      <c r="AD13">
        <v>725</v>
      </c>
    </row>
    <row r="14" spans="1:30">
      <c r="A14" s="31" t="s">
        <v>29</v>
      </c>
      <c r="C14">
        <v>3.99</v>
      </c>
      <c r="D14">
        <v>11.78</v>
      </c>
      <c r="E14">
        <v>14.4</v>
      </c>
      <c r="F14">
        <v>26.4</v>
      </c>
      <c r="G14">
        <v>10.96</v>
      </c>
      <c r="H14">
        <v>23.81</v>
      </c>
      <c r="I14">
        <v>6</v>
      </c>
      <c r="J14">
        <v>2.7</v>
      </c>
      <c r="K14">
        <v>3.1</v>
      </c>
      <c r="L14">
        <v>14.6</v>
      </c>
      <c r="M14">
        <v>23.5</v>
      </c>
      <c r="N14">
        <v>20.3</v>
      </c>
      <c r="O14">
        <v>18.5</v>
      </c>
      <c r="P14">
        <v>8.5</v>
      </c>
      <c r="Q14">
        <v>15.4</v>
      </c>
      <c r="R14">
        <v>13.2</v>
      </c>
      <c r="S14">
        <v>6.5</v>
      </c>
      <c r="T14">
        <v>25.8</v>
      </c>
      <c r="U14">
        <v>23.3</v>
      </c>
      <c r="V14">
        <v>15.2</v>
      </c>
      <c r="W14">
        <v>9</v>
      </c>
      <c r="X14">
        <v>25.1</v>
      </c>
      <c r="Y14">
        <v>26.4</v>
      </c>
      <c r="Z14">
        <v>8.3000000000000007</v>
      </c>
      <c r="AA14">
        <v>20.9</v>
      </c>
      <c r="AB14">
        <v>14.6</v>
      </c>
      <c r="AC14">
        <v>22.5</v>
      </c>
      <c r="AD14">
        <v>14.6</v>
      </c>
    </row>
    <row r="15" spans="1:30">
      <c r="A15" s="31" t="s">
        <v>30</v>
      </c>
      <c r="C15">
        <v>6.25</v>
      </c>
      <c r="D15">
        <v>26.18</v>
      </c>
      <c r="E15">
        <v>32</v>
      </c>
      <c r="F15">
        <v>69.5</v>
      </c>
      <c r="G15">
        <v>36.85</v>
      </c>
      <c r="H15">
        <v>91.4</v>
      </c>
      <c r="I15">
        <v>16.399999999999999</v>
      </c>
      <c r="J15">
        <v>5.8</v>
      </c>
      <c r="K15">
        <v>7.7</v>
      </c>
      <c r="L15">
        <v>95.9</v>
      </c>
      <c r="M15">
        <v>69.7</v>
      </c>
      <c r="N15">
        <v>43.7</v>
      </c>
      <c r="O15">
        <v>37.700000000000003</v>
      </c>
      <c r="P15">
        <v>15.2</v>
      </c>
      <c r="Q15">
        <v>75.5</v>
      </c>
      <c r="R15">
        <v>28.7</v>
      </c>
      <c r="S15">
        <v>20.7</v>
      </c>
      <c r="T15">
        <v>73.900000000000006</v>
      </c>
      <c r="U15">
        <v>80.400000000000006</v>
      </c>
      <c r="V15">
        <v>22.8</v>
      </c>
      <c r="W15">
        <v>17.399999999999999</v>
      </c>
      <c r="X15">
        <v>52.9</v>
      </c>
      <c r="Y15">
        <v>54.3</v>
      </c>
      <c r="Z15">
        <v>18.3</v>
      </c>
      <c r="AA15">
        <v>45.7</v>
      </c>
      <c r="AB15">
        <v>23.9</v>
      </c>
      <c r="AC15">
        <v>44.2</v>
      </c>
      <c r="AD15">
        <v>20.2</v>
      </c>
    </row>
    <row r="16" spans="1:30">
      <c r="A16" s="31" t="s">
        <v>25</v>
      </c>
      <c r="C16">
        <v>2.0299999999999998</v>
      </c>
      <c r="D16">
        <v>2.12</v>
      </c>
      <c r="E16">
        <v>2.23</v>
      </c>
      <c r="F16">
        <v>1.7</v>
      </c>
      <c r="G16">
        <v>1.24</v>
      </c>
      <c r="H16">
        <v>2.5329999999999999</v>
      </c>
      <c r="I16">
        <v>1.4</v>
      </c>
      <c r="J16">
        <v>1.7</v>
      </c>
      <c r="K16">
        <v>1.8</v>
      </c>
      <c r="L16">
        <v>2.31</v>
      </c>
      <c r="M16">
        <v>2.2999999999999998</v>
      </c>
      <c r="N16">
        <v>2.7</v>
      </c>
      <c r="O16">
        <v>1.6</v>
      </c>
      <c r="P16">
        <v>2</v>
      </c>
      <c r="Q16">
        <v>1.5</v>
      </c>
      <c r="R16">
        <v>2.4</v>
      </c>
      <c r="S16">
        <v>2.5</v>
      </c>
      <c r="T16">
        <v>1.5</v>
      </c>
      <c r="U16">
        <v>1.8</v>
      </c>
      <c r="V16">
        <v>1.6</v>
      </c>
      <c r="W16">
        <v>2.2000000000000002</v>
      </c>
      <c r="X16">
        <v>1.42</v>
      </c>
      <c r="Y16">
        <v>1.1399999999999999</v>
      </c>
      <c r="Z16">
        <v>1.33</v>
      </c>
      <c r="AA16">
        <v>1.04</v>
      </c>
      <c r="AB16">
        <v>0.66</v>
      </c>
      <c r="AC16">
        <v>1.92</v>
      </c>
      <c r="AD16">
        <v>1.21</v>
      </c>
    </row>
    <row r="18" spans="1:30">
      <c r="A18" s="2933" t="s">
        <v>36</v>
      </c>
      <c r="B18" s="2933"/>
      <c r="C18" s="2933"/>
      <c r="D18" s="2933"/>
      <c r="E18" s="2933"/>
      <c r="F18" s="2933"/>
      <c r="G18" s="2933"/>
      <c r="H18" s="2933"/>
      <c r="I18" s="2933"/>
      <c r="J18" s="2933"/>
      <c r="K18" s="2933"/>
      <c r="L18" s="2933"/>
      <c r="M18" s="2933"/>
      <c r="N18" s="2933"/>
    </row>
    <row r="19" spans="1:30">
      <c r="A19" s="33" t="s">
        <v>32</v>
      </c>
      <c r="B19" s="5">
        <f>LN(B7)</f>
        <v>0.48550781578170082</v>
      </c>
      <c r="C19" s="5">
        <f t="shared" ref="C19:R19" si="0">LN(C7)</f>
        <v>0.77472716755236815</v>
      </c>
      <c r="D19" s="5">
        <f t="shared" si="0"/>
        <v>0.74193734472937733</v>
      </c>
      <c r="E19" s="5">
        <f t="shared" si="0"/>
        <v>1.0438040521731147</v>
      </c>
      <c r="F19" s="5">
        <f t="shared" si="0"/>
        <v>0.58221561985266368</v>
      </c>
      <c r="G19" s="5">
        <f t="shared" si="0"/>
        <v>0.76080582903376015</v>
      </c>
      <c r="H19" s="5">
        <f t="shared" si="0"/>
        <v>0.92127827338519419</v>
      </c>
      <c r="I19" s="5">
        <f t="shared" si="0"/>
        <v>0.53062825106217038</v>
      </c>
      <c r="J19" s="5">
        <f t="shared" si="0"/>
        <v>0.58778666490211906</v>
      </c>
      <c r="K19" s="5">
        <f t="shared" si="0"/>
        <v>0.58778666490211906</v>
      </c>
      <c r="L19" s="5">
        <f t="shared" si="0"/>
        <v>0.87546873735389985</v>
      </c>
      <c r="M19" s="5">
        <f t="shared" si="0"/>
        <v>0.83290912293510388</v>
      </c>
      <c r="N19" s="5">
        <f t="shared" si="0"/>
        <v>1.0986122886681098</v>
      </c>
      <c r="O19" s="5">
        <f t="shared" si="0"/>
        <v>0.53062825106217038</v>
      </c>
      <c r="P19" s="5">
        <f t="shared" si="0"/>
        <v>0.95551144502743635</v>
      </c>
      <c r="Q19" s="5">
        <f t="shared" si="0"/>
        <v>0.74193734472937733</v>
      </c>
      <c r="R19" s="5">
        <f t="shared" si="0"/>
        <v>0.87546873735389985</v>
      </c>
      <c r="S19" s="5">
        <f t="shared" ref="S19:X19" si="1">LN(S7)</f>
        <v>0.53062825106217038</v>
      </c>
      <c r="T19" s="5">
        <f t="shared" si="1"/>
        <v>0.87546873735389985</v>
      </c>
      <c r="U19" s="5">
        <f t="shared" si="1"/>
        <v>0.99325177301028345</v>
      </c>
      <c r="V19" s="5">
        <f t="shared" si="1"/>
        <v>0.53062825106217038</v>
      </c>
      <c r="W19" s="5">
        <f t="shared" si="1"/>
        <v>0.78845736036427028</v>
      </c>
      <c r="X19" s="5">
        <f t="shared" si="1"/>
        <v>0.79299251552966143</v>
      </c>
      <c r="Y19" s="5">
        <f t="shared" ref="Y19:AD19" si="2">LN(Y7)</f>
        <v>0.62057648772510998</v>
      </c>
      <c r="Z19" s="5">
        <f t="shared" si="2"/>
        <v>0.68309684470644383</v>
      </c>
      <c r="AA19" s="5">
        <f t="shared" si="2"/>
        <v>0.15700374880966469</v>
      </c>
      <c r="AB19" s="5">
        <f t="shared" si="2"/>
        <v>0.18232155679395459</v>
      </c>
      <c r="AC19" s="5">
        <f t="shared" si="2"/>
        <v>0.77472716755236815</v>
      </c>
      <c r="AD19" s="5">
        <f t="shared" si="2"/>
        <v>0.46373401623214022</v>
      </c>
    </row>
    <row r="20" spans="1:30">
      <c r="A20" s="33"/>
      <c r="B20" s="5">
        <f>60-(14.41*B19)</f>
        <v>53.003832374585691</v>
      </c>
      <c r="C20" s="5">
        <f t="shared" ref="C20:R20" si="3">60-(14.41*C19)</f>
        <v>48.836181515570374</v>
      </c>
      <c r="D20" s="5">
        <f t="shared" si="3"/>
        <v>49.308682862449672</v>
      </c>
      <c r="E20" s="5">
        <f t="shared" si="3"/>
        <v>44.958783608185414</v>
      </c>
      <c r="F20" s="5">
        <f t="shared" si="3"/>
        <v>51.610272917923112</v>
      </c>
      <c r="G20" s="5">
        <f t="shared" si="3"/>
        <v>49.036788003623514</v>
      </c>
      <c r="H20" s="5">
        <f t="shared" si="3"/>
        <v>46.724380080519353</v>
      </c>
      <c r="I20" s="5">
        <f t="shared" si="3"/>
        <v>52.353646902194129</v>
      </c>
      <c r="J20" s="5">
        <f t="shared" si="3"/>
        <v>51.529994158760466</v>
      </c>
      <c r="K20" s="5">
        <f t="shared" si="3"/>
        <v>51.529994158760466</v>
      </c>
      <c r="L20" s="5">
        <f t="shared" si="3"/>
        <v>47.384495494730302</v>
      </c>
      <c r="M20" s="5">
        <f t="shared" si="3"/>
        <v>47.997779538505156</v>
      </c>
      <c r="N20" s="5">
        <f t="shared" si="3"/>
        <v>44.168996920292535</v>
      </c>
      <c r="O20" s="5">
        <f t="shared" si="3"/>
        <v>52.353646902194129</v>
      </c>
      <c r="P20" s="5">
        <f t="shared" si="3"/>
        <v>46.231080077154644</v>
      </c>
      <c r="Q20" s="5">
        <f t="shared" si="3"/>
        <v>49.308682862449672</v>
      </c>
      <c r="R20" s="5">
        <f t="shared" si="3"/>
        <v>47.384495494730302</v>
      </c>
      <c r="S20" s="5">
        <f t="shared" ref="S20:X20" si="4">60-(14.41*S19)</f>
        <v>52.353646902194129</v>
      </c>
      <c r="T20" s="5">
        <f t="shared" si="4"/>
        <v>47.384495494730302</v>
      </c>
      <c r="U20" s="5">
        <f t="shared" si="4"/>
        <v>45.687241950921816</v>
      </c>
      <c r="V20" s="5">
        <f t="shared" si="4"/>
        <v>52.353646902194129</v>
      </c>
      <c r="W20" s="5">
        <f t="shared" si="4"/>
        <v>48.638329437150865</v>
      </c>
      <c r="X20" s="5">
        <f t="shared" si="4"/>
        <v>48.57297785121758</v>
      </c>
      <c r="Y20" s="5">
        <f t="shared" ref="Y20:AD20" si="5">60-(14.41*Y19)</f>
        <v>51.057492811881161</v>
      </c>
      <c r="Z20" s="5">
        <f t="shared" si="5"/>
        <v>50.156574467780146</v>
      </c>
      <c r="AA20" s="5">
        <f t="shared" si="5"/>
        <v>57.737575979652732</v>
      </c>
      <c r="AB20" s="5">
        <f t="shared" si="5"/>
        <v>57.372746366599117</v>
      </c>
      <c r="AC20" s="5">
        <f t="shared" si="5"/>
        <v>48.836181515570374</v>
      </c>
      <c r="AD20" s="5">
        <f t="shared" si="5"/>
        <v>53.31759282609486</v>
      </c>
    </row>
    <row r="21" spans="1:30">
      <c r="A21" s="3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30">
      <c r="A22" s="33" t="s">
        <v>33</v>
      </c>
      <c r="B22" s="5">
        <f>LN(B5)</f>
        <v>2.0110862220155639</v>
      </c>
      <c r="C22" s="5">
        <f t="shared" ref="C22:R22" si="6">LN(C5)</f>
        <v>3.0549441331858369</v>
      </c>
      <c r="D22" s="5">
        <f t="shared" si="6"/>
        <v>2.9449651565003379</v>
      </c>
      <c r="E22" s="5">
        <f t="shared" si="6"/>
        <v>2.1860512767380942</v>
      </c>
      <c r="F22" s="5">
        <f t="shared" si="6"/>
        <v>3.0170044088295307</v>
      </c>
      <c r="G22" s="5">
        <f t="shared" si="6"/>
        <v>1.6272778305624314</v>
      </c>
      <c r="H22" s="5">
        <f t="shared" si="6"/>
        <v>2.8390784635086144</v>
      </c>
      <c r="I22" s="5">
        <f t="shared" si="6"/>
        <v>2.1041341542702074</v>
      </c>
      <c r="J22" s="5">
        <f t="shared" si="6"/>
        <v>1.4586150226995167</v>
      </c>
      <c r="K22" s="5">
        <f t="shared" si="6"/>
        <v>1.7578579175523736</v>
      </c>
      <c r="L22" s="5">
        <f t="shared" si="6"/>
        <v>2.6461747973841225</v>
      </c>
      <c r="M22" s="5">
        <f t="shared" si="6"/>
        <v>3.202746442938317</v>
      </c>
      <c r="N22" s="5">
        <f t="shared" si="6"/>
        <v>2.7343675094195836</v>
      </c>
      <c r="O22" s="5">
        <f t="shared" si="6"/>
        <v>2.6946271807700692</v>
      </c>
      <c r="P22" s="5">
        <f t="shared" si="6"/>
        <v>1.8870696490323797</v>
      </c>
      <c r="Q22" s="5">
        <f t="shared" si="6"/>
        <v>2.7408400239252009</v>
      </c>
      <c r="R22" s="5">
        <f t="shared" si="6"/>
        <v>2.2082744135228043</v>
      </c>
      <c r="S22" s="5">
        <f t="shared" ref="S22:X22" si="7">LN(S5)</f>
        <v>2.2300144001592104</v>
      </c>
      <c r="T22" s="5">
        <f t="shared" si="7"/>
        <v>2.8507065015037334</v>
      </c>
      <c r="U22" s="5">
        <f t="shared" si="7"/>
        <v>2.5257286443082556</v>
      </c>
      <c r="V22" s="5">
        <f t="shared" si="7"/>
        <v>2.3608540011180215</v>
      </c>
      <c r="W22" s="5">
        <f t="shared" si="7"/>
        <v>2.379546134130174</v>
      </c>
      <c r="X22" s="5">
        <f t="shared" si="7"/>
        <v>2.7013612129514133</v>
      </c>
      <c r="Y22" s="5">
        <f t="shared" ref="Y22:AD22" si="8">LN(Y5)</f>
        <v>2.6810215287142909</v>
      </c>
      <c r="Z22" s="5">
        <f t="shared" si="8"/>
        <v>1.6677068205580761</v>
      </c>
      <c r="AA22" s="5">
        <f t="shared" si="8"/>
        <v>2.5802168295923251</v>
      </c>
      <c r="AB22" s="5">
        <f t="shared" si="8"/>
        <v>2.3125354238472138</v>
      </c>
      <c r="AC22" s="5">
        <f t="shared" si="8"/>
        <v>2.5494451709255714</v>
      </c>
      <c r="AD22" s="5">
        <f t="shared" si="8"/>
        <v>2.7972813348301528</v>
      </c>
    </row>
    <row r="23" spans="1:30">
      <c r="A23" s="33"/>
      <c r="B23" s="5">
        <f>(9.81*B22)+30.6</f>
        <v>50.328755837972679</v>
      </c>
      <c r="C23" s="5">
        <f t="shared" ref="C23:R23" si="9">(9.81*C22)+30.6</f>
        <v>60.569001946553058</v>
      </c>
      <c r="D23" s="5">
        <f t="shared" si="9"/>
        <v>59.490108185268312</v>
      </c>
      <c r="E23" s="5">
        <f t="shared" si="9"/>
        <v>52.045163024800708</v>
      </c>
      <c r="F23" s="5">
        <f t="shared" si="9"/>
        <v>60.196813250617694</v>
      </c>
      <c r="G23" s="5">
        <f t="shared" si="9"/>
        <v>46.563595517817454</v>
      </c>
      <c r="H23" s="5">
        <f t="shared" si="9"/>
        <v>58.451359727019508</v>
      </c>
      <c r="I23" s="5">
        <f t="shared" si="9"/>
        <v>51.241556053390738</v>
      </c>
      <c r="J23" s="5">
        <f t="shared" si="9"/>
        <v>44.90901337268226</v>
      </c>
      <c r="K23" s="5">
        <f t="shared" si="9"/>
        <v>47.844586171188787</v>
      </c>
      <c r="L23" s="5">
        <f t="shared" si="9"/>
        <v>56.558974762338245</v>
      </c>
      <c r="M23" s="5">
        <f t="shared" si="9"/>
        <v>62.018942605224893</v>
      </c>
      <c r="N23" s="5">
        <f t="shared" si="9"/>
        <v>57.424145267406118</v>
      </c>
      <c r="O23" s="5">
        <f t="shared" si="9"/>
        <v>57.034292643354384</v>
      </c>
      <c r="P23" s="5">
        <f t="shared" si="9"/>
        <v>49.112153257007648</v>
      </c>
      <c r="Q23" s="5">
        <f t="shared" si="9"/>
        <v>57.487640634706224</v>
      </c>
      <c r="R23" s="5">
        <f t="shared" si="9"/>
        <v>52.263171996658713</v>
      </c>
      <c r="S23" s="5">
        <f t="shared" ref="S23:X23" si="10">(9.81*S22)+30.6</f>
        <v>52.47644126556186</v>
      </c>
      <c r="T23" s="5">
        <f t="shared" si="10"/>
        <v>58.565430779751622</v>
      </c>
      <c r="U23" s="5">
        <f t="shared" si="10"/>
        <v>55.377398000663987</v>
      </c>
      <c r="V23" s="5">
        <f t="shared" si="10"/>
        <v>53.759977750967792</v>
      </c>
      <c r="W23" s="5">
        <f t="shared" si="10"/>
        <v>53.943347575817015</v>
      </c>
      <c r="X23" s="5">
        <f t="shared" si="10"/>
        <v>57.100353499053369</v>
      </c>
      <c r="Y23" s="5">
        <f t="shared" ref="Y23:AD23" si="11">(9.81*Y22)+30.6</f>
        <v>56.900821196687197</v>
      </c>
      <c r="Z23" s="5">
        <f t="shared" si="11"/>
        <v>46.960203909674732</v>
      </c>
      <c r="AA23" s="5">
        <f t="shared" si="11"/>
        <v>55.911927098300708</v>
      </c>
      <c r="AB23" s="5">
        <f t="shared" si="11"/>
        <v>53.285972507941167</v>
      </c>
      <c r="AC23" s="5">
        <f t="shared" si="11"/>
        <v>55.610057126779857</v>
      </c>
      <c r="AD23" s="5">
        <f t="shared" si="11"/>
        <v>58.041329894683798</v>
      </c>
    </row>
    <row r="24" spans="1:30">
      <c r="A24" s="3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30">
      <c r="A25" s="33" t="s">
        <v>34</v>
      </c>
      <c r="B25" s="5">
        <f>LN(B3)</f>
        <v>5.1119877883565437</v>
      </c>
      <c r="C25" s="5">
        <f t="shared" ref="C25:R25" si="12">LN(C3)</f>
        <v>5.2158049449735726</v>
      </c>
      <c r="D25" s="5">
        <f t="shared" si="12"/>
        <v>5.0891999869669187</v>
      </c>
      <c r="E25" s="5">
        <f t="shared" si="12"/>
        <v>5.1234281215713775</v>
      </c>
      <c r="F25" s="5">
        <f t="shared" si="12"/>
        <v>4.4662528868014224</v>
      </c>
      <c r="G25" s="5">
        <f t="shared" si="12"/>
        <v>3.7113745319413072</v>
      </c>
      <c r="H25" s="5">
        <f t="shared" si="12"/>
        <v>3.3823542938606757</v>
      </c>
      <c r="I25" s="5">
        <f t="shared" si="12"/>
        <v>3.629660094453965</v>
      </c>
      <c r="J25" s="5">
        <f t="shared" si="12"/>
        <v>3.6000482404073204</v>
      </c>
      <c r="K25" s="5">
        <f t="shared" si="12"/>
        <v>3.7281001672672178</v>
      </c>
      <c r="L25" s="5">
        <f t="shared" si="12"/>
        <v>4.0943445622221004</v>
      </c>
      <c r="M25" s="5">
        <f t="shared" si="12"/>
        <v>3.9080149840306073</v>
      </c>
      <c r="N25" s="5">
        <f t="shared" si="12"/>
        <v>3.9160150266976834</v>
      </c>
      <c r="O25" s="5">
        <f t="shared" si="12"/>
        <v>3.9019726695746448</v>
      </c>
      <c r="P25" s="5">
        <f t="shared" si="12"/>
        <v>3.4626060097907989</v>
      </c>
      <c r="Q25" s="5">
        <f t="shared" si="12"/>
        <v>3.6686767467964168</v>
      </c>
      <c r="R25" s="5">
        <f t="shared" si="12"/>
        <v>3.1780538303479458</v>
      </c>
      <c r="S25" s="5">
        <f t="shared" ref="S25:X25" si="13">LN(S3)</f>
        <v>3.4242626545931514</v>
      </c>
      <c r="T25" s="5">
        <f t="shared" si="13"/>
        <v>3.9239515762934198</v>
      </c>
      <c r="U25" s="5">
        <f t="shared" si="13"/>
        <v>3.5496173867804286</v>
      </c>
      <c r="V25" s="5">
        <f t="shared" si="13"/>
        <v>3.5145260669691587</v>
      </c>
      <c r="W25" s="5">
        <f t="shared" si="13"/>
        <v>3.708682081410116</v>
      </c>
      <c r="X25" s="5">
        <f t="shared" si="13"/>
        <v>4.1206618705394744</v>
      </c>
      <c r="Y25" s="5">
        <f t="shared" ref="Y25:AD25" si="14">LN(Y3)</f>
        <v>4.1835756959500436</v>
      </c>
      <c r="Z25" s="5">
        <f t="shared" si="14"/>
        <v>3.417726683613366</v>
      </c>
      <c r="AA25" s="5">
        <f t="shared" si="14"/>
        <v>4.0163830207523885</v>
      </c>
      <c r="AB25" s="5">
        <f t="shared" si="14"/>
        <v>4.1447207695471677</v>
      </c>
      <c r="AC25" s="5">
        <f t="shared" si="14"/>
        <v>3.8066624897703196</v>
      </c>
      <c r="AD25" s="5">
        <f t="shared" si="14"/>
        <v>3.7977338590260183</v>
      </c>
    </row>
    <row r="26" spans="1:30">
      <c r="A26" s="33"/>
      <c r="B26" s="5">
        <f>+(14.42*B25)+4.15</f>
        <v>77.86486390810137</v>
      </c>
      <c r="C26" s="5">
        <f t="shared" ref="C26:R26" si="15">+(14.42*C25)+4.15</f>
        <v>79.361907306518916</v>
      </c>
      <c r="D26" s="5">
        <f t="shared" si="15"/>
        <v>77.53626381206297</v>
      </c>
      <c r="E26" s="5">
        <f t="shared" si="15"/>
        <v>78.029833513059273</v>
      </c>
      <c r="F26" s="5">
        <f t="shared" si="15"/>
        <v>68.55336662767651</v>
      </c>
      <c r="G26" s="5">
        <f t="shared" si="15"/>
        <v>57.668020750593648</v>
      </c>
      <c r="H26" s="5">
        <f t="shared" si="15"/>
        <v>52.923548917470939</v>
      </c>
      <c r="I26" s="5">
        <f t="shared" si="15"/>
        <v>56.48969856202617</v>
      </c>
      <c r="J26" s="5">
        <f t="shared" si="15"/>
        <v>56.062695626673559</v>
      </c>
      <c r="K26" s="5">
        <f t="shared" si="15"/>
        <v>57.909204411993279</v>
      </c>
      <c r="L26" s="5">
        <f t="shared" si="15"/>
        <v>63.190448587242685</v>
      </c>
      <c r="M26" s="5">
        <f t="shared" si="15"/>
        <v>60.503576069721355</v>
      </c>
      <c r="N26" s="5">
        <f t="shared" si="15"/>
        <v>60.618936684980596</v>
      </c>
      <c r="O26" s="5">
        <f t="shared" si="15"/>
        <v>60.416445895266378</v>
      </c>
      <c r="P26" s="5">
        <f t="shared" si="15"/>
        <v>54.080778661183317</v>
      </c>
      <c r="Q26" s="5">
        <f t="shared" si="15"/>
        <v>57.052318688804327</v>
      </c>
      <c r="R26" s="5">
        <f t="shared" si="15"/>
        <v>49.977536233617379</v>
      </c>
      <c r="S26" s="5">
        <f t="shared" ref="S26:X26" si="16">+(14.42*S25)+4.15</f>
        <v>53.527867479233244</v>
      </c>
      <c r="T26" s="5">
        <f t="shared" si="16"/>
        <v>60.733381730151109</v>
      </c>
      <c r="U26" s="5">
        <f t="shared" si="16"/>
        <v>55.335482717373779</v>
      </c>
      <c r="V26" s="5">
        <f t="shared" si="16"/>
        <v>54.829465885695264</v>
      </c>
      <c r="W26" s="5">
        <f t="shared" si="16"/>
        <v>57.629195613933874</v>
      </c>
      <c r="X26" s="5">
        <f t="shared" si="16"/>
        <v>63.569944173179216</v>
      </c>
      <c r="Y26" s="5">
        <f t="shared" ref="Y26:AD26" si="17">+(14.42*Y25)+4.15</f>
        <v>64.477161535599635</v>
      </c>
      <c r="Z26" s="5">
        <f t="shared" si="17"/>
        <v>53.433618777704737</v>
      </c>
      <c r="AA26" s="5">
        <f t="shared" si="17"/>
        <v>62.066243159249439</v>
      </c>
      <c r="AB26" s="5">
        <f t="shared" si="17"/>
        <v>63.91687349687016</v>
      </c>
      <c r="AC26" s="5">
        <f t="shared" si="17"/>
        <v>59.042073102488004</v>
      </c>
      <c r="AD26" s="5">
        <f t="shared" si="17"/>
        <v>58.913322247155186</v>
      </c>
    </row>
    <row r="27" spans="1:30">
      <c r="A27" s="33"/>
      <c r="B27" s="193">
        <v>1988</v>
      </c>
      <c r="C27" s="193">
        <v>1991</v>
      </c>
      <c r="D27" s="193">
        <v>1992</v>
      </c>
      <c r="E27" s="193">
        <v>1993</v>
      </c>
      <c r="F27" s="193">
        <v>1994</v>
      </c>
      <c r="G27" s="193">
        <v>1995</v>
      </c>
      <c r="H27" s="193">
        <v>1996</v>
      </c>
      <c r="I27" s="193">
        <v>1997</v>
      </c>
      <c r="J27" s="193">
        <v>1998</v>
      </c>
      <c r="K27" s="193">
        <v>1999</v>
      </c>
      <c r="L27" s="193">
        <v>2000</v>
      </c>
      <c r="M27" s="193">
        <v>2001</v>
      </c>
      <c r="N27" s="193">
        <v>2002</v>
      </c>
      <c r="O27" s="193">
        <v>2003</v>
      </c>
      <c r="P27" s="193">
        <v>2004</v>
      </c>
      <c r="Q27" s="193">
        <v>2005</v>
      </c>
      <c r="R27" s="193">
        <v>2006</v>
      </c>
      <c r="S27" s="193">
        <v>2007</v>
      </c>
      <c r="T27" s="193">
        <v>2008</v>
      </c>
      <c r="U27" s="193">
        <v>2009</v>
      </c>
      <c r="V27" s="193">
        <v>2010</v>
      </c>
      <c r="W27" s="193">
        <v>2011</v>
      </c>
      <c r="X27" s="193">
        <v>2012</v>
      </c>
      <c r="Y27" s="227">
        <v>2013</v>
      </c>
      <c r="Z27" s="302">
        <v>2014</v>
      </c>
      <c r="AA27" s="227">
        <v>2015</v>
      </c>
      <c r="AB27" s="332">
        <v>2016</v>
      </c>
      <c r="AC27" s="332">
        <v>2017</v>
      </c>
      <c r="AD27" s="332">
        <v>2018</v>
      </c>
    </row>
    <row r="28" spans="1:30">
      <c r="A28" s="5"/>
      <c r="B28" s="5">
        <f>AVERAGE(B20,B23,B26)</f>
        <v>60.39915070688658</v>
      </c>
      <c r="C28" s="5">
        <f t="shared" ref="C28:AD28" si="18">AVERAGE(C20,C23,C26)</f>
        <v>62.922363589547444</v>
      </c>
      <c r="D28" s="5">
        <f t="shared" si="18"/>
        <v>62.111684953260315</v>
      </c>
      <c r="E28" s="5">
        <f t="shared" si="18"/>
        <v>58.344593382015127</v>
      </c>
      <c r="F28" s="5">
        <f t="shared" si="18"/>
        <v>60.120150932072441</v>
      </c>
      <c r="G28" s="5">
        <f t="shared" si="18"/>
        <v>51.089468090678203</v>
      </c>
      <c r="H28" s="5">
        <f t="shared" si="18"/>
        <v>52.699762908336595</v>
      </c>
      <c r="I28" s="5">
        <f t="shared" si="18"/>
        <v>53.361633839203677</v>
      </c>
      <c r="J28" s="5">
        <f t="shared" si="18"/>
        <v>50.833901052705436</v>
      </c>
      <c r="K28" s="5">
        <f t="shared" si="18"/>
        <v>52.427928247314178</v>
      </c>
      <c r="L28" s="5">
        <f t="shared" si="18"/>
        <v>55.711306281437082</v>
      </c>
      <c r="M28" s="5">
        <f t="shared" si="18"/>
        <v>56.840099404483801</v>
      </c>
      <c r="N28" s="5">
        <f t="shared" si="18"/>
        <v>54.070692957559743</v>
      </c>
      <c r="O28" s="5">
        <f t="shared" si="18"/>
        <v>56.601461813604963</v>
      </c>
      <c r="P28" s="5">
        <f t="shared" si="18"/>
        <v>49.808003998448534</v>
      </c>
      <c r="Q28" s="5">
        <f t="shared" si="18"/>
        <v>54.616214061986739</v>
      </c>
      <c r="R28" s="5">
        <f t="shared" si="18"/>
        <v>49.875067908335467</v>
      </c>
      <c r="S28" s="5">
        <f t="shared" si="18"/>
        <v>52.785985215663082</v>
      </c>
      <c r="T28" s="5">
        <f t="shared" si="18"/>
        <v>55.561102668211014</v>
      </c>
      <c r="U28" s="5">
        <f t="shared" si="18"/>
        <v>52.133374222986525</v>
      </c>
      <c r="V28" s="5">
        <f t="shared" si="18"/>
        <v>53.647696846285726</v>
      </c>
      <c r="W28" s="5">
        <f t="shared" si="18"/>
        <v>53.403624208967244</v>
      </c>
      <c r="X28" s="5">
        <f t="shared" si="18"/>
        <v>56.414425174483391</v>
      </c>
      <c r="Y28" s="5">
        <f t="shared" si="18"/>
        <v>57.478491848055995</v>
      </c>
      <c r="Z28" s="5">
        <f t="shared" si="18"/>
        <v>50.183465718386536</v>
      </c>
      <c r="AA28" s="5">
        <f t="shared" si="18"/>
        <v>58.571915412400962</v>
      </c>
      <c r="AB28" s="5">
        <f t="shared" si="18"/>
        <v>58.191864123803477</v>
      </c>
      <c r="AC28" s="5">
        <f t="shared" si="18"/>
        <v>54.496103914946083</v>
      </c>
      <c r="AD28" s="5">
        <f t="shared" si="18"/>
        <v>56.757414989311279</v>
      </c>
    </row>
    <row r="29" spans="1:30">
      <c r="A29" s="2934" t="s">
        <v>37</v>
      </c>
      <c r="B29" s="2934"/>
      <c r="C29" s="2934"/>
      <c r="D29" s="2934"/>
      <c r="E29" s="2934"/>
      <c r="F29" s="2934"/>
      <c r="G29" s="2934"/>
      <c r="H29" s="2934"/>
      <c r="I29" s="2934"/>
      <c r="J29" s="2934"/>
      <c r="K29" s="2934"/>
      <c r="L29" s="2934"/>
      <c r="M29" s="2934"/>
      <c r="N29" s="2934"/>
    </row>
    <row r="30" spans="1:30">
      <c r="A30" s="33" t="s">
        <v>32</v>
      </c>
      <c r="B30" s="5"/>
      <c r="C30" s="5">
        <f>LN(C16)</f>
        <v>0.70803579305369591</v>
      </c>
      <c r="D30" s="5">
        <f t="shared" ref="D30:R30" si="19">LN(D16)</f>
        <v>0.75141608868392118</v>
      </c>
      <c r="E30" s="5">
        <f t="shared" si="19"/>
        <v>0.80200158547202738</v>
      </c>
      <c r="F30" s="5">
        <f t="shared" si="19"/>
        <v>0.53062825106217038</v>
      </c>
      <c r="G30" s="5">
        <f t="shared" si="19"/>
        <v>0.21511137961694549</v>
      </c>
      <c r="H30" s="5">
        <f t="shared" si="19"/>
        <v>0.9294043710195381</v>
      </c>
      <c r="I30" s="5">
        <f t="shared" si="19"/>
        <v>0.33647223662121289</v>
      </c>
      <c r="J30" s="5">
        <f t="shared" si="19"/>
        <v>0.53062825106217038</v>
      </c>
      <c r="K30" s="5">
        <f t="shared" si="19"/>
        <v>0.58778666490211906</v>
      </c>
      <c r="L30" s="5">
        <f t="shared" si="19"/>
        <v>0.83724752453370221</v>
      </c>
      <c r="M30" s="5">
        <f t="shared" si="19"/>
        <v>0.83290912293510388</v>
      </c>
      <c r="N30" s="5">
        <f t="shared" si="19"/>
        <v>0.99325177301028345</v>
      </c>
      <c r="O30" s="5">
        <f t="shared" si="19"/>
        <v>0.47000362924573563</v>
      </c>
      <c r="P30" s="5">
        <f t="shared" si="19"/>
        <v>0.69314718055994529</v>
      </c>
      <c r="Q30" s="5">
        <f t="shared" si="19"/>
        <v>0.40546510810816438</v>
      </c>
      <c r="R30" s="5">
        <f t="shared" si="19"/>
        <v>0.87546873735389985</v>
      </c>
      <c r="S30" s="5">
        <f t="shared" ref="S30:X30" si="20">LN(S16)</f>
        <v>0.91629073187415511</v>
      </c>
      <c r="T30" s="5">
        <f t="shared" si="20"/>
        <v>0.40546510810816438</v>
      </c>
      <c r="U30" s="5">
        <f t="shared" si="20"/>
        <v>0.58778666490211906</v>
      </c>
      <c r="V30" s="5">
        <f t="shared" si="20"/>
        <v>0.47000362924573563</v>
      </c>
      <c r="W30" s="5">
        <f t="shared" si="20"/>
        <v>0.78845736036427028</v>
      </c>
      <c r="X30" s="5">
        <f t="shared" si="20"/>
        <v>0.35065687161316933</v>
      </c>
      <c r="Y30" s="5">
        <f t="shared" ref="Y30:AD30" si="21">LN(Y16)</f>
        <v>0.131028262406404</v>
      </c>
      <c r="Z30" s="5">
        <f t="shared" si="21"/>
        <v>0.28517894223366247</v>
      </c>
      <c r="AA30" s="5">
        <f t="shared" si="21"/>
        <v>3.9220713153281329E-2</v>
      </c>
      <c r="AB30" s="5">
        <f t="shared" si="21"/>
        <v>-0.41551544396166579</v>
      </c>
      <c r="AC30" s="5">
        <f t="shared" si="21"/>
        <v>0.65232518603969014</v>
      </c>
      <c r="AD30" s="5">
        <f t="shared" si="21"/>
        <v>0.1906203596086497</v>
      </c>
    </row>
    <row r="31" spans="1:30">
      <c r="A31" s="33"/>
      <c r="B31" s="5"/>
      <c r="C31" s="5">
        <f t="shared" ref="C31:R31" si="22">60-(14.41*C30)</f>
        <v>49.797204222096241</v>
      </c>
      <c r="D31" s="5">
        <f t="shared" si="22"/>
        <v>49.172094162064695</v>
      </c>
      <c r="E31" s="5">
        <f t="shared" si="22"/>
        <v>48.443157153348082</v>
      </c>
      <c r="F31" s="5">
        <f t="shared" si="22"/>
        <v>52.353646902194129</v>
      </c>
      <c r="G31" s="5">
        <f t="shared" si="22"/>
        <v>56.900245019719819</v>
      </c>
      <c r="H31" s="5">
        <f t="shared" si="22"/>
        <v>46.607283013608452</v>
      </c>
      <c r="I31" s="5">
        <f t="shared" si="22"/>
        <v>55.151435070288322</v>
      </c>
      <c r="J31" s="5">
        <f t="shared" si="22"/>
        <v>52.353646902194129</v>
      </c>
      <c r="K31" s="5">
        <f t="shared" si="22"/>
        <v>51.529994158760466</v>
      </c>
      <c r="L31" s="5">
        <f t="shared" si="22"/>
        <v>47.935263171469352</v>
      </c>
      <c r="M31" s="5">
        <f t="shared" si="22"/>
        <v>47.997779538505156</v>
      </c>
      <c r="N31" s="5">
        <f t="shared" si="22"/>
        <v>45.687241950921816</v>
      </c>
      <c r="O31" s="5">
        <f t="shared" si="22"/>
        <v>53.227247702568953</v>
      </c>
      <c r="P31" s="5">
        <f t="shared" si="22"/>
        <v>50.011749128131186</v>
      </c>
      <c r="Q31" s="5">
        <f t="shared" si="22"/>
        <v>54.15724779216135</v>
      </c>
      <c r="R31" s="5">
        <f t="shared" si="22"/>
        <v>47.384495494730302</v>
      </c>
      <c r="S31" s="5">
        <f t="shared" ref="S31:X31" si="23">60-(14.41*S30)</f>
        <v>46.796250553693426</v>
      </c>
      <c r="T31" s="5">
        <f t="shared" si="23"/>
        <v>54.15724779216135</v>
      </c>
      <c r="U31" s="5">
        <f t="shared" si="23"/>
        <v>51.529994158760466</v>
      </c>
      <c r="V31" s="5">
        <f t="shared" si="23"/>
        <v>53.227247702568953</v>
      </c>
      <c r="W31" s="5">
        <f t="shared" si="23"/>
        <v>48.638329437150865</v>
      </c>
      <c r="X31" s="5">
        <f t="shared" si="23"/>
        <v>54.947034480054228</v>
      </c>
      <c r="Y31" s="5">
        <f t="shared" ref="Y31:AD31" si="24">60-(14.41*Y30)</f>
        <v>58.111882738723722</v>
      </c>
      <c r="Z31" s="5">
        <f t="shared" si="24"/>
        <v>55.89057144241292</v>
      </c>
      <c r="AA31" s="5">
        <f t="shared" si="24"/>
        <v>59.434829523461218</v>
      </c>
      <c r="AB31" s="5">
        <f t="shared" si="24"/>
        <v>65.987577547487604</v>
      </c>
      <c r="AC31" s="5">
        <f t="shared" si="24"/>
        <v>50.599994069168062</v>
      </c>
      <c r="AD31" s="5">
        <f t="shared" si="24"/>
        <v>57.25316061803936</v>
      </c>
    </row>
    <row r="32" spans="1:30">
      <c r="A32" s="3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30">
      <c r="A33" s="33" t="s">
        <v>33</v>
      </c>
      <c r="B33" s="5"/>
      <c r="C33" s="5">
        <f>LN(C14)</f>
        <v>1.3837912309017721</v>
      </c>
      <c r="D33" s="5">
        <f t="shared" ref="D33:R33" si="25">LN(D14)</f>
        <v>2.4664031782234406</v>
      </c>
      <c r="E33" s="5">
        <f t="shared" si="25"/>
        <v>2.6672282065819548</v>
      </c>
      <c r="F33" s="5">
        <f t="shared" si="25"/>
        <v>3.2733640101522705</v>
      </c>
      <c r="G33" s="5">
        <f t="shared" si="25"/>
        <v>2.3942522815198695</v>
      </c>
      <c r="H33" s="5">
        <f t="shared" si="25"/>
        <v>3.1701056604987712</v>
      </c>
      <c r="I33" s="5">
        <f t="shared" si="25"/>
        <v>1.791759469228055</v>
      </c>
      <c r="J33" s="5">
        <f t="shared" si="25"/>
        <v>0.99325177301028345</v>
      </c>
      <c r="K33" s="5">
        <f t="shared" si="25"/>
        <v>1.1314021114911006</v>
      </c>
      <c r="L33" s="5">
        <f t="shared" si="25"/>
        <v>2.6810215287142909</v>
      </c>
      <c r="M33" s="5">
        <f t="shared" si="25"/>
        <v>3.1570004211501135</v>
      </c>
      <c r="N33" s="5">
        <f t="shared" si="25"/>
        <v>3.0106208860477417</v>
      </c>
      <c r="O33" s="5">
        <f t="shared" si="25"/>
        <v>2.917770732084279</v>
      </c>
      <c r="P33" s="5">
        <f t="shared" si="25"/>
        <v>2.1400661634962708</v>
      </c>
      <c r="Q33" s="5">
        <f t="shared" si="25"/>
        <v>2.7343675094195836</v>
      </c>
      <c r="R33" s="5">
        <f t="shared" si="25"/>
        <v>2.5802168295923251</v>
      </c>
      <c r="S33" s="5">
        <f t="shared" ref="S33:X33" si="26">LN(S14)</f>
        <v>1.8718021769015913</v>
      </c>
      <c r="T33" s="5">
        <f t="shared" si="26"/>
        <v>3.2503744919275719</v>
      </c>
      <c r="U33" s="5">
        <f t="shared" si="26"/>
        <v>3.1484533605716547</v>
      </c>
      <c r="V33" s="5">
        <f t="shared" si="26"/>
        <v>2.7212954278522306</v>
      </c>
      <c r="W33" s="5">
        <f t="shared" si="26"/>
        <v>2.1972245773362196</v>
      </c>
      <c r="X33" s="5">
        <f t="shared" si="26"/>
        <v>3.2228678461377385</v>
      </c>
      <c r="Y33" s="5">
        <f t="shared" ref="Y33:AD33" si="27">LN(Y14)</f>
        <v>3.2733640101522705</v>
      </c>
      <c r="Z33" s="5">
        <f t="shared" si="27"/>
        <v>2.1162555148025524</v>
      </c>
      <c r="AA33" s="5">
        <f t="shared" si="27"/>
        <v>3.039749158970765</v>
      </c>
      <c r="AB33" s="5">
        <f t="shared" si="27"/>
        <v>2.6810215287142909</v>
      </c>
      <c r="AC33" s="5">
        <f t="shared" si="27"/>
        <v>3.1135153092103742</v>
      </c>
      <c r="AD33" s="5">
        <f t="shared" si="27"/>
        <v>2.6810215287142909</v>
      </c>
    </row>
    <row r="34" spans="1:30">
      <c r="A34" s="33"/>
      <c r="B34" s="5"/>
      <c r="C34" s="5">
        <f t="shared" ref="C34:R34" si="28">(9.81*C33)+30.6</f>
        <v>44.174991975146384</v>
      </c>
      <c r="D34" s="5">
        <f t="shared" si="28"/>
        <v>54.795415178371954</v>
      </c>
      <c r="E34" s="5">
        <f t="shared" si="28"/>
        <v>56.76550870656898</v>
      </c>
      <c r="F34" s="5">
        <f t="shared" si="28"/>
        <v>62.711700939593776</v>
      </c>
      <c r="G34" s="5">
        <f t="shared" si="28"/>
        <v>54.087614881709925</v>
      </c>
      <c r="H34" s="5">
        <f t="shared" si="28"/>
        <v>61.698736529492948</v>
      </c>
      <c r="I34" s="5">
        <f t="shared" si="28"/>
        <v>48.177160393127224</v>
      </c>
      <c r="J34" s="5">
        <f t="shared" si="28"/>
        <v>40.34379989323088</v>
      </c>
      <c r="K34" s="5">
        <f t="shared" si="28"/>
        <v>41.699054713727698</v>
      </c>
      <c r="L34" s="5">
        <f t="shared" si="28"/>
        <v>56.900821196687197</v>
      </c>
      <c r="M34" s="5">
        <f t="shared" si="28"/>
        <v>61.570174131482617</v>
      </c>
      <c r="N34" s="5">
        <f t="shared" si="28"/>
        <v>60.134190892128345</v>
      </c>
      <c r="O34" s="5">
        <f t="shared" si="28"/>
        <v>59.223330881746776</v>
      </c>
      <c r="P34" s="5">
        <f t="shared" si="28"/>
        <v>51.594049063898417</v>
      </c>
      <c r="Q34" s="5">
        <f t="shared" si="28"/>
        <v>57.424145267406118</v>
      </c>
      <c r="R34" s="5">
        <f t="shared" si="28"/>
        <v>55.911927098300708</v>
      </c>
      <c r="S34" s="5">
        <f t="shared" ref="S34:X34" si="29">(9.81*S33)+30.6</f>
        <v>48.962379355404615</v>
      </c>
      <c r="T34" s="5">
        <f t="shared" si="29"/>
        <v>62.486173765809482</v>
      </c>
      <c r="U34" s="5">
        <f t="shared" si="29"/>
        <v>61.486327467207936</v>
      </c>
      <c r="V34" s="5">
        <f t="shared" si="29"/>
        <v>57.295908147230385</v>
      </c>
      <c r="W34" s="5">
        <f t="shared" si="29"/>
        <v>52.154773103668319</v>
      </c>
      <c r="X34" s="5">
        <f t="shared" si="29"/>
        <v>62.216333570611212</v>
      </c>
      <c r="Y34" s="5">
        <f t="shared" ref="Y34:AD34" si="30">(9.81*Y33)+30.6</f>
        <v>62.711700939593776</v>
      </c>
      <c r="Z34" s="5">
        <f t="shared" si="30"/>
        <v>51.360466600213044</v>
      </c>
      <c r="AA34" s="5">
        <f t="shared" si="30"/>
        <v>60.419939249503209</v>
      </c>
      <c r="AB34" s="5">
        <f t="shared" si="30"/>
        <v>56.900821196687197</v>
      </c>
      <c r="AC34" s="5">
        <f t="shared" si="30"/>
        <v>61.143585183353778</v>
      </c>
      <c r="AD34" s="5">
        <f t="shared" si="30"/>
        <v>56.900821196687197</v>
      </c>
    </row>
    <row r="35" spans="1:30">
      <c r="A35" s="3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30">
      <c r="A36" s="33" t="s">
        <v>34</v>
      </c>
      <c r="B36" s="5"/>
      <c r="C36" s="5">
        <f>LN(C12)</f>
        <v>5.2566095631482463</v>
      </c>
      <c r="D36" s="5">
        <f t="shared" ref="D36:P36" si="31">LN(D12)</f>
        <v>5.2021368080740675</v>
      </c>
      <c r="E36" s="5">
        <f t="shared" si="31"/>
        <v>5.3322355847514977</v>
      </c>
      <c r="F36" s="5">
        <f t="shared" si="31"/>
        <v>4.5247190615904644</v>
      </c>
      <c r="G36" s="5">
        <f t="shared" si="31"/>
        <v>4.0673158898341812</v>
      </c>
      <c r="H36" s="5">
        <f t="shared" si="31"/>
        <v>3.4307561839036995</v>
      </c>
      <c r="I36" s="5">
        <f t="shared" si="31"/>
        <v>3.6635616461296463</v>
      </c>
      <c r="J36" s="5">
        <f t="shared" si="31"/>
        <v>3.5553480614894135</v>
      </c>
      <c r="K36" s="5">
        <f t="shared" si="31"/>
        <v>3.8372994592322094</v>
      </c>
      <c r="L36" s="5">
        <f t="shared" si="31"/>
        <v>3.7471483622379123</v>
      </c>
      <c r="M36" s="5">
        <f t="shared" si="31"/>
        <v>4.1303549997451334</v>
      </c>
      <c r="N36" s="5">
        <f t="shared" si="31"/>
        <v>3.9318256327243257</v>
      </c>
      <c r="O36" s="5">
        <f t="shared" si="31"/>
        <v>4.133565275375382</v>
      </c>
      <c r="P36" s="5">
        <f t="shared" si="31"/>
        <v>3.6963514689526371</v>
      </c>
      <c r="Q36" s="5">
        <f t="shared" ref="Q36:W36" si="32">LN(Q12)</f>
        <v>3.824284091120139</v>
      </c>
      <c r="R36" s="5">
        <f t="shared" si="32"/>
        <v>3.2386784521643803</v>
      </c>
      <c r="S36" s="5">
        <f t="shared" si="32"/>
        <v>3.3534067178258069</v>
      </c>
      <c r="T36" s="5">
        <f t="shared" si="32"/>
        <v>4.1174098351530963</v>
      </c>
      <c r="U36" s="5">
        <f t="shared" si="32"/>
        <v>3.8938590348004749</v>
      </c>
      <c r="V36" s="5">
        <f t="shared" si="32"/>
        <v>3.6584202466292277</v>
      </c>
      <c r="W36" s="5">
        <f t="shared" si="32"/>
        <v>4.01096295328305</v>
      </c>
      <c r="X36" s="5">
        <f t="shared" ref="X36:AC36" si="33">LN(X12)</f>
        <v>4.5767707114663931</v>
      </c>
      <c r="Y36" s="5">
        <f t="shared" si="33"/>
        <v>4.715816706075155</v>
      </c>
      <c r="Z36" s="5">
        <f t="shared" si="33"/>
        <v>3.7999735016195233</v>
      </c>
      <c r="AA36" s="5">
        <f t="shared" si="33"/>
        <v>4.475061500641071</v>
      </c>
      <c r="AB36" s="5">
        <f t="shared" si="33"/>
        <v>4.5549289695513444</v>
      </c>
      <c r="AC36" s="5">
        <f t="shared" si="33"/>
        <v>4.1271343850450917</v>
      </c>
      <c r="AD36" s="5">
        <f>LN(AD12)</f>
        <v>4.1239033644636454</v>
      </c>
    </row>
    <row r="37" spans="1:30">
      <c r="A37" s="33"/>
      <c r="B37" s="5"/>
      <c r="C37" s="5">
        <f t="shared" ref="C37:R37" si="34">+(14.42*C36)+4.15</f>
        <v>79.950309900597716</v>
      </c>
      <c r="D37" s="5">
        <f t="shared" si="34"/>
        <v>79.164812772428064</v>
      </c>
      <c r="E37" s="5">
        <f t="shared" si="34"/>
        <v>81.040837132116607</v>
      </c>
      <c r="F37" s="5">
        <f t="shared" si="34"/>
        <v>69.396448868134499</v>
      </c>
      <c r="G37" s="5">
        <f t="shared" si="34"/>
        <v>62.800695131408894</v>
      </c>
      <c r="H37" s="5">
        <f t="shared" si="34"/>
        <v>53.621504171891345</v>
      </c>
      <c r="I37" s="5">
        <f t="shared" si="34"/>
        <v>56.978558937189497</v>
      </c>
      <c r="J37" s="5">
        <f t="shared" si="34"/>
        <v>55.41811904667734</v>
      </c>
      <c r="K37" s="5">
        <f t="shared" si="34"/>
        <v>59.483858202128459</v>
      </c>
      <c r="L37" s="5">
        <f t="shared" si="34"/>
        <v>58.183879383470696</v>
      </c>
      <c r="M37" s="5">
        <f t="shared" si="34"/>
        <v>63.709719096324825</v>
      </c>
      <c r="N37" s="5">
        <f t="shared" si="34"/>
        <v>60.846925623884772</v>
      </c>
      <c r="O37" s="5">
        <f t="shared" si="34"/>
        <v>63.756011270913007</v>
      </c>
      <c r="P37" s="5">
        <f t="shared" si="34"/>
        <v>57.451388182297023</v>
      </c>
      <c r="Q37" s="5">
        <f t="shared" si="34"/>
        <v>59.296176593952403</v>
      </c>
      <c r="R37" s="5">
        <f t="shared" si="34"/>
        <v>50.851743280210364</v>
      </c>
      <c r="S37" s="5">
        <f t="shared" ref="S37:X37" si="35">+(14.42*S36)+4.15</f>
        <v>52.506124871048137</v>
      </c>
      <c r="T37" s="5">
        <f t="shared" si="35"/>
        <v>63.523049822907645</v>
      </c>
      <c r="U37" s="5">
        <f t="shared" si="35"/>
        <v>60.299447281822843</v>
      </c>
      <c r="V37" s="5">
        <f t="shared" si="35"/>
        <v>56.904419956393461</v>
      </c>
      <c r="W37" s="5">
        <f t="shared" si="35"/>
        <v>61.988085786341578</v>
      </c>
      <c r="X37" s="5">
        <f t="shared" si="35"/>
        <v>70.147033659345396</v>
      </c>
      <c r="Y37" s="5">
        <f t="shared" ref="Y37:AD37" si="36">+(14.42*Y36)+4.15</f>
        <v>72.152076901603735</v>
      </c>
      <c r="Z37" s="5">
        <f t="shared" si="36"/>
        <v>58.945617893353521</v>
      </c>
      <c r="AA37" s="5">
        <f t="shared" si="36"/>
        <v>68.68038683924425</v>
      </c>
      <c r="AB37" s="5">
        <f t="shared" si="36"/>
        <v>69.832075740930392</v>
      </c>
      <c r="AC37" s="5">
        <f t="shared" si="36"/>
        <v>63.663277832350218</v>
      </c>
      <c r="AD37" s="5">
        <f t="shared" si="36"/>
        <v>63.616686515565767</v>
      </c>
    </row>
    <row r="38" spans="1:30">
      <c r="A38" s="31"/>
      <c r="B38" s="31"/>
      <c r="C38" s="193">
        <v>1991</v>
      </c>
      <c r="D38" s="193">
        <v>1992</v>
      </c>
      <c r="E38" s="193">
        <v>1993</v>
      </c>
      <c r="F38" s="193">
        <v>1994</v>
      </c>
      <c r="G38" s="193">
        <v>1995</v>
      </c>
      <c r="H38" s="193">
        <v>1996</v>
      </c>
      <c r="I38" s="193">
        <v>1997</v>
      </c>
      <c r="J38" s="193">
        <v>1998</v>
      </c>
      <c r="K38" s="193">
        <v>1999</v>
      </c>
      <c r="L38" s="193">
        <v>2000</v>
      </c>
      <c r="M38" s="193">
        <v>2001</v>
      </c>
      <c r="N38" s="193">
        <v>2002</v>
      </c>
      <c r="O38" s="193">
        <v>2003</v>
      </c>
      <c r="P38" s="193">
        <v>2004</v>
      </c>
      <c r="Q38" s="193">
        <v>2005</v>
      </c>
      <c r="R38" s="193">
        <v>2006</v>
      </c>
      <c r="S38" s="193">
        <v>2007</v>
      </c>
      <c r="T38" s="193">
        <v>2008</v>
      </c>
      <c r="U38" s="193">
        <v>2009</v>
      </c>
      <c r="V38" s="193">
        <v>2010</v>
      </c>
      <c r="W38" s="193">
        <v>2011</v>
      </c>
      <c r="X38" s="193">
        <v>2012</v>
      </c>
      <c r="Y38" s="227">
        <v>2013</v>
      </c>
      <c r="Z38" s="302">
        <v>2014</v>
      </c>
      <c r="AA38" s="227">
        <v>2015</v>
      </c>
      <c r="AB38" s="332">
        <v>2016</v>
      </c>
      <c r="AC38" s="332">
        <v>2017</v>
      </c>
      <c r="AD38" s="332">
        <v>2018</v>
      </c>
    </row>
    <row r="39" spans="1:30">
      <c r="C39">
        <f>AVERAGE(C37,C31,C34)</f>
        <v>57.974168699280114</v>
      </c>
      <c r="D39" s="306">
        <f t="shared" ref="D39:AD39" si="37">AVERAGE(D37,D31,D34)</f>
        <v>61.044107370954897</v>
      </c>
      <c r="E39" s="306">
        <f t="shared" si="37"/>
        <v>62.083167664011228</v>
      </c>
      <c r="F39" s="306">
        <f t="shared" si="37"/>
        <v>61.487265569974134</v>
      </c>
      <c r="G39" s="306">
        <f t="shared" si="37"/>
        <v>57.92951834427955</v>
      </c>
      <c r="H39" s="306">
        <f t="shared" si="37"/>
        <v>53.975841238330908</v>
      </c>
      <c r="I39" s="306">
        <f t="shared" si="37"/>
        <v>53.435718133535012</v>
      </c>
      <c r="J39" s="306">
        <f t="shared" si="37"/>
        <v>49.371855280700778</v>
      </c>
      <c r="K39" s="306">
        <f t="shared" si="37"/>
        <v>50.904302358205541</v>
      </c>
      <c r="L39" s="306">
        <f t="shared" si="37"/>
        <v>54.339987917209079</v>
      </c>
      <c r="M39" s="306">
        <f t="shared" si="37"/>
        <v>57.759224255437537</v>
      </c>
      <c r="N39" s="306">
        <f t="shared" si="37"/>
        <v>55.556119488978311</v>
      </c>
      <c r="O39" s="306">
        <f t="shared" si="37"/>
        <v>58.735529951742912</v>
      </c>
      <c r="P39" s="306">
        <f t="shared" si="37"/>
        <v>53.019062124775537</v>
      </c>
      <c r="Q39" s="306">
        <f t="shared" si="37"/>
        <v>56.959189884506621</v>
      </c>
      <c r="R39" s="306">
        <f t="shared" si="37"/>
        <v>51.382721957747123</v>
      </c>
      <c r="S39" s="306">
        <f t="shared" si="37"/>
        <v>49.42158492671539</v>
      </c>
      <c r="T39" s="306">
        <f t="shared" si="37"/>
        <v>60.055490460292823</v>
      </c>
      <c r="U39" s="306">
        <f t="shared" si="37"/>
        <v>57.771922969263748</v>
      </c>
      <c r="V39" s="306">
        <f t="shared" si="37"/>
        <v>55.8091919353976</v>
      </c>
      <c r="W39" s="306">
        <f t="shared" si="37"/>
        <v>54.26039610905358</v>
      </c>
      <c r="X39" s="306">
        <f t="shared" si="37"/>
        <v>62.436800570003612</v>
      </c>
      <c r="Y39" s="306">
        <f t="shared" si="37"/>
        <v>64.325220193307089</v>
      </c>
      <c r="Z39" s="306">
        <f t="shared" si="37"/>
        <v>55.398885311993162</v>
      </c>
      <c r="AA39" s="358">
        <f t="shared" si="37"/>
        <v>62.845051870736228</v>
      </c>
      <c r="AB39" s="358">
        <f t="shared" si="37"/>
        <v>64.240158161701729</v>
      </c>
      <c r="AC39" s="358">
        <f t="shared" si="37"/>
        <v>58.468952361624019</v>
      </c>
      <c r="AD39" s="358">
        <f t="shared" si="37"/>
        <v>59.256889443430772</v>
      </c>
    </row>
    <row r="42" spans="1:30" ht="21">
      <c r="Z42" s="2816" t="s">
        <v>106</v>
      </c>
    </row>
    <row r="43" spans="1:30" ht="31.5">
      <c r="Z43" s="2816" t="s">
        <v>64</v>
      </c>
    </row>
    <row r="44" spans="1:30">
      <c r="Z44" s="2816" t="s">
        <v>104</v>
      </c>
    </row>
    <row r="60" spans="1:3" ht="20.399999999999999" customHeight="1">
      <c r="A60" s="46" t="s">
        <v>128</v>
      </c>
      <c r="B60" s="2935" t="s">
        <v>129</v>
      </c>
      <c r="C60" s="2935"/>
    </row>
    <row r="61" spans="1:3">
      <c r="A61" s="46" t="s">
        <v>55</v>
      </c>
      <c r="B61" s="2935" t="s">
        <v>130</v>
      </c>
      <c r="C61" s="2935"/>
    </row>
    <row r="62" spans="1:3" ht="20.399999999999999" customHeight="1">
      <c r="A62" s="46" t="s">
        <v>93</v>
      </c>
      <c r="B62" s="2935" t="s">
        <v>94</v>
      </c>
      <c r="C62" s="2935"/>
    </row>
    <row r="63" spans="1:3" ht="20.399999999999999" customHeight="1">
      <c r="A63" s="46" t="s">
        <v>57</v>
      </c>
      <c r="B63" s="2935" t="s">
        <v>58</v>
      </c>
      <c r="C63" s="2935"/>
    </row>
    <row r="64" spans="1:3" ht="20.399999999999999" customHeight="1">
      <c r="A64" s="46" t="s">
        <v>91</v>
      </c>
      <c r="B64" s="2935" t="s">
        <v>92</v>
      </c>
      <c r="C64" s="2935"/>
    </row>
    <row r="65" spans="1:3" ht="20.399999999999999" customHeight="1">
      <c r="A65" s="46" t="s">
        <v>131</v>
      </c>
      <c r="B65" s="2935" t="s">
        <v>79</v>
      </c>
      <c r="C65" s="2935"/>
    </row>
  </sheetData>
  <mergeCells count="10">
    <mergeCell ref="B61:C61"/>
    <mergeCell ref="B62:C62"/>
    <mergeCell ref="B63:C63"/>
    <mergeCell ref="B64:C64"/>
    <mergeCell ref="B65:C65"/>
    <mergeCell ref="A1:N1"/>
    <mergeCell ref="A10:N10"/>
    <mergeCell ref="A18:N18"/>
    <mergeCell ref="A29:N29"/>
    <mergeCell ref="B60:C60"/>
  </mergeCells>
  <phoneticPr fontId="10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90"/>
  <sheetViews>
    <sheetView topLeftCell="T31" workbookViewId="0">
      <selection activeCell="N9" sqref="N9"/>
    </sheetView>
  </sheetViews>
  <sheetFormatPr defaultRowHeight="14"/>
  <cols>
    <col min="1" max="1" width="8.1796875" bestFit="1" customWidth="1"/>
    <col min="2" max="2" width="5.54296875" customWidth="1"/>
    <col min="3" max="6" width="5.54296875" bestFit="1" customWidth="1"/>
    <col min="7" max="7" width="7" bestFit="1" customWidth="1"/>
    <col min="8" max="14" width="5.54296875" bestFit="1" customWidth="1"/>
    <col min="15" max="26" width="5.54296875" customWidth="1"/>
    <col min="27" max="30" width="5.54296875" style="358" customWidth="1"/>
    <col min="31" max="31" width="4.08984375" bestFit="1" customWidth="1"/>
    <col min="32" max="32" width="6.54296875" customWidth="1"/>
    <col min="33" max="33" width="7.1796875" bestFit="1" customWidth="1"/>
    <col min="34" max="36" width="6.54296875" customWidth="1"/>
    <col min="37" max="37" width="7.1796875" bestFit="1" customWidth="1"/>
    <col min="38" max="42" width="6.54296875" customWidth="1"/>
    <col min="43" max="43" width="7.1796875" bestFit="1" customWidth="1"/>
    <col min="44" max="44" width="6.54296875" customWidth="1"/>
    <col min="45" max="45" width="7.1796875" bestFit="1" customWidth="1"/>
    <col min="46" max="47" width="6.54296875" bestFit="1" customWidth="1"/>
    <col min="48" max="50" width="5.54296875" bestFit="1" customWidth="1"/>
    <col min="51" max="51" width="6.54296875" bestFit="1" customWidth="1"/>
    <col min="52" max="54" width="5.54296875" bestFit="1" customWidth="1"/>
    <col min="55" max="55" width="6.90625" bestFit="1" customWidth="1"/>
    <col min="56" max="56" width="6.54296875" bestFit="1" customWidth="1"/>
    <col min="57" max="57" width="10" customWidth="1"/>
  </cols>
  <sheetData>
    <row r="1" spans="1:60">
      <c r="AE1" s="2937" t="s">
        <v>44</v>
      </c>
      <c r="AF1" s="2937"/>
      <c r="AG1" s="2937"/>
      <c r="AH1" s="2937"/>
      <c r="AI1" s="2937"/>
      <c r="AJ1" s="2937"/>
      <c r="AK1" s="2937"/>
      <c r="AL1" s="2937"/>
      <c r="AM1" s="2937"/>
      <c r="AN1" s="2937"/>
      <c r="AO1" s="2937"/>
      <c r="AP1" s="2937"/>
      <c r="AQ1" s="2937"/>
      <c r="AR1" s="2937"/>
    </row>
    <row r="2" spans="1:60">
      <c r="A2" s="2937" t="s">
        <v>35</v>
      </c>
      <c r="B2" s="2937"/>
      <c r="C2" s="2937"/>
      <c r="D2" s="2937"/>
      <c r="E2" s="2937"/>
      <c r="F2" s="2937"/>
      <c r="G2" s="2937"/>
      <c r="H2" s="2937"/>
      <c r="I2" s="2937"/>
      <c r="J2" s="2937"/>
      <c r="K2" s="2937"/>
      <c r="L2" s="2937"/>
      <c r="M2" s="2937"/>
      <c r="N2" s="2937"/>
      <c r="O2" s="94"/>
      <c r="P2" s="94"/>
      <c r="Q2" s="94"/>
      <c r="R2" s="94"/>
      <c r="S2" s="94"/>
      <c r="T2" s="94"/>
      <c r="U2" s="94"/>
      <c r="V2" s="94"/>
      <c r="W2" s="134"/>
      <c r="X2" s="148"/>
      <c r="Y2" s="224"/>
      <c r="Z2" s="134"/>
      <c r="AA2" s="529"/>
      <c r="AB2" s="529"/>
      <c r="AC2" s="2752"/>
      <c r="AD2" s="1571"/>
      <c r="AE2" s="31"/>
      <c r="AF2" s="193">
        <v>1988</v>
      </c>
      <c r="AG2" s="193">
        <v>1991</v>
      </c>
      <c r="AH2" s="193">
        <v>1992</v>
      </c>
      <c r="AI2" s="193">
        <v>1993</v>
      </c>
      <c r="AJ2" s="193">
        <v>1994</v>
      </c>
      <c r="AK2" s="193">
        <v>1995</v>
      </c>
      <c r="AL2" s="193">
        <v>1996</v>
      </c>
      <c r="AM2" s="193">
        <v>1997</v>
      </c>
      <c r="AN2" s="193">
        <v>1998</v>
      </c>
      <c r="AO2" s="193">
        <v>1999</v>
      </c>
      <c r="AP2" s="193">
        <v>2000</v>
      </c>
      <c r="AQ2" s="193">
        <v>2001</v>
      </c>
      <c r="AR2" s="193">
        <v>2002</v>
      </c>
      <c r="AS2" s="193">
        <v>2003</v>
      </c>
      <c r="AT2" s="193">
        <v>2004</v>
      </c>
      <c r="AU2" s="193">
        <v>2005</v>
      </c>
      <c r="AV2" s="193">
        <v>2006</v>
      </c>
      <c r="AW2" s="193">
        <v>2007</v>
      </c>
      <c r="AX2" s="193">
        <v>2008</v>
      </c>
      <c r="AY2" s="193">
        <v>2009</v>
      </c>
      <c r="AZ2" s="193">
        <v>2010</v>
      </c>
      <c r="BA2" s="193">
        <v>2011</v>
      </c>
      <c r="BB2" s="193">
        <v>2012</v>
      </c>
      <c r="BC2" s="227">
        <v>2013</v>
      </c>
      <c r="BD2" s="302">
        <v>2014</v>
      </c>
      <c r="BE2" s="227">
        <v>2015</v>
      </c>
      <c r="BF2" s="332">
        <v>2016</v>
      </c>
      <c r="BG2" s="332">
        <v>2017</v>
      </c>
      <c r="BH2" s="332">
        <v>2018</v>
      </c>
    </row>
    <row r="3" spans="1:60" ht="15.5">
      <c r="A3" s="31"/>
      <c r="B3" s="193">
        <v>1988</v>
      </c>
      <c r="C3" s="193">
        <v>1991</v>
      </c>
      <c r="D3" s="193">
        <v>1992</v>
      </c>
      <c r="E3" s="193">
        <v>1993</v>
      </c>
      <c r="F3" s="193">
        <v>1994</v>
      </c>
      <c r="G3" s="193">
        <v>1995</v>
      </c>
      <c r="H3" s="193">
        <v>1996</v>
      </c>
      <c r="I3" s="193">
        <v>1997</v>
      </c>
      <c r="J3" s="193">
        <v>1998</v>
      </c>
      <c r="K3" s="193">
        <v>1999</v>
      </c>
      <c r="L3" s="193">
        <v>2000</v>
      </c>
      <c r="M3" s="193">
        <v>2001</v>
      </c>
      <c r="N3" s="193">
        <v>2002</v>
      </c>
      <c r="O3" s="193">
        <v>2003</v>
      </c>
      <c r="P3" s="193">
        <v>2004</v>
      </c>
      <c r="Q3" s="193">
        <v>2005</v>
      </c>
      <c r="R3" s="193">
        <v>2006</v>
      </c>
      <c r="S3" s="193">
        <v>2007</v>
      </c>
      <c r="T3" s="193">
        <v>2008</v>
      </c>
      <c r="U3" s="193">
        <v>2009</v>
      </c>
      <c r="V3" s="193">
        <v>2010</v>
      </c>
      <c r="W3" s="193">
        <v>2011</v>
      </c>
      <c r="X3" s="193">
        <v>2012</v>
      </c>
      <c r="Y3" s="193">
        <v>2013</v>
      </c>
      <c r="Z3" s="302">
        <v>2014</v>
      </c>
      <c r="AA3" s="302">
        <v>2015</v>
      </c>
      <c r="AB3" s="302">
        <v>2016</v>
      </c>
      <c r="AC3" s="302">
        <v>2017</v>
      </c>
      <c r="AD3" s="332">
        <v>2018</v>
      </c>
      <c r="AE3" s="34" t="s">
        <v>38</v>
      </c>
      <c r="AF3" s="5">
        <f t="shared" ref="AF3:BH3" si="0">LN(B6)</f>
        <v>2.0110862220155639</v>
      </c>
      <c r="AG3" s="5">
        <f t="shared" si="0"/>
        <v>3.0549441331858369</v>
      </c>
      <c r="AH3" s="5">
        <f t="shared" si="0"/>
        <v>2.9449651565003379</v>
      </c>
      <c r="AI3" s="5">
        <f t="shared" si="0"/>
        <v>2.1860512767380942</v>
      </c>
      <c r="AJ3" s="5">
        <f t="shared" si="0"/>
        <v>3.0170044088295307</v>
      </c>
      <c r="AK3" s="5">
        <f t="shared" si="0"/>
        <v>1.6272778305624314</v>
      </c>
      <c r="AL3" s="5">
        <f t="shared" si="0"/>
        <v>2.8390784635086144</v>
      </c>
      <c r="AM3" s="5">
        <f t="shared" si="0"/>
        <v>2.1041341542702074</v>
      </c>
      <c r="AN3" s="5">
        <f t="shared" si="0"/>
        <v>1.4586150226995167</v>
      </c>
      <c r="AO3" s="5">
        <f t="shared" si="0"/>
        <v>1.7578579175523736</v>
      </c>
      <c r="AP3" s="5">
        <f t="shared" si="0"/>
        <v>2.6461747973841225</v>
      </c>
      <c r="AQ3" s="5">
        <f t="shared" si="0"/>
        <v>3.202746442938317</v>
      </c>
      <c r="AR3" s="5">
        <f t="shared" si="0"/>
        <v>2.7343675094195836</v>
      </c>
      <c r="AS3" s="5">
        <f t="shared" si="0"/>
        <v>2.6946271807700692</v>
      </c>
      <c r="AT3" s="5">
        <f t="shared" si="0"/>
        <v>1.8870696490323797</v>
      </c>
      <c r="AU3" s="5">
        <f t="shared" si="0"/>
        <v>2.7343675094195836</v>
      </c>
      <c r="AV3" s="5">
        <f t="shared" si="0"/>
        <v>2.2082744135228043</v>
      </c>
      <c r="AW3" s="5">
        <f t="shared" si="0"/>
        <v>2.2300144001592104</v>
      </c>
      <c r="AX3" s="5">
        <f t="shared" si="0"/>
        <v>2.8507065015037334</v>
      </c>
      <c r="AY3" s="5">
        <f t="shared" si="0"/>
        <v>2.5257286443082556</v>
      </c>
      <c r="AZ3" s="5">
        <f t="shared" si="0"/>
        <v>2.3608540011180215</v>
      </c>
      <c r="BA3" s="5">
        <f t="shared" si="0"/>
        <v>2.379546134130174</v>
      </c>
      <c r="BB3" s="5">
        <f t="shared" si="0"/>
        <v>2.7013612129514133</v>
      </c>
      <c r="BC3" s="5">
        <f t="shared" si="0"/>
        <v>2.6810215287142909</v>
      </c>
      <c r="BD3" s="5">
        <f t="shared" si="0"/>
        <v>1.6677068205580761</v>
      </c>
      <c r="BE3" s="5">
        <f t="shared" si="0"/>
        <v>2.5802168295923251</v>
      </c>
      <c r="BF3" s="5">
        <f t="shared" si="0"/>
        <v>2.3125354238472138</v>
      </c>
      <c r="BG3" s="5">
        <f t="shared" si="0"/>
        <v>2.5494451709255714</v>
      </c>
      <c r="BH3" s="5">
        <f t="shared" si="0"/>
        <v>2.7972813348301528</v>
      </c>
    </row>
    <row r="4" spans="1:60" ht="15.5">
      <c r="A4" s="31" t="s">
        <v>27</v>
      </c>
      <c r="B4" s="2">
        <v>166</v>
      </c>
      <c r="C4" s="2">
        <v>184.16</v>
      </c>
      <c r="D4" s="2">
        <v>162.26</v>
      </c>
      <c r="E4" s="2">
        <v>167.91</v>
      </c>
      <c r="F4" s="2">
        <v>87.03</v>
      </c>
      <c r="G4" s="2">
        <v>40.909999999999997</v>
      </c>
      <c r="H4" s="2">
        <v>29.44</v>
      </c>
      <c r="I4" s="2">
        <v>37.700000000000003</v>
      </c>
      <c r="J4" s="2">
        <v>36.5</v>
      </c>
      <c r="K4" s="2">
        <v>41.6</v>
      </c>
      <c r="L4" s="2">
        <v>60</v>
      </c>
      <c r="M4" s="2">
        <v>49.8</v>
      </c>
      <c r="N4" s="2">
        <v>50.2</v>
      </c>
      <c r="O4" s="2">
        <v>49.5</v>
      </c>
      <c r="P4" s="2">
        <v>31.9</v>
      </c>
      <c r="Q4" s="2">
        <v>39.200000000000003</v>
      </c>
      <c r="R4" s="2">
        <v>24</v>
      </c>
      <c r="S4" s="2">
        <v>30.7</v>
      </c>
      <c r="T4" s="2">
        <v>50.6</v>
      </c>
      <c r="U4" s="2">
        <v>34.799999999999997</v>
      </c>
      <c r="V4" s="2">
        <v>33.6</v>
      </c>
      <c r="W4" s="2">
        <v>40.799999999999997</v>
      </c>
      <c r="X4" s="2">
        <v>61.6</v>
      </c>
      <c r="Y4" s="2">
        <v>65.599999999999994</v>
      </c>
      <c r="Z4" s="2">
        <v>30.5</v>
      </c>
      <c r="AA4" s="2">
        <v>55.5</v>
      </c>
      <c r="AB4" s="2">
        <v>63.1</v>
      </c>
      <c r="AC4" s="2">
        <v>45</v>
      </c>
      <c r="AD4" s="2">
        <v>44.6</v>
      </c>
      <c r="AE4" s="34"/>
      <c r="AF4" s="5">
        <f>20+(14.42*AF3)</f>
        <v>48.999863321464431</v>
      </c>
      <c r="AG4" s="5">
        <f t="shared" ref="AG4:AU4" si="1">20+(14.42*AG3)</f>
        <v>64.052294400539765</v>
      </c>
      <c r="AH4" s="5">
        <f t="shared" si="1"/>
        <v>62.466397556734869</v>
      </c>
      <c r="AI4" s="5">
        <f t="shared" si="1"/>
        <v>51.522859410563314</v>
      </c>
      <c r="AJ4" s="5">
        <f t="shared" si="1"/>
        <v>63.505203575321829</v>
      </c>
      <c r="AK4" s="5">
        <f t="shared" si="1"/>
        <v>43.46534631671026</v>
      </c>
      <c r="AL4" s="5">
        <f t="shared" si="1"/>
        <v>60.939511443794217</v>
      </c>
      <c r="AM4" s="5">
        <f t="shared" si="1"/>
        <v>50.341614504576391</v>
      </c>
      <c r="AN4" s="5">
        <f t="shared" si="1"/>
        <v>41.033228627327034</v>
      </c>
      <c r="AO4" s="5">
        <f t="shared" si="1"/>
        <v>45.348311171105223</v>
      </c>
      <c r="AP4" s="5">
        <f t="shared" si="1"/>
        <v>58.15784057827905</v>
      </c>
      <c r="AQ4" s="5">
        <f t="shared" si="1"/>
        <v>66.183603707170533</v>
      </c>
      <c r="AR4" s="5">
        <f t="shared" si="1"/>
        <v>59.429579485830395</v>
      </c>
      <c r="AS4" s="5">
        <f t="shared" si="1"/>
        <v>58.856523946704399</v>
      </c>
      <c r="AT4" s="5">
        <f t="shared" si="1"/>
        <v>47.211544339046917</v>
      </c>
      <c r="AU4" s="5">
        <f t="shared" si="1"/>
        <v>59.429579485830395</v>
      </c>
      <c r="AV4" s="5">
        <f t="shared" ref="AV4:BA4" si="2">20+(14.42*AV3)</f>
        <v>51.843317042998834</v>
      </c>
      <c r="AW4" s="5">
        <f t="shared" si="2"/>
        <v>52.156807650295811</v>
      </c>
      <c r="AX4" s="5">
        <f t="shared" si="2"/>
        <v>61.107187751683838</v>
      </c>
      <c r="AY4" s="5">
        <f t="shared" si="2"/>
        <v>56.421007050925049</v>
      </c>
      <c r="AZ4" s="5">
        <f t="shared" si="2"/>
        <v>54.043514696121868</v>
      </c>
      <c r="BA4" s="5">
        <f t="shared" si="2"/>
        <v>54.313055254157106</v>
      </c>
      <c r="BB4" s="5">
        <f t="shared" ref="BB4:BG4" si="3">20+(14.42*BB3)</f>
        <v>58.953628690759381</v>
      </c>
      <c r="BC4" s="5">
        <f t="shared" si="3"/>
        <v>58.660330444060072</v>
      </c>
      <c r="BD4" s="5">
        <f t="shared" si="3"/>
        <v>44.04833235244746</v>
      </c>
      <c r="BE4" s="5">
        <f t="shared" si="3"/>
        <v>57.206726682721325</v>
      </c>
      <c r="BF4" s="5">
        <f t="shared" si="3"/>
        <v>53.34676081187682</v>
      </c>
      <c r="BG4" s="5">
        <f t="shared" si="3"/>
        <v>56.76299936474674</v>
      </c>
      <c r="BH4" s="5">
        <f t="shared" ref="BH4" si="4">20+(14.42*BH3)</f>
        <v>60.336796848250806</v>
      </c>
    </row>
    <row r="5" spans="1:60" ht="15.5">
      <c r="A5" s="31" t="s">
        <v>28</v>
      </c>
      <c r="B5" s="2">
        <v>255.14285714285714</v>
      </c>
      <c r="C5" s="2">
        <v>349.27</v>
      </c>
      <c r="D5" s="2">
        <v>266.27</v>
      </c>
      <c r="E5" s="2">
        <v>442.5</v>
      </c>
      <c r="F5" s="2">
        <v>348.74</v>
      </c>
      <c r="G5" s="2">
        <v>492.7</v>
      </c>
      <c r="H5" s="2">
        <v>577.75</v>
      </c>
      <c r="I5" s="2">
        <v>393</v>
      </c>
      <c r="J5" s="2">
        <v>368</v>
      </c>
      <c r="K5" s="2">
        <v>402</v>
      </c>
      <c r="L5" s="2">
        <v>441</v>
      </c>
      <c r="M5" s="2">
        <v>387</v>
      </c>
      <c r="N5" s="2">
        <v>282</v>
      </c>
      <c r="O5" s="2">
        <v>266</v>
      </c>
      <c r="P5" s="2">
        <v>47</v>
      </c>
      <c r="Q5" s="2">
        <v>207</v>
      </c>
      <c r="R5" s="2">
        <v>153</v>
      </c>
      <c r="S5" s="2">
        <v>229</v>
      </c>
      <c r="T5" s="2">
        <v>232</v>
      </c>
      <c r="U5" s="2">
        <v>267</v>
      </c>
      <c r="V5" s="2">
        <v>254</v>
      </c>
      <c r="W5" s="2">
        <v>172</v>
      </c>
      <c r="X5" s="2">
        <v>134</v>
      </c>
      <c r="Y5" s="2">
        <v>153</v>
      </c>
      <c r="Z5" s="4">
        <v>291</v>
      </c>
      <c r="AA5" s="4">
        <v>352</v>
      </c>
      <c r="AB5" s="4">
        <v>784</v>
      </c>
      <c r="AC5" s="4">
        <v>771</v>
      </c>
      <c r="AD5" s="4">
        <v>810</v>
      </c>
      <c r="AE5" s="34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60" ht="15.5">
      <c r="A6" s="31" t="s">
        <v>29</v>
      </c>
      <c r="B6" s="2">
        <v>7.4714285714285706</v>
      </c>
      <c r="C6" s="2">
        <v>21.22</v>
      </c>
      <c r="D6" s="2">
        <v>19.010000000000002</v>
      </c>
      <c r="E6" s="2">
        <v>8.9</v>
      </c>
      <c r="F6" s="2">
        <v>20.43</v>
      </c>
      <c r="G6" s="2">
        <v>5.09</v>
      </c>
      <c r="H6" s="2">
        <v>17.100000000000001</v>
      </c>
      <c r="I6" s="2">
        <v>8.1999999999999993</v>
      </c>
      <c r="J6" s="2">
        <v>4.3</v>
      </c>
      <c r="K6" s="2">
        <v>5.8</v>
      </c>
      <c r="L6" s="2">
        <v>14.1</v>
      </c>
      <c r="M6" s="2">
        <v>24.6</v>
      </c>
      <c r="N6" s="2">
        <v>15.4</v>
      </c>
      <c r="O6" s="2">
        <v>14.8</v>
      </c>
      <c r="P6" s="2">
        <v>6.6</v>
      </c>
      <c r="Q6" s="2">
        <v>15.4</v>
      </c>
      <c r="R6" s="2">
        <v>9.1</v>
      </c>
      <c r="S6" s="2">
        <v>9.3000000000000007</v>
      </c>
      <c r="T6" s="2">
        <v>17.3</v>
      </c>
      <c r="U6" s="2">
        <v>12.5</v>
      </c>
      <c r="V6" s="2">
        <v>10.6</v>
      </c>
      <c r="W6" s="2">
        <v>10.8</v>
      </c>
      <c r="X6" s="2">
        <v>14.9</v>
      </c>
      <c r="Y6" s="2">
        <v>14.6</v>
      </c>
      <c r="Z6" s="2">
        <v>5.3</v>
      </c>
      <c r="AA6" s="2">
        <v>13.2</v>
      </c>
      <c r="AB6" s="2">
        <v>10.1</v>
      </c>
      <c r="AC6" s="2">
        <v>12.8</v>
      </c>
      <c r="AD6" s="2">
        <v>16.399999999999999</v>
      </c>
      <c r="AE6" s="34" t="s">
        <v>39</v>
      </c>
      <c r="AF6" s="5">
        <f t="shared" ref="AF6:BH6" si="5">LN(B4)</f>
        <v>5.1119877883565437</v>
      </c>
      <c r="AG6" s="5">
        <f t="shared" si="5"/>
        <v>5.2158049449735726</v>
      </c>
      <c r="AH6" s="5">
        <f t="shared" si="5"/>
        <v>5.0891999869669187</v>
      </c>
      <c r="AI6" s="5">
        <f t="shared" si="5"/>
        <v>5.1234281215713775</v>
      </c>
      <c r="AJ6" s="5">
        <f t="shared" si="5"/>
        <v>4.4662528868014224</v>
      </c>
      <c r="AK6" s="5">
        <f t="shared" si="5"/>
        <v>3.7113745319413072</v>
      </c>
      <c r="AL6" s="5">
        <f t="shared" si="5"/>
        <v>3.3823542938606757</v>
      </c>
      <c r="AM6" s="5">
        <f t="shared" si="5"/>
        <v>3.629660094453965</v>
      </c>
      <c r="AN6" s="5">
        <f t="shared" si="5"/>
        <v>3.597312260588446</v>
      </c>
      <c r="AO6" s="5">
        <f t="shared" si="5"/>
        <v>3.7281001672672178</v>
      </c>
      <c r="AP6" s="5">
        <f t="shared" si="5"/>
        <v>4.0943445622221004</v>
      </c>
      <c r="AQ6" s="5">
        <f t="shared" si="5"/>
        <v>3.9080149840306073</v>
      </c>
      <c r="AR6" s="5">
        <f t="shared" si="5"/>
        <v>3.9160150266976834</v>
      </c>
      <c r="AS6" s="5">
        <f t="shared" si="5"/>
        <v>3.9019726695746448</v>
      </c>
      <c r="AT6" s="5">
        <f t="shared" si="5"/>
        <v>3.4626060097907989</v>
      </c>
      <c r="AU6" s="5">
        <f t="shared" si="5"/>
        <v>3.6686767467964168</v>
      </c>
      <c r="AV6" s="5">
        <f t="shared" si="5"/>
        <v>3.1780538303479458</v>
      </c>
      <c r="AW6" s="5">
        <f t="shared" si="5"/>
        <v>3.4242626545931514</v>
      </c>
      <c r="AX6" s="5">
        <f t="shared" si="5"/>
        <v>3.9239515762934198</v>
      </c>
      <c r="AY6" s="5">
        <f t="shared" si="5"/>
        <v>3.5496173867804286</v>
      </c>
      <c r="AZ6" s="5">
        <f t="shared" si="5"/>
        <v>3.5145260669691587</v>
      </c>
      <c r="BA6" s="5">
        <f t="shared" si="5"/>
        <v>3.708682081410116</v>
      </c>
      <c r="BB6" s="5">
        <f t="shared" si="5"/>
        <v>4.1206618705394744</v>
      </c>
      <c r="BC6" s="5">
        <f t="shared" si="5"/>
        <v>4.1835756959500436</v>
      </c>
      <c r="BD6" s="5">
        <f t="shared" si="5"/>
        <v>3.417726683613366</v>
      </c>
      <c r="BE6" s="5">
        <f t="shared" si="5"/>
        <v>4.0163830207523885</v>
      </c>
      <c r="BF6" s="5">
        <f t="shared" si="5"/>
        <v>4.1447207695471677</v>
      </c>
      <c r="BG6" s="5">
        <f t="shared" si="5"/>
        <v>3.8066624897703196</v>
      </c>
      <c r="BH6" s="5">
        <f t="shared" si="5"/>
        <v>3.7977338590260183</v>
      </c>
    </row>
    <row r="7" spans="1:60" ht="15.5">
      <c r="A7" s="31" t="s">
        <v>30</v>
      </c>
      <c r="B7" s="2">
        <v>14</v>
      </c>
      <c r="C7" s="2">
        <v>69.67</v>
      </c>
      <c r="D7" s="2">
        <v>65.67</v>
      </c>
      <c r="E7" s="2">
        <v>32</v>
      </c>
      <c r="F7" s="2">
        <v>69.5</v>
      </c>
      <c r="G7" s="2">
        <v>36.85</v>
      </c>
      <c r="H7" s="2">
        <v>97.3</v>
      </c>
      <c r="I7" s="2">
        <v>31.7</v>
      </c>
      <c r="J7" s="2">
        <v>41.1</v>
      </c>
      <c r="K7" s="2">
        <v>36.700000000000003</v>
      </c>
      <c r="L7" s="2">
        <v>104.9</v>
      </c>
      <c r="M7" s="2">
        <v>69.7</v>
      </c>
      <c r="N7" s="2">
        <v>43.7</v>
      </c>
      <c r="O7" s="2">
        <v>37.700000000000003</v>
      </c>
      <c r="P7" s="2">
        <v>15.2</v>
      </c>
      <c r="Q7" s="2">
        <v>75.5</v>
      </c>
      <c r="R7" s="2">
        <v>28.7</v>
      </c>
      <c r="S7" s="2">
        <v>50.8</v>
      </c>
      <c r="T7" s="2">
        <v>73.900000000000006</v>
      </c>
      <c r="U7" s="2">
        <v>80.400000000000006</v>
      </c>
      <c r="V7" s="2">
        <v>24.1</v>
      </c>
      <c r="W7" s="2">
        <v>17.399999999999999</v>
      </c>
      <c r="X7" s="2">
        <v>52.9</v>
      </c>
      <c r="Y7" s="2">
        <v>54.3</v>
      </c>
      <c r="Z7" s="2">
        <v>18.3</v>
      </c>
      <c r="AA7" s="2">
        <v>45.7</v>
      </c>
      <c r="AB7" s="2">
        <v>23.9</v>
      </c>
      <c r="AC7" s="2">
        <v>44.2</v>
      </c>
      <c r="AD7" s="2">
        <v>44.5</v>
      </c>
      <c r="AE7" s="34"/>
      <c r="AF7" s="5">
        <f>20.02*AF6</f>
        <v>102.341995522898</v>
      </c>
      <c r="AG7" s="5">
        <f t="shared" ref="AG7:AY7" si="6">20.02*AG6</f>
        <v>104.42041499837092</v>
      </c>
      <c r="AH7" s="5">
        <f t="shared" si="6"/>
        <v>101.88578373907771</v>
      </c>
      <c r="AI7" s="5">
        <f t="shared" si="6"/>
        <v>102.57103099385897</v>
      </c>
      <c r="AJ7" s="5">
        <f t="shared" si="6"/>
        <v>89.414382793764474</v>
      </c>
      <c r="AK7" s="5">
        <f t="shared" si="6"/>
        <v>74.301718129464973</v>
      </c>
      <c r="AL7" s="5">
        <f t="shared" si="6"/>
        <v>67.714732963090725</v>
      </c>
      <c r="AM7" s="5">
        <f t="shared" si="6"/>
        <v>72.665795090968373</v>
      </c>
      <c r="AN7" s="5">
        <f t="shared" si="6"/>
        <v>72.018191456980688</v>
      </c>
      <c r="AO7" s="5">
        <f t="shared" si="6"/>
        <v>74.6365653486897</v>
      </c>
      <c r="AP7" s="5">
        <f t="shared" si="6"/>
        <v>81.968778135686449</v>
      </c>
      <c r="AQ7" s="5">
        <f t="shared" si="6"/>
        <v>78.23845998029276</v>
      </c>
      <c r="AR7" s="5">
        <f t="shared" si="6"/>
        <v>78.398620834487616</v>
      </c>
      <c r="AS7" s="5">
        <f t="shared" si="6"/>
        <v>78.117492844884381</v>
      </c>
      <c r="AT7" s="5">
        <f t="shared" si="6"/>
        <v>69.321372316011789</v>
      </c>
      <c r="AU7" s="5">
        <f t="shared" si="6"/>
        <v>73.446908470864258</v>
      </c>
      <c r="AV7" s="5">
        <f t="shared" si="6"/>
        <v>63.624637683565872</v>
      </c>
      <c r="AW7" s="5">
        <f t="shared" si="6"/>
        <v>68.553738344954894</v>
      </c>
      <c r="AX7" s="5">
        <f t="shared" si="6"/>
        <v>78.557510557394266</v>
      </c>
      <c r="AY7" s="5">
        <f t="shared" si="6"/>
        <v>71.063340083344173</v>
      </c>
      <c r="AZ7" s="5">
        <f t="shared" ref="AZ7:BE7" si="7">20.02*AZ6</f>
        <v>70.360811860722549</v>
      </c>
      <c r="BA7" s="5">
        <f t="shared" si="7"/>
        <v>74.247815269830525</v>
      </c>
      <c r="BB7" s="5">
        <f t="shared" si="7"/>
        <v>82.495650648200282</v>
      </c>
      <c r="BC7" s="5">
        <f t="shared" si="7"/>
        <v>83.755185432919873</v>
      </c>
      <c r="BD7" s="5">
        <f t="shared" si="7"/>
        <v>68.422888205939586</v>
      </c>
      <c r="BE7" s="5">
        <f t="shared" si="7"/>
        <v>80.407988075462811</v>
      </c>
      <c r="BF7" s="5">
        <f>20.02*BF6</f>
        <v>82.97730980633429</v>
      </c>
      <c r="BG7" s="5">
        <f>20.02*BG6</f>
        <v>76.209383045201804</v>
      </c>
      <c r="BH7" s="5">
        <f>20.02*BH6</f>
        <v>76.030631857700882</v>
      </c>
    </row>
    <row r="8" spans="1:60" ht="15.5">
      <c r="A8" s="31" t="s">
        <v>25</v>
      </c>
      <c r="B8" s="2">
        <v>1.625</v>
      </c>
      <c r="C8" s="2">
        <v>2.17</v>
      </c>
      <c r="D8" s="2">
        <v>2.1</v>
      </c>
      <c r="E8" s="2">
        <v>2.84</v>
      </c>
      <c r="F8" s="2">
        <v>1.79</v>
      </c>
      <c r="G8" s="2">
        <v>2.14</v>
      </c>
      <c r="H8" s="2">
        <v>2.5125000000000002</v>
      </c>
      <c r="I8" s="2">
        <v>1.7</v>
      </c>
      <c r="J8" s="2">
        <v>1.76</v>
      </c>
      <c r="K8" s="2">
        <v>1.8</v>
      </c>
      <c r="L8" s="2">
        <v>2.4</v>
      </c>
      <c r="M8" s="2">
        <v>2.2999999999999998</v>
      </c>
      <c r="N8" s="2">
        <v>3</v>
      </c>
      <c r="O8" s="2">
        <v>1.7</v>
      </c>
      <c r="P8" s="2">
        <v>2.6</v>
      </c>
      <c r="Q8" s="2">
        <v>2.1</v>
      </c>
      <c r="R8" s="2">
        <v>2.4</v>
      </c>
      <c r="S8" s="2">
        <v>1.7</v>
      </c>
      <c r="T8" s="2">
        <v>2.4</v>
      </c>
      <c r="U8" s="2">
        <v>2.7</v>
      </c>
      <c r="V8" s="2">
        <v>1.7</v>
      </c>
      <c r="W8" s="2">
        <v>2.2000000000000002</v>
      </c>
      <c r="X8" s="2">
        <v>2.21</v>
      </c>
      <c r="Y8" s="2">
        <v>1.86</v>
      </c>
      <c r="Z8" s="355">
        <v>1.98</v>
      </c>
      <c r="AA8" s="355">
        <v>1.17</v>
      </c>
      <c r="AB8" s="355">
        <v>1.2</v>
      </c>
      <c r="AC8" s="355">
        <v>2.17</v>
      </c>
      <c r="AD8" s="355">
        <v>1.59</v>
      </c>
      <c r="AE8" s="34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60" ht="31">
      <c r="AE9" s="34" t="s">
        <v>40</v>
      </c>
      <c r="AF9" s="5">
        <f t="shared" ref="AF9:BH9" si="8">LN(1/B8-0.08)</f>
        <v>-0.62476988311520831</v>
      </c>
      <c r="AG9" s="5">
        <f t="shared" si="8"/>
        <v>-0.96540352872907653</v>
      </c>
      <c r="AH9" s="5">
        <f t="shared" si="8"/>
        <v>-0.92586018289030592</v>
      </c>
      <c r="AI9" s="5">
        <f t="shared" si="8"/>
        <v>-1.3015390482569433</v>
      </c>
      <c r="AJ9" s="5">
        <f t="shared" si="8"/>
        <v>-0.7367663797012618</v>
      </c>
      <c r="AK9" s="5">
        <f t="shared" si="8"/>
        <v>-0.94858223651067863</v>
      </c>
      <c r="AL9" s="5">
        <f t="shared" si="8"/>
        <v>-1.1456726066010567</v>
      </c>
      <c r="AM9" s="5">
        <f t="shared" si="8"/>
        <v>-0.67681076124025175</v>
      </c>
      <c r="AN9" s="5">
        <f t="shared" si="8"/>
        <v>-0.71706736427759721</v>
      </c>
      <c r="AO9" s="5">
        <f t="shared" si="8"/>
        <v>-0.74327156774251391</v>
      </c>
      <c r="AP9" s="5">
        <f t="shared" si="8"/>
        <v>-1.0886619578149417</v>
      </c>
      <c r="AQ9" s="5">
        <f t="shared" si="8"/>
        <v>-1.0362500469531339</v>
      </c>
      <c r="AR9" s="5">
        <f t="shared" si="8"/>
        <v>-1.3730491343698701</v>
      </c>
      <c r="AS9" s="5">
        <f t="shared" si="8"/>
        <v>-0.67681076124025175</v>
      </c>
      <c r="AT9" s="5">
        <f t="shared" si="8"/>
        <v>-1.1887053321951477</v>
      </c>
      <c r="AU9" s="5">
        <f t="shared" si="8"/>
        <v>-0.92586018289030592</v>
      </c>
      <c r="AV9" s="5">
        <f t="shared" si="8"/>
        <v>-1.0886619578149417</v>
      </c>
      <c r="AW9" s="5">
        <f t="shared" si="8"/>
        <v>-0.67681076124025175</v>
      </c>
      <c r="AX9" s="5">
        <f t="shared" si="8"/>
        <v>-1.0886619578149417</v>
      </c>
      <c r="AY9" s="5">
        <f t="shared" si="8"/>
        <v>-1.2365980316420127</v>
      </c>
      <c r="AZ9" s="5">
        <f t="shared" si="8"/>
        <v>-0.67681076124025175</v>
      </c>
      <c r="BA9" s="5">
        <f t="shared" si="8"/>
        <v>-0.9820421094369356</v>
      </c>
      <c r="BB9" s="5">
        <f t="shared" si="8"/>
        <v>-0.9875486099919587</v>
      </c>
      <c r="BC9" s="5">
        <f t="shared" si="8"/>
        <v>-0.78168464811986715</v>
      </c>
      <c r="BD9" s="5">
        <f t="shared" si="8"/>
        <v>-0.8555472817051355</v>
      </c>
      <c r="BE9" s="5">
        <f t="shared" si="8"/>
        <v>-0.25527831807800511</v>
      </c>
      <c r="BF9" s="5">
        <f t="shared" si="8"/>
        <v>-0.28324747538391509</v>
      </c>
      <c r="BG9" s="5">
        <f t="shared" si="8"/>
        <v>-0.96540352872907653</v>
      </c>
      <c r="BH9" s="5">
        <f t="shared" si="8"/>
        <v>-0.59978286069541609</v>
      </c>
    </row>
    <row r="10" spans="1:60" ht="15.5">
      <c r="AE10" s="34"/>
      <c r="AF10" s="5">
        <f>75.34+(19.46*AF9)</f>
        <v>63.181978074578048</v>
      </c>
      <c r="AG10" s="5">
        <f t="shared" ref="AG10:AU10" si="9">75.34+(19.46*AG9)</f>
        <v>56.553247330932173</v>
      </c>
      <c r="AH10" s="5">
        <f t="shared" si="9"/>
        <v>57.322760840954651</v>
      </c>
      <c r="AI10" s="5">
        <f t="shared" si="9"/>
        <v>50.012050120919881</v>
      </c>
      <c r="AJ10" s="5">
        <f t="shared" si="9"/>
        <v>61.00252625101345</v>
      </c>
      <c r="AK10" s="5">
        <f t="shared" si="9"/>
        <v>56.880589677502201</v>
      </c>
      <c r="AL10" s="5">
        <f t="shared" si="9"/>
        <v>53.045211075543435</v>
      </c>
      <c r="AM10" s="5">
        <f t="shared" si="9"/>
        <v>62.169262586264708</v>
      </c>
      <c r="AN10" s="5">
        <f t="shared" si="9"/>
        <v>61.385869091157957</v>
      </c>
      <c r="AO10" s="5">
        <f t="shared" si="9"/>
        <v>60.875935291730684</v>
      </c>
      <c r="AP10" s="5">
        <f t="shared" si="9"/>
        <v>54.154638300921235</v>
      </c>
      <c r="AQ10" s="5">
        <f t="shared" si="9"/>
        <v>55.174574086292012</v>
      </c>
      <c r="AR10" s="5">
        <f t="shared" si="9"/>
        <v>48.620463845162334</v>
      </c>
      <c r="AS10" s="5">
        <f t="shared" si="9"/>
        <v>62.169262586264708</v>
      </c>
      <c r="AT10" s="5">
        <f t="shared" si="9"/>
        <v>52.207794235482424</v>
      </c>
      <c r="AU10" s="5">
        <f t="shared" si="9"/>
        <v>57.322760840954651</v>
      </c>
      <c r="AV10" s="5">
        <f t="shared" ref="AV10:BA10" si="10">75.34+(19.46*AV9)</f>
        <v>54.154638300921235</v>
      </c>
      <c r="AW10" s="5">
        <f t="shared" si="10"/>
        <v>62.169262586264708</v>
      </c>
      <c r="AX10" s="5">
        <f t="shared" si="10"/>
        <v>54.154638300921235</v>
      </c>
      <c r="AY10" s="5">
        <f t="shared" si="10"/>
        <v>51.27580230424644</v>
      </c>
      <c r="AZ10" s="5">
        <f t="shared" si="10"/>
        <v>62.169262586264708</v>
      </c>
      <c r="BA10" s="5">
        <f t="shared" si="10"/>
        <v>56.229460550357231</v>
      </c>
      <c r="BB10" s="5">
        <f t="shared" ref="BB10:BH10" si="11">75.34+(19.46*BB9)</f>
        <v>56.12230404955649</v>
      </c>
      <c r="BC10" s="5">
        <f t="shared" si="11"/>
        <v>60.128416747587387</v>
      </c>
      <c r="BD10" s="5">
        <f t="shared" si="11"/>
        <v>58.691049898018065</v>
      </c>
      <c r="BE10" s="5">
        <f t="shared" si="11"/>
        <v>70.37228393020203</v>
      </c>
      <c r="BF10" s="5">
        <f t="shared" si="11"/>
        <v>69.828004129029011</v>
      </c>
      <c r="BG10" s="5">
        <f t="shared" si="11"/>
        <v>56.553247330932173</v>
      </c>
      <c r="BH10" s="5">
        <f t="shared" si="11"/>
        <v>63.668225530867204</v>
      </c>
    </row>
    <row r="11" spans="1:60" ht="15.5">
      <c r="AE11" s="34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60" ht="15.5">
      <c r="AE12" s="34" t="s">
        <v>41</v>
      </c>
      <c r="AF12" s="5">
        <f>+(AF4+AF7+AF10)/3</f>
        <v>71.50794563964682</v>
      </c>
      <c r="AG12" s="5">
        <f t="shared" ref="AG12:AT12" si="12">+(AG4+AG7+AG10)/3</f>
        <v>75.008652243280963</v>
      </c>
      <c r="AH12" s="5">
        <f t="shared" si="12"/>
        <v>73.891647378922414</v>
      </c>
      <c r="AI12" s="5">
        <f t="shared" si="12"/>
        <v>68.035313508447373</v>
      </c>
      <c r="AJ12" s="5">
        <f t="shared" si="12"/>
        <v>71.30737087336658</v>
      </c>
      <c r="AK12" s="5">
        <f t="shared" si="12"/>
        <v>58.215884707892478</v>
      </c>
      <c r="AL12" s="5">
        <f t="shared" si="12"/>
        <v>60.566485160809464</v>
      </c>
      <c r="AM12" s="5">
        <f t="shared" si="12"/>
        <v>61.725557393936491</v>
      </c>
      <c r="AN12" s="5">
        <f t="shared" si="12"/>
        <v>58.145763058488562</v>
      </c>
      <c r="AO12" s="5">
        <f t="shared" si="12"/>
        <v>60.286937270508531</v>
      </c>
      <c r="AP12" s="5">
        <f t="shared" si="12"/>
        <v>64.760419004962259</v>
      </c>
      <c r="AQ12" s="5">
        <f t="shared" si="12"/>
        <v>66.532212591251763</v>
      </c>
      <c r="AR12" s="5">
        <f t="shared" si="12"/>
        <v>62.149554721826782</v>
      </c>
      <c r="AS12" s="5">
        <f t="shared" si="12"/>
        <v>66.381093125951168</v>
      </c>
      <c r="AT12" s="5">
        <f t="shared" si="12"/>
        <v>56.246903630180377</v>
      </c>
      <c r="AU12" s="5">
        <f t="shared" ref="AU12:BH12" si="13">+(AU4+AU7+AU10)/3</f>
        <v>63.399749599216442</v>
      </c>
      <c r="AV12" s="5">
        <f t="shared" si="13"/>
        <v>56.540864342495318</v>
      </c>
      <c r="AW12" s="5">
        <f t="shared" si="13"/>
        <v>60.959936193838473</v>
      </c>
      <c r="AX12" s="5">
        <f t="shared" si="13"/>
        <v>64.606445536666456</v>
      </c>
      <c r="AY12" s="5">
        <f t="shared" si="13"/>
        <v>59.58671647950522</v>
      </c>
      <c r="AZ12" s="5">
        <f t="shared" si="13"/>
        <v>62.191196381036377</v>
      </c>
      <c r="BA12" s="5">
        <f t="shared" si="13"/>
        <v>61.596777024781623</v>
      </c>
      <c r="BB12" s="5">
        <f t="shared" si="13"/>
        <v>65.85719446283872</v>
      </c>
      <c r="BC12" s="5">
        <f t="shared" si="13"/>
        <v>67.514644208189111</v>
      </c>
      <c r="BD12" s="5">
        <f t="shared" si="13"/>
        <v>57.054090152135039</v>
      </c>
      <c r="BE12" s="5">
        <f t="shared" si="13"/>
        <v>69.328999562795389</v>
      </c>
      <c r="BF12" s="5">
        <f t="shared" si="13"/>
        <v>68.71735824908005</v>
      </c>
      <c r="BG12" s="5">
        <f t="shared" si="13"/>
        <v>63.175209913626908</v>
      </c>
      <c r="BH12" s="5">
        <f t="shared" si="13"/>
        <v>66.678551412272967</v>
      </c>
    </row>
    <row r="13" spans="1:60">
      <c r="AE13" s="31"/>
      <c r="AF13" s="5" t="s">
        <v>42</v>
      </c>
      <c r="AG13" s="5" t="s">
        <v>42</v>
      </c>
      <c r="AH13" s="5" t="s">
        <v>42</v>
      </c>
      <c r="AI13" s="5" t="s">
        <v>42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5" t="s">
        <v>43</v>
      </c>
      <c r="AP13" s="5" t="s">
        <v>43</v>
      </c>
      <c r="AQ13" s="5" t="s">
        <v>43</v>
      </c>
      <c r="AR13" s="5" t="s">
        <v>43</v>
      </c>
    </row>
    <row r="14" spans="1:60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5"/>
    </row>
    <row r="15" spans="1:60">
      <c r="A15" s="2937" t="s">
        <v>31</v>
      </c>
      <c r="B15" s="2937"/>
      <c r="C15" s="2937"/>
      <c r="D15" s="2937"/>
      <c r="E15" s="2937"/>
      <c r="F15" s="2937"/>
      <c r="G15" s="2937"/>
      <c r="H15" s="2937"/>
      <c r="I15" s="2937"/>
      <c r="J15" s="2937"/>
      <c r="K15" s="2937"/>
      <c r="L15" s="2937"/>
      <c r="M15" s="2937"/>
      <c r="N15" s="2937"/>
      <c r="O15" s="94"/>
      <c r="P15" s="94"/>
      <c r="Q15" s="94"/>
      <c r="R15" s="94"/>
      <c r="S15" s="94"/>
      <c r="T15" s="94"/>
      <c r="U15" s="94"/>
      <c r="V15" s="94"/>
      <c r="W15" s="134"/>
      <c r="X15" s="148"/>
      <c r="Y15" s="224"/>
      <c r="Z15" s="134"/>
      <c r="AA15" s="529"/>
      <c r="AB15" s="529"/>
      <c r="AC15" s="2752"/>
      <c r="AD15" s="1571"/>
      <c r="AE15" s="2937" t="s">
        <v>45</v>
      </c>
      <c r="AF15" s="2937"/>
      <c r="AG15" s="2937"/>
      <c r="AH15" s="2937"/>
      <c r="AI15" s="2937"/>
      <c r="AJ15" s="2937"/>
      <c r="AK15" s="2937"/>
      <c r="AL15" s="2937"/>
      <c r="AM15" s="2937"/>
      <c r="AN15" s="2937"/>
      <c r="AO15" s="2937"/>
      <c r="AP15" s="2937"/>
      <c r="AQ15" s="2937"/>
      <c r="AR15" s="2937"/>
    </row>
    <row r="16" spans="1:60">
      <c r="A16" s="31"/>
      <c r="B16" s="31"/>
      <c r="C16" s="193">
        <v>1991</v>
      </c>
      <c r="D16" s="193">
        <v>1992</v>
      </c>
      <c r="E16" s="193">
        <v>1993</v>
      </c>
      <c r="F16" s="193">
        <v>1994</v>
      </c>
      <c r="G16" s="193">
        <v>1995</v>
      </c>
      <c r="H16" s="193">
        <v>1996</v>
      </c>
      <c r="I16" s="193">
        <v>1997</v>
      </c>
      <c r="J16" s="193">
        <v>1998</v>
      </c>
      <c r="K16" s="193">
        <v>1999</v>
      </c>
      <c r="L16" s="193">
        <v>2000</v>
      </c>
      <c r="M16" s="193">
        <v>2001</v>
      </c>
      <c r="N16" s="193">
        <v>2002</v>
      </c>
      <c r="O16" s="193">
        <v>2003</v>
      </c>
      <c r="P16" s="193">
        <v>2004</v>
      </c>
      <c r="Q16" s="193">
        <v>2005</v>
      </c>
      <c r="R16" s="193">
        <v>2006</v>
      </c>
      <c r="S16" s="193">
        <v>2007</v>
      </c>
      <c r="T16" s="193">
        <v>2008</v>
      </c>
      <c r="U16" s="193">
        <v>2009</v>
      </c>
      <c r="V16" s="193">
        <v>2010</v>
      </c>
      <c r="W16" s="193">
        <v>2011</v>
      </c>
      <c r="X16" s="193">
        <v>2012</v>
      </c>
      <c r="Y16" s="193">
        <v>2013</v>
      </c>
      <c r="Z16" s="302">
        <v>2014</v>
      </c>
      <c r="AA16" s="302">
        <v>2015</v>
      </c>
      <c r="AB16" s="302">
        <v>2016</v>
      </c>
      <c r="AC16" s="302">
        <v>2017</v>
      </c>
      <c r="AD16" s="302">
        <v>2018</v>
      </c>
      <c r="AE16" s="31"/>
      <c r="AF16" s="193">
        <v>1988</v>
      </c>
      <c r="AG16" s="193">
        <v>1991</v>
      </c>
      <c r="AH16" s="193">
        <v>1992</v>
      </c>
      <c r="AI16" s="193">
        <v>1993</v>
      </c>
      <c r="AJ16" s="193">
        <v>1994</v>
      </c>
      <c r="AK16" s="193">
        <v>1995</v>
      </c>
      <c r="AL16" s="193">
        <v>1996</v>
      </c>
      <c r="AM16" s="193">
        <v>1997</v>
      </c>
      <c r="AN16" s="193">
        <v>1998</v>
      </c>
      <c r="AO16" s="193">
        <v>1999</v>
      </c>
      <c r="AP16" s="193">
        <v>2000</v>
      </c>
      <c r="AQ16" s="193">
        <v>2001</v>
      </c>
      <c r="AR16" s="193">
        <v>2002</v>
      </c>
      <c r="AS16" s="193">
        <v>2003</v>
      </c>
      <c r="AT16" s="193">
        <v>2004</v>
      </c>
      <c r="AU16" s="193">
        <v>2005</v>
      </c>
      <c r="AV16" s="193">
        <v>2006</v>
      </c>
      <c r="AW16" s="193">
        <v>2007</v>
      </c>
      <c r="AX16" s="193">
        <v>2008</v>
      </c>
      <c r="AY16" s="193">
        <v>2009</v>
      </c>
      <c r="AZ16" s="193">
        <v>2010</v>
      </c>
      <c r="BA16" s="193">
        <v>2011</v>
      </c>
      <c r="BB16" s="193">
        <v>2012</v>
      </c>
      <c r="BC16" s="227">
        <v>2013</v>
      </c>
      <c r="BD16" s="332">
        <v>2014</v>
      </c>
      <c r="BE16" s="227">
        <v>2015</v>
      </c>
      <c r="BF16" s="332">
        <v>2016</v>
      </c>
      <c r="BG16" s="332">
        <v>2017</v>
      </c>
      <c r="BH16" s="332">
        <v>2018</v>
      </c>
    </row>
    <row r="17" spans="1:60" ht="15.5">
      <c r="A17" s="31" t="s">
        <v>27</v>
      </c>
      <c r="C17" s="2">
        <v>191.83</v>
      </c>
      <c r="D17" s="2">
        <v>181.66</v>
      </c>
      <c r="E17" s="2">
        <v>206.9</v>
      </c>
      <c r="F17" s="2">
        <v>92.27</v>
      </c>
      <c r="G17" s="2">
        <v>58.4</v>
      </c>
      <c r="H17" s="2">
        <v>30.9</v>
      </c>
      <c r="I17" s="2">
        <v>39</v>
      </c>
      <c r="J17" s="2">
        <v>35</v>
      </c>
      <c r="K17" s="2">
        <v>46.4</v>
      </c>
      <c r="L17" s="2">
        <v>42.4</v>
      </c>
      <c r="M17" s="2">
        <v>62.2</v>
      </c>
      <c r="N17" s="2">
        <v>51</v>
      </c>
      <c r="O17" s="2">
        <v>62.4</v>
      </c>
      <c r="P17" s="2">
        <v>40.299999999999997</v>
      </c>
      <c r="Q17" s="2">
        <v>45.8</v>
      </c>
      <c r="R17" s="2">
        <v>25.5</v>
      </c>
      <c r="S17" s="2">
        <v>28.6</v>
      </c>
      <c r="T17" s="2">
        <v>61.4</v>
      </c>
      <c r="U17" s="2">
        <v>49.1</v>
      </c>
      <c r="V17" s="2">
        <v>38.799999999999997</v>
      </c>
      <c r="W17" s="2">
        <v>55.2</v>
      </c>
      <c r="X17" s="2">
        <v>97.2</v>
      </c>
      <c r="Y17" s="2">
        <v>111.7</v>
      </c>
      <c r="Z17" s="5">
        <v>44.7</v>
      </c>
      <c r="AA17" s="5">
        <v>87.8</v>
      </c>
      <c r="AB17" s="5">
        <v>95.1</v>
      </c>
      <c r="AC17" s="5">
        <v>62</v>
      </c>
      <c r="AD17" s="5">
        <v>61.8</v>
      </c>
      <c r="AE17" s="34" t="s">
        <v>38</v>
      </c>
      <c r="AF17" s="5"/>
      <c r="AG17" s="5">
        <f t="shared" ref="AG17:BH17" si="14">LN(C19)</f>
        <v>1.3837912309017721</v>
      </c>
      <c r="AH17" s="5">
        <f t="shared" si="14"/>
        <v>2.4664031782234406</v>
      </c>
      <c r="AI17" s="5">
        <f t="shared" si="14"/>
        <v>2.6672282065819548</v>
      </c>
      <c r="AJ17" s="5">
        <f t="shared" si="14"/>
        <v>3.2733640101522705</v>
      </c>
      <c r="AK17" s="5">
        <f t="shared" si="14"/>
        <v>2.3942522815198695</v>
      </c>
      <c r="AL17" s="5">
        <f t="shared" si="14"/>
        <v>3.1701056604987712</v>
      </c>
      <c r="AM17" s="5">
        <f t="shared" si="14"/>
        <v>1.791759469228055</v>
      </c>
      <c r="AN17" s="5">
        <f t="shared" si="14"/>
        <v>0.9895411936137477</v>
      </c>
      <c r="AO17" s="5">
        <f t="shared" si="14"/>
        <v>1.1314021114911006</v>
      </c>
      <c r="AP17" s="5">
        <f t="shared" si="14"/>
        <v>2.6810215287142909</v>
      </c>
      <c r="AQ17" s="5">
        <f t="shared" si="14"/>
        <v>3.1570004211501135</v>
      </c>
      <c r="AR17" s="5">
        <f t="shared" si="14"/>
        <v>3.0106208860477417</v>
      </c>
      <c r="AS17" s="5">
        <f t="shared" si="14"/>
        <v>2.917770732084279</v>
      </c>
      <c r="AT17" s="5">
        <f t="shared" si="14"/>
        <v>2.1400661634962708</v>
      </c>
      <c r="AU17" s="5">
        <f t="shared" si="14"/>
        <v>2.7408400239252009</v>
      </c>
      <c r="AV17" s="5">
        <f t="shared" si="14"/>
        <v>2.5802168295923251</v>
      </c>
      <c r="AW17" s="5">
        <f t="shared" si="14"/>
        <v>1.8718021769015913</v>
      </c>
      <c r="AX17" s="5">
        <f t="shared" si="14"/>
        <v>3.2503744919275719</v>
      </c>
      <c r="AY17" s="5">
        <f t="shared" si="14"/>
        <v>3.1484533605716547</v>
      </c>
      <c r="AZ17" s="5">
        <f t="shared" si="14"/>
        <v>2.7212954278522306</v>
      </c>
      <c r="BA17" s="5">
        <f t="shared" si="14"/>
        <v>2.1972245773362196</v>
      </c>
      <c r="BB17" s="5">
        <f t="shared" si="14"/>
        <v>3.2228678461377385</v>
      </c>
      <c r="BC17" s="5">
        <f t="shared" si="14"/>
        <v>3.2733640101522705</v>
      </c>
      <c r="BD17" s="5">
        <f t="shared" si="14"/>
        <v>2.1162555148025524</v>
      </c>
      <c r="BE17" s="5">
        <f t="shared" si="14"/>
        <v>3.039749158970765</v>
      </c>
      <c r="BF17" s="5">
        <f t="shared" si="14"/>
        <v>2.6810215287142909</v>
      </c>
      <c r="BG17" s="5">
        <f t="shared" si="14"/>
        <v>3.1135153092103742</v>
      </c>
      <c r="BH17" s="5">
        <f t="shared" si="14"/>
        <v>2.6810215287142909</v>
      </c>
    </row>
    <row r="18" spans="1:60" ht="15.5">
      <c r="A18" s="31" t="s">
        <v>28</v>
      </c>
      <c r="C18" s="2">
        <v>234.14</v>
      </c>
      <c r="D18" s="2">
        <v>133.19999999999999</v>
      </c>
      <c r="E18" s="2">
        <v>198.57</v>
      </c>
      <c r="F18" s="2">
        <v>156.69999999999999</v>
      </c>
      <c r="G18" s="2">
        <v>284.52999999999997</v>
      </c>
      <c r="H18" s="2">
        <v>340.4</v>
      </c>
      <c r="I18" s="2">
        <v>302.89999999999998</v>
      </c>
      <c r="J18" s="2">
        <v>228</v>
      </c>
      <c r="K18" s="2">
        <v>201</v>
      </c>
      <c r="L18" s="2">
        <v>347</v>
      </c>
      <c r="M18" s="2">
        <v>208</v>
      </c>
      <c r="N18" s="2">
        <v>171</v>
      </c>
      <c r="O18" s="2">
        <v>121</v>
      </c>
      <c r="P18" s="2">
        <v>175</v>
      </c>
      <c r="Q18" s="2">
        <v>150</v>
      </c>
      <c r="R18" s="2">
        <v>12</v>
      </c>
      <c r="S18" s="2">
        <v>145</v>
      </c>
      <c r="T18" s="2">
        <v>79</v>
      </c>
      <c r="U18" s="2">
        <v>180</v>
      </c>
      <c r="V18" s="2">
        <v>112</v>
      </c>
      <c r="W18" s="2">
        <v>111</v>
      </c>
      <c r="X18" s="2">
        <v>32</v>
      </c>
      <c r="Y18" s="2">
        <v>103</v>
      </c>
      <c r="Z18" s="2">
        <v>172</v>
      </c>
      <c r="AA18" s="2">
        <v>148</v>
      </c>
      <c r="AB18" s="2">
        <v>670</v>
      </c>
      <c r="AC18" s="2">
        <v>669</v>
      </c>
      <c r="AD18" s="2">
        <v>725</v>
      </c>
      <c r="AE18" s="34"/>
      <c r="AF18" s="5"/>
      <c r="AG18" s="5">
        <f>20+(14.42*AG17)</f>
        <v>39.954269549603552</v>
      </c>
      <c r="AH18" s="5">
        <f t="shared" ref="AH18:AV18" si="15">20+(14.42*AH17)</f>
        <v>55.565533829982016</v>
      </c>
      <c r="AI18" s="5">
        <f t="shared" si="15"/>
        <v>58.461430738911787</v>
      </c>
      <c r="AJ18" s="5">
        <f t="shared" si="15"/>
        <v>67.201909026395739</v>
      </c>
      <c r="AK18" s="5">
        <f t="shared" si="15"/>
        <v>54.525117899516516</v>
      </c>
      <c r="AL18" s="5">
        <f t="shared" si="15"/>
        <v>65.712923624392289</v>
      </c>
      <c r="AM18" s="5">
        <f t="shared" si="15"/>
        <v>45.83717154626855</v>
      </c>
      <c r="AN18" s="5">
        <f t="shared" si="15"/>
        <v>34.269184011910241</v>
      </c>
      <c r="AO18" s="5">
        <f t="shared" si="15"/>
        <v>36.314818447701668</v>
      </c>
      <c r="AP18" s="5">
        <f t="shared" si="15"/>
        <v>58.660330444060072</v>
      </c>
      <c r="AQ18" s="5">
        <f t="shared" si="15"/>
        <v>65.523946072984643</v>
      </c>
      <c r="AR18" s="5">
        <f t="shared" si="15"/>
        <v>63.413153176808436</v>
      </c>
      <c r="AS18" s="5">
        <f t="shared" si="15"/>
        <v>62.074253956655305</v>
      </c>
      <c r="AT18" s="5">
        <f t="shared" si="15"/>
        <v>50.859754077616223</v>
      </c>
      <c r="AU18" s="5">
        <f t="shared" si="15"/>
        <v>59.522913145001397</v>
      </c>
      <c r="AV18" s="5">
        <f t="shared" si="15"/>
        <v>57.206726682721325</v>
      </c>
      <c r="AW18" s="5">
        <f t="shared" ref="AW18:BB18" si="16">20+(14.42*AW17)</f>
        <v>46.991387390920949</v>
      </c>
      <c r="AX18" s="5">
        <f t="shared" si="16"/>
        <v>66.870400173595584</v>
      </c>
      <c r="AY18" s="5">
        <f t="shared" si="16"/>
        <v>65.400697459443251</v>
      </c>
      <c r="AZ18" s="5">
        <f t="shared" si="16"/>
        <v>59.241080069629163</v>
      </c>
      <c r="BA18" s="5">
        <f t="shared" si="16"/>
        <v>51.683978405188284</v>
      </c>
      <c r="BB18" s="5">
        <f t="shared" si="16"/>
        <v>66.47375434130619</v>
      </c>
      <c r="BC18" s="5">
        <f t="shared" ref="BC18:BH18" si="17">20+(14.42*BC17)</f>
        <v>67.201909026395739</v>
      </c>
      <c r="BD18" s="5">
        <f t="shared" si="17"/>
        <v>50.516404523452806</v>
      </c>
      <c r="BE18" s="5">
        <f t="shared" si="17"/>
        <v>63.833182872358428</v>
      </c>
      <c r="BF18" s="5">
        <f t="shared" si="17"/>
        <v>58.660330444060072</v>
      </c>
      <c r="BG18" s="5">
        <f t="shared" si="17"/>
        <v>64.896890758813598</v>
      </c>
      <c r="BH18" s="5">
        <f t="shared" si="17"/>
        <v>58.660330444060072</v>
      </c>
    </row>
    <row r="19" spans="1:60" ht="15.5">
      <c r="A19" s="31" t="s">
        <v>29</v>
      </c>
      <c r="C19" s="2">
        <v>3.99</v>
      </c>
      <c r="D19" s="2">
        <v>11.78</v>
      </c>
      <c r="E19" s="2">
        <v>14.4</v>
      </c>
      <c r="F19" s="2">
        <v>26.4</v>
      </c>
      <c r="G19" s="2">
        <v>10.96</v>
      </c>
      <c r="H19" s="2">
        <v>23.81</v>
      </c>
      <c r="I19" s="2">
        <v>6</v>
      </c>
      <c r="J19" s="2">
        <v>2.69</v>
      </c>
      <c r="K19" s="2">
        <v>3.1</v>
      </c>
      <c r="L19" s="2">
        <v>14.6</v>
      </c>
      <c r="M19" s="2">
        <v>23.5</v>
      </c>
      <c r="N19" s="2">
        <v>20.3</v>
      </c>
      <c r="O19" s="2">
        <v>18.5</v>
      </c>
      <c r="P19" s="2">
        <v>8.5</v>
      </c>
      <c r="Q19" s="2">
        <v>15.5</v>
      </c>
      <c r="R19" s="2">
        <v>13.2</v>
      </c>
      <c r="S19" s="2">
        <v>6.5</v>
      </c>
      <c r="T19" s="2">
        <v>25.8</v>
      </c>
      <c r="U19" s="2">
        <v>23.3</v>
      </c>
      <c r="V19" s="2">
        <v>15.2</v>
      </c>
      <c r="W19" s="2">
        <v>9</v>
      </c>
      <c r="X19" s="2">
        <v>25.1</v>
      </c>
      <c r="Y19" s="2">
        <v>26.4</v>
      </c>
      <c r="Z19" s="2">
        <v>8.3000000000000007</v>
      </c>
      <c r="AA19" s="2">
        <v>20.9</v>
      </c>
      <c r="AB19" s="2">
        <v>14.6</v>
      </c>
      <c r="AC19" s="2">
        <v>22.5</v>
      </c>
      <c r="AD19" s="2">
        <v>14.6</v>
      </c>
      <c r="AE19" s="34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60" ht="15.5">
      <c r="A20" s="31" t="s">
        <v>30</v>
      </c>
      <c r="C20" s="2">
        <v>6.25</v>
      </c>
      <c r="D20" s="2">
        <v>26.18</v>
      </c>
      <c r="E20" s="2">
        <v>32</v>
      </c>
      <c r="F20" s="2">
        <v>69.5</v>
      </c>
      <c r="G20" s="2">
        <v>36.85</v>
      </c>
      <c r="H20" s="2">
        <v>91.4</v>
      </c>
      <c r="I20" s="2">
        <v>16.399999999999999</v>
      </c>
      <c r="J20" s="2">
        <v>5.8</v>
      </c>
      <c r="K20" s="2">
        <v>7.7</v>
      </c>
      <c r="L20" s="2">
        <v>95.9</v>
      </c>
      <c r="M20" s="2">
        <v>69.7</v>
      </c>
      <c r="N20" s="2">
        <v>43.7</v>
      </c>
      <c r="O20" s="2">
        <v>37.700000000000003</v>
      </c>
      <c r="P20" s="2">
        <v>15.2</v>
      </c>
      <c r="Q20" s="2">
        <v>75.5</v>
      </c>
      <c r="R20" s="2">
        <v>28.7</v>
      </c>
      <c r="S20" s="2">
        <v>20.7</v>
      </c>
      <c r="T20" s="2">
        <v>73.900000000000006</v>
      </c>
      <c r="U20" s="2">
        <v>80.400000000000006</v>
      </c>
      <c r="V20" s="2">
        <v>22.8</v>
      </c>
      <c r="W20" s="2">
        <v>17.399999999999999</v>
      </c>
      <c r="X20" s="2">
        <v>52.9</v>
      </c>
      <c r="Y20" s="2">
        <v>54.3</v>
      </c>
      <c r="Z20" s="2">
        <v>18.3</v>
      </c>
      <c r="AA20" s="2">
        <v>45.7</v>
      </c>
      <c r="AB20" s="2">
        <v>23.9</v>
      </c>
      <c r="AC20" s="2">
        <v>44.2</v>
      </c>
      <c r="AD20" s="2">
        <v>20.2</v>
      </c>
      <c r="AE20" s="34" t="s">
        <v>39</v>
      </c>
      <c r="AF20" s="5"/>
      <c r="AG20" s="5">
        <f t="shared" ref="AG20:BH20" si="18">LN(C17)</f>
        <v>5.2566095631482463</v>
      </c>
      <c r="AH20" s="5">
        <f t="shared" si="18"/>
        <v>5.2021368080740675</v>
      </c>
      <c r="AI20" s="5">
        <f t="shared" si="18"/>
        <v>5.3322355847514977</v>
      </c>
      <c r="AJ20" s="5">
        <f t="shared" si="18"/>
        <v>4.5247190615904644</v>
      </c>
      <c r="AK20" s="5">
        <f t="shared" si="18"/>
        <v>4.0673158898341812</v>
      </c>
      <c r="AL20" s="5">
        <f t="shared" si="18"/>
        <v>3.4307561839036995</v>
      </c>
      <c r="AM20" s="5">
        <f t="shared" si="18"/>
        <v>3.6635616461296463</v>
      </c>
      <c r="AN20" s="5">
        <f t="shared" si="18"/>
        <v>3.5553480614894135</v>
      </c>
      <c r="AO20" s="5">
        <f t="shared" si="18"/>
        <v>3.8372994592322094</v>
      </c>
      <c r="AP20" s="5">
        <f t="shared" si="18"/>
        <v>3.7471483622379123</v>
      </c>
      <c r="AQ20" s="5">
        <f t="shared" si="18"/>
        <v>4.1303549997451334</v>
      </c>
      <c r="AR20" s="5">
        <f t="shared" si="18"/>
        <v>3.9318256327243257</v>
      </c>
      <c r="AS20" s="5">
        <f t="shared" si="18"/>
        <v>4.133565275375382</v>
      </c>
      <c r="AT20" s="5">
        <f t="shared" si="18"/>
        <v>3.6963514689526371</v>
      </c>
      <c r="AU20" s="5">
        <f t="shared" si="18"/>
        <v>3.824284091120139</v>
      </c>
      <c r="AV20" s="5">
        <f t="shared" si="18"/>
        <v>3.2386784521643803</v>
      </c>
      <c r="AW20" s="5">
        <f t="shared" si="18"/>
        <v>3.3534067178258069</v>
      </c>
      <c r="AX20" s="5">
        <f t="shared" si="18"/>
        <v>4.1174098351530963</v>
      </c>
      <c r="AY20" s="5">
        <f t="shared" si="18"/>
        <v>3.8938590348004749</v>
      </c>
      <c r="AZ20" s="5">
        <f t="shared" si="18"/>
        <v>3.6584202466292277</v>
      </c>
      <c r="BA20" s="5">
        <f t="shared" si="18"/>
        <v>4.01096295328305</v>
      </c>
      <c r="BB20" s="5">
        <f t="shared" si="18"/>
        <v>4.5767707114663931</v>
      </c>
      <c r="BC20" s="5">
        <f t="shared" si="18"/>
        <v>4.715816706075155</v>
      </c>
      <c r="BD20" s="5">
        <f t="shared" si="18"/>
        <v>3.7999735016195233</v>
      </c>
      <c r="BE20" s="5">
        <f t="shared" si="18"/>
        <v>4.475061500641071</v>
      </c>
      <c r="BF20" s="5">
        <f t="shared" si="18"/>
        <v>4.5549289695513444</v>
      </c>
      <c r="BG20" s="5">
        <f t="shared" si="18"/>
        <v>4.1271343850450917</v>
      </c>
      <c r="BH20" s="5">
        <f t="shared" si="18"/>
        <v>4.1239033644636454</v>
      </c>
    </row>
    <row r="21" spans="1:60" ht="15.5">
      <c r="A21" s="31" t="s">
        <v>25</v>
      </c>
      <c r="C21" s="2">
        <v>2.0299999999999998</v>
      </c>
      <c r="D21" s="2">
        <v>2.12</v>
      </c>
      <c r="E21" s="2">
        <v>2.23</v>
      </c>
      <c r="F21" s="2">
        <v>1.7</v>
      </c>
      <c r="G21" s="2">
        <v>1.24</v>
      </c>
      <c r="H21" s="2">
        <v>2.5329999999999999</v>
      </c>
      <c r="I21" s="2">
        <v>1.4</v>
      </c>
      <c r="J21" s="2">
        <v>1.7</v>
      </c>
      <c r="K21" s="2">
        <v>1.8</v>
      </c>
      <c r="L21" s="2">
        <v>2.31</v>
      </c>
      <c r="M21" s="2">
        <v>2.2999999999999998</v>
      </c>
      <c r="N21" s="2">
        <v>2.7</v>
      </c>
      <c r="O21" s="2">
        <v>1.6</v>
      </c>
      <c r="P21" s="2">
        <v>2</v>
      </c>
      <c r="Q21" s="2">
        <v>1.5</v>
      </c>
      <c r="R21" s="2">
        <v>2.4</v>
      </c>
      <c r="S21" s="2">
        <v>2.5</v>
      </c>
      <c r="T21" s="2">
        <v>1.5</v>
      </c>
      <c r="U21" s="2">
        <v>1.8</v>
      </c>
      <c r="V21" s="2">
        <v>1.6</v>
      </c>
      <c r="W21" s="2">
        <v>2.2000000000000002</v>
      </c>
      <c r="X21" s="2">
        <v>1.42</v>
      </c>
      <c r="Y21" s="2">
        <v>1.1399999999999999</v>
      </c>
      <c r="Z21" s="355">
        <v>1.33</v>
      </c>
      <c r="AA21" s="355">
        <v>1.04</v>
      </c>
      <c r="AB21" s="355">
        <v>0.66</v>
      </c>
      <c r="AC21" s="355">
        <v>1.92</v>
      </c>
      <c r="AD21" s="355">
        <v>1.21</v>
      </c>
      <c r="AE21" s="34"/>
      <c r="AF21" s="5"/>
      <c r="AG21" s="5">
        <f>20.02*AG20</f>
        <v>105.23732345422789</v>
      </c>
      <c r="AH21" s="5">
        <f t="shared" ref="AH21:AV21" si="19">20.02*AH20</f>
        <v>104.14677889764283</v>
      </c>
      <c r="AI21" s="5">
        <f t="shared" si="19"/>
        <v>106.75135640672498</v>
      </c>
      <c r="AJ21" s="5">
        <f t="shared" si="19"/>
        <v>90.584875613041092</v>
      </c>
      <c r="AK21" s="5">
        <f t="shared" si="19"/>
        <v>81.427664114480308</v>
      </c>
      <c r="AL21" s="5">
        <f t="shared" si="19"/>
        <v>68.683738801752057</v>
      </c>
      <c r="AM21" s="5">
        <f t="shared" si="19"/>
        <v>73.344504155515523</v>
      </c>
      <c r="AN21" s="5">
        <f t="shared" si="19"/>
        <v>71.178068191018056</v>
      </c>
      <c r="AO21" s="5">
        <f t="shared" si="19"/>
        <v>76.822735173828832</v>
      </c>
      <c r="AP21" s="5">
        <f t="shared" si="19"/>
        <v>75.017910212003002</v>
      </c>
      <c r="AQ21" s="5">
        <f t="shared" si="19"/>
        <v>82.689707094897571</v>
      </c>
      <c r="AR21" s="5">
        <f t="shared" si="19"/>
        <v>78.715149167140993</v>
      </c>
      <c r="AS21" s="5">
        <f t="shared" si="19"/>
        <v>82.753976813015143</v>
      </c>
      <c r="AT21" s="5">
        <f t="shared" si="19"/>
        <v>74.00095640843179</v>
      </c>
      <c r="AU21" s="5">
        <f t="shared" si="19"/>
        <v>76.562167504225187</v>
      </c>
      <c r="AV21" s="5">
        <f t="shared" si="19"/>
        <v>64.838342612330891</v>
      </c>
      <c r="AW21" s="5">
        <f t="shared" ref="AW21:BB21" si="20">20.02*AW20</f>
        <v>67.135202490872658</v>
      </c>
      <c r="AX21" s="5">
        <f t="shared" si="20"/>
        <v>82.430544899764982</v>
      </c>
      <c r="AY21" s="5">
        <f t="shared" si="20"/>
        <v>77.95505787670551</v>
      </c>
      <c r="AZ21" s="5">
        <f t="shared" si="20"/>
        <v>73.241573337517138</v>
      </c>
      <c r="BA21" s="5">
        <f t="shared" si="20"/>
        <v>80.299478324726664</v>
      </c>
      <c r="BB21" s="5">
        <f t="shared" si="20"/>
        <v>91.626949643557182</v>
      </c>
      <c r="BC21" s="5">
        <f t="shared" ref="BC21:BH21" si="21">20.02*BC20</f>
        <v>94.410650455624605</v>
      </c>
      <c r="BD21" s="5">
        <f t="shared" si="21"/>
        <v>76.075469502422848</v>
      </c>
      <c r="BE21" s="5">
        <f t="shared" si="21"/>
        <v>89.590731242834238</v>
      </c>
      <c r="BF21" s="5">
        <f t="shared" si="21"/>
        <v>91.189677970417918</v>
      </c>
      <c r="BG21" s="5">
        <f t="shared" si="21"/>
        <v>82.625230388602731</v>
      </c>
      <c r="BH21" s="5">
        <f t="shared" si="21"/>
        <v>82.560545356562173</v>
      </c>
    </row>
    <row r="22" spans="1:60" ht="15.5">
      <c r="AE22" s="34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60" ht="31">
      <c r="AE23" s="34" t="s">
        <v>40</v>
      </c>
      <c r="AF23" s="5"/>
      <c r="AG23" s="5">
        <f t="shared" ref="AG23:BH23" si="22">LN(1/C21-0.08)</f>
        <v>-0.88525041247950575</v>
      </c>
      <c r="AH23" s="5">
        <f t="shared" si="22"/>
        <v>-0.93726385525443412</v>
      </c>
      <c r="AI23" s="5">
        <f t="shared" si="22"/>
        <v>-0.998503205839816</v>
      </c>
      <c r="AJ23" s="5">
        <f t="shared" si="22"/>
        <v>-0.67681076124025175</v>
      </c>
      <c r="AK23" s="5">
        <f t="shared" si="22"/>
        <v>-0.31958340121365647</v>
      </c>
      <c r="AL23" s="5">
        <f t="shared" si="22"/>
        <v>-1.1558533793424743</v>
      </c>
      <c r="AM23" s="5">
        <f t="shared" si="22"/>
        <v>-0.45525577261117983</v>
      </c>
      <c r="AN23" s="5">
        <f t="shared" si="22"/>
        <v>-0.67681076124025175</v>
      </c>
      <c r="AO23" s="5">
        <f t="shared" si="22"/>
        <v>-0.74327156774251391</v>
      </c>
      <c r="AP23" s="5">
        <f t="shared" si="22"/>
        <v>-1.0415693216073243</v>
      </c>
      <c r="AQ23" s="5">
        <f t="shared" si="22"/>
        <v>-1.0362500469531339</v>
      </c>
      <c r="AR23" s="5">
        <f t="shared" si="22"/>
        <v>-1.2365980316420127</v>
      </c>
      <c r="AS23" s="5">
        <f t="shared" si="22"/>
        <v>-0.60696948431889286</v>
      </c>
      <c r="AT23" s="5">
        <f t="shared" si="22"/>
        <v>-0.86750056770472306</v>
      </c>
      <c r="AU23" s="5">
        <f t="shared" si="22"/>
        <v>-0.53329847961804933</v>
      </c>
      <c r="AV23" s="5">
        <f t="shared" si="22"/>
        <v>-1.0886619578149417</v>
      </c>
      <c r="AW23" s="5">
        <f t="shared" si="22"/>
        <v>-1.1394342831883648</v>
      </c>
      <c r="AX23" s="5">
        <f t="shared" si="22"/>
        <v>-0.53329847961804933</v>
      </c>
      <c r="AY23" s="5">
        <f t="shared" si="22"/>
        <v>-0.74327156774251391</v>
      </c>
      <c r="AZ23" s="5">
        <f t="shared" si="22"/>
        <v>-0.60696948431889286</v>
      </c>
      <c r="BA23" s="5">
        <f t="shared" si="22"/>
        <v>-0.9820421094369356</v>
      </c>
      <c r="BB23" s="5">
        <f t="shared" si="22"/>
        <v>-0.47124383460228692</v>
      </c>
      <c r="BC23" s="5">
        <f t="shared" si="22"/>
        <v>-0.22665849342165412</v>
      </c>
      <c r="BD23" s="5">
        <f t="shared" si="22"/>
        <v>-0.39767597346080852</v>
      </c>
      <c r="BE23" s="5">
        <f t="shared" si="22"/>
        <v>-0.12608664617494328</v>
      </c>
      <c r="BF23" s="5">
        <f t="shared" si="22"/>
        <v>0.36127042910926993</v>
      </c>
      <c r="BG23" s="5">
        <f t="shared" si="22"/>
        <v>-0.81908840391779225</v>
      </c>
      <c r="BH23" s="5">
        <f t="shared" si="22"/>
        <v>-0.29243162575533443</v>
      </c>
    </row>
    <row r="24" spans="1:60" ht="15.5">
      <c r="AE24" s="34"/>
      <c r="AF24" s="5"/>
      <c r="AG24" s="5">
        <f>75.3+19.46*AG23</f>
        <v>58.073026973148814</v>
      </c>
      <c r="AH24" s="5">
        <f t="shared" ref="AH24:AV24" si="23">75.3+19.46*AH23</f>
        <v>57.060845376748709</v>
      </c>
      <c r="AI24" s="5">
        <f t="shared" si="23"/>
        <v>55.869127614357176</v>
      </c>
      <c r="AJ24" s="5">
        <f t="shared" si="23"/>
        <v>62.129262586264701</v>
      </c>
      <c r="AK24" s="5">
        <f t="shared" si="23"/>
        <v>69.080907012382241</v>
      </c>
      <c r="AL24" s="5">
        <f t="shared" si="23"/>
        <v>52.807093237995446</v>
      </c>
      <c r="AM24" s="5">
        <f t="shared" si="23"/>
        <v>66.440722664986438</v>
      </c>
      <c r="AN24" s="5">
        <f t="shared" si="23"/>
        <v>62.129262586264701</v>
      </c>
      <c r="AO24" s="5">
        <f t="shared" si="23"/>
        <v>60.835935291730678</v>
      </c>
      <c r="AP24" s="5">
        <f t="shared" si="23"/>
        <v>55.031061001521465</v>
      </c>
      <c r="AQ24" s="5">
        <f t="shared" si="23"/>
        <v>55.134574086292005</v>
      </c>
      <c r="AR24" s="5">
        <f t="shared" si="23"/>
        <v>51.235802304246434</v>
      </c>
      <c r="AS24" s="5">
        <f t="shared" si="23"/>
        <v>63.488373835154341</v>
      </c>
      <c r="AT24" s="5">
        <f t="shared" si="23"/>
        <v>58.41843895246609</v>
      </c>
      <c r="AU24" s="5">
        <f t="shared" si="23"/>
        <v>64.922011586632749</v>
      </c>
      <c r="AV24" s="5">
        <f t="shared" si="23"/>
        <v>54.114638300921229</v>
      </c>
      <c r="AW24" s="5">
        <f t="shared" ref="AW24:BB24" si="24">75.3+19.46*AW23</f>
        <v>53.126608849154415</v>
      </c>
      <c r="AX24" s="5">
        <f t="shared" si="24"/>
        <v>64.922011586632749</v>
      </c>
      <c r="AY24" s="5">
        <f t="shared" si="24"/>
        <v>60.835935291730678</v>
      </c>
      <c r="AZ24" s="5">
        <f t="shared" si="24"/>
        <v>63.488373835154341</v>
      </c>
      <c r="BA24" s="5">
        <f t="shared" si="24"/>
        <v>56.189460550357225</v>
      </c>
      <c r="BB24" s="5">
        <f t="shared" si="24"/>
        <v>66.129594978639489</v>
      </c>
      <c r="BC24" s="5">
        <f t="shared" ref="BC24:BH24" si="25">75.3+19.46*BC23</f>
        <v>70.889225718014615</v>
      </c>
      <c r="BD24" s="5">
        <f t="shared" si="25"/>
        <v>67.561225556452669</v>
      </c>
      <c r="BE24" s="5">
        <f t="shared" si="25"/>
        <v>72.846353865435603</v>
      </c>
      <c r="BF24" s="5">
        <f t="shared" si="25"/>
        <v>82.330322550466391</v>
      </c>
      <c r="BG24" s="5">
        <f t="shared" si="25"/>
        <v>59.360539659759759</v>
      </c>
      <c r="BH24" s="5">
        <f t="shared" si="25"/>
        <v>69.609280562801189</v>
      </c>
    </row>
    <row r="25" spans="1:60" ht="15.5">
      <c r="AE25" s="34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60" ht="15.5">
      <c r="AE26" s="34" t="s">
        <v>119</v>
      </c>
      <c r="AF26" s="5"/>
      <c r="AG26" s="5">
        <f t="shared" ref="AG26:BH26" si="26">LN(C18)</f>
        <v>5.4559192270515267</v>
      </c>
      <c r="AH26" s="5">
        <f t="shared" si="26"/>
        <v>4.8918517581062888</v>
      </c>
      <c r="AI26" s="5">
        <f t="shared" si="26"/>
        <v>5.2911416827989415</v>
      </c>
      <c r="AJ26" s="5">
        <f t="shared" si="26"/>
        <v>5.054333149361975</v>
      </c>
      <c r="AK26" s="5">
        <f t="shared" si="26"/>
        <v>5.6508386961617774</v>
      </c>
      <c r="AL26" s="5">
        <f t="shared" si="26"/>
        <v>5.8301213966992194</v>
      </c>
      <c r="AM26" s="5">
        <f t="shared" si="26"/>
        <v>5.7134027180331914</v>
      </c>
      <c r="AN26" s="5">
        <f t="shared" si="26"/>
        <v>5.4293456289544411</v>
      </c>
      <c r="AO26" s="5">
        <f t="shared" si="26"/>
        <v>5.3033049080590757</v>
      </c>
      <c r="AP26" s="5">
        <f t="shared" si="26"/>
        <v>5.8493247799468593</v>
      </c>
      <c r="AQ26" s="5">
        <f t="shared" si="26"/>
        <v>5.3375380797013179</v>
      </c>
      <c r="AR26" s="5">
        <f t="shared" si="26"/>
        <v>5.1416635565026603</v>
      </c>
      <c r="AS26" s="5">
        <f t="shared" si="26"/>
        <v>4.7957905455967413</v>
      </c>
      <c r="AT26" s="5">
        <f t="shared" si="26"/>
        <v>5.1647859739235145</v>
      </c>
      <c r="AU26" s="5">
        <f t="shared" si="26"/>
        <v>5.0106352940962555</v>
      </c>
      <c r="AV26" s="5">
        <f t="shared" si="26"/>
        <v>2.4849066497880004</v>
      </c>
      <c r="AW26" s="5">
        <f t="shared" si="26"/>
        <v>4.9767337424205742</v>
      </c>
      <c r="AX26" s="5">
        <f t="shared" si="26"/>
        <v>4.3694478524670215</v>
      </c>
      <c r="AY26" s="5">
        <f t="shared" si="26"/>
        <v>5.1929568508902104</v>
      </c>
      <c r="AZ26" s="5">
        <f t="shared" si="26"/>
        <v>4.7184988712950942</v>
      </c>
      <c r="BA26" s="5">
        <f t="shared" si="26"/>
        <v>4.7095302013123339</v>
      </c>
      <c r="BB26" s="5">
        <f t="shared" si="26"/>
        <v>3.4657359027997265</v>
      </c>
      <c r="BC26" s="5">
        <f t="shared" si="26"/>
        <v>4.6347289882296359</v>
      </c>
      <c r="BD26" s="5">
        <f t="shared" si="26"/>
        <v>5.1474944768134527</v>
      </c>
      <c r="BE26" s="5">
        <f t="shared" si="26"/>
        <v>4.9972122737641147</v>
      </c>
      <c r="BF26" s="5">
        <f t="shared" si="26"/>
        <v>6.5072777123850116</v>
      </c>
      <c r="BG26" s="5">
        <f t="shared" si="26"/>
        <v>6.5057840601282289</v>
      </c>
      <c r="BH26" s="5">
        <f t="shared" si="26"/>
        <v>6.5861716548546747</v>
      </c>
    </row>
    <row r="27" spans="1:60" ht="15.5">
      <c r="AE27" s="34"/>
      <c r="AF27" s="5"/>
      <c r="AG27" s="5">
        <f>20.02*AG26</f>
        <v>109.22750292557156</v>
      </c>
      <c r="AH27" s="5">
        <f t="shared" ref="AH27:AV27" si="27">20.02*AH26</f>
        <v>97.934872197287902</v>
      </c>
      <c r="AI27" s="5">
        <f t="shared" si="27"/>
        <v>105.9286564896348</v>
      </c>
      <c r="AJ27" s="5">
        <f t="shared" si="27"/>
        <v>101.18774965022673</v>
      </c>
      <c r="AK27" s="5">
        <f t="shared" si="27"/>
        <v>113.12979069715878</v>
      </c>
      <c r="AL27" s="5">
        <f t="shared" si="27"/>
        <v>116.71903036191837</v>
      </c>
      <c r="AM27" s="5">
        <f t="shared" si="27"/>
        <v>114.38232241502449</v>
      </c>
      <c r="AN27" s="5">
        <f t="shared" si="27"/>
        <v>108.6954994916679</v>
      </c>
      <c r="AO27" s="5">
        <f t="shared" si="27"/>
        <v>106.17216425934269</v>
      </c>
      <c r="AP27" s="5">
        <f t="shared" si="27"/>
        <v>117.10348209453612</v>
      </c>
      <c r="AQ27" s="5">
        <f t="shared" si="27"/>
        <v>106.85751235562039</v>
      </c>
      <c r="AR27" s="5">
        <f t="shared" si="27"/>
        <v>102.93610440118326</v>
      </c>
      <c r="AS27" s="5">
        <f t="shared" si="27"/>
        <v>96.01172672284676</v>
      </c>
      <c r="AT27" s="5">
        <f t="shared" si="27"/>
        <v>103.39901519794876</v>
      </c>
      <c r="AU27" s="5">
        <f t="shared" si="27"/>
        <v>100.31291858780703</v>
      </c>
      <c r="AV27" s="5">
        <f t="shared" si="27"/>
        <v>49.747831128755763</v>
      </c>
      <c r="AW27" s="5">
        <f t="shared" ref="AW27:BB27" si="28">20.02*AW26</f>
        <v>99.634209523259898</v>
      </c>
      <c r="AX27" s="5">
        <f t="shared" si="28"/>
        <v>87.476346006389775</v>
      </c>
      <c r="AY27" s="5">
        <f t="shared" si="28"/>
        <v>103.96299615482201</v>
      </c>
      <c r="AZ27" s="5">
        <f t="shared" si="28"/>
        <v>94.464347403327778</v>
      </c>
      <c r="BA27" s="5">
        <f t="shared" si="28"/>
        <v>94.284794630272927</v>
      </c>
      <c r="BB27" s="5">
        <f t="shared" si="28"/>
        <v>69.384032774050524</v>
      </c>
      <c r="BC27" s="5">
        <f t="shared" ref="BC27:BH27" si="29">20.02*BC26</f>
        <v>92.787274344357314</v>
      </c>
      <c r="BD27" s="5">
        <f t="shared" si="29"/>
        <v>103.05283942580532</v>
      </c>
      <c r="BE27" s="5">
        <f t="shared" si="29"/>
        <v>100.04418972075757</v>
      </c>
      <c r="BF27" s="5">
        <f t="shared" si="29"/>
        <v>130.27569980194792</v>
      </c>
      <c r="BG27" s="5">
        <f t="shared" si="29"/>
        <v>130.24579688376713</v>
      </c>
      <c r="BH27" s="5">
        <f t="shared" si="29"/>
        <v>131.85515653019058</v>
      </c>
    </row>
    <row r="28" spans="1:60" ht="15.5">
      <c r="AE28" s="34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60" ht="15.5">
      <c r="AE29" s="34" t="s">
        <v>41</v>
      </c>
      <c r="AF29" s="5"/>
      <c r="AG29" s="2">
        <f t="shared" ref="AG29:BE29" si="30">AVERAGE(AG27,AG24,AG21,AG18)</f>
        <v>78.123030725637946</v>
      </c>
      <c r="AH29" s="2">
        <f t="shared" si="30"/>
        <v>78.677007575415374</v>
      </c>
      <c r="AI29" s="2">
        <f t="shared" si="30"/>
        <v>81.752642812407174</v>
      </c>
      <c r="AJ29" s="2">
        <f t="shared" si="30"/>
        <v>80.275949218982078</v>
      </c>
      <c r="AK29" s="2">
        <f t="shared" si="30"/>
        <v>79.540869930884469</v>
      </c>
      <c r="AL29" s="2">
        <f t="shared" si="30"/>
        <v>75.980696506514533</v>
      </c>
      <c r="AM29" s="2">
        <f t="shared" si="30"/>
        <v>75.001180195448754</v>
      </c>
      <c r="AN29" s="2">
        <f t="shared" si="30"/>
        <v>69.068003570215225</v>
      </c>
      <c r="AO29" s="2">
        <f t="shared" si="30"/>
        <v>70.036413293150972</v>
      </c>
      <c r="AP29" s="2">
        <f t="shared" si="30"/>
        <v>76.453195938030177</v>
      </c>
      <c r="AQ29" s="2">
        <f t="shared" si="30"/>
        <v>77.551434902448648</v>
      </c>
      <c r="AR29" s="2">
        <f t="shared" si="30"/>
        <v>74.075052262344784</v>
      </c>
      <c r="AS29" s="2">
        <f t="shared" si="30"/>
        <v>76.082082831917887</v>
      </c>
      <c r="AT29" s="2">
        <f t="shared" si="30"/>
        <v>71.66954115911571</v>
      </c>
      <c r="AU29" s="2">
        <f t="shared" si="30"/>
        <v>75.330002705916598</v>
      </c>
      <c r="AV29" s="2">
        <f t="shared" si="30"/>
        <v>56.476884681182305</v>
      </c>
      <c r="AW29" s="2">
        <f t="shared" si="30"/>
        <v>66.721852063551978</v>
      </c>
      <c r="AX29" s="2">
        <f t="shared" si="30"/>
        <v>75.42482566659578</v>
      </c>
      <c r="AY29" s="2">
        <f t="shared" si="30"/>
        <v>77.038671695675362</v>
      </c>
      <c r="AZ29" s="2">
        <f t="shared" si="30"/>
        <v>72.608843661407107</v>
      </c>
      <c r="BA29" s="2">
        <f t="shared" si="30"/>
        <v>70.614427977636282</v>
      </c>
      <c r="BB29" s="2">
        <f t="shared" si="30"/>
        <v>73.403582934388339</v>
      </c>
      <c r="BC29" s="2">
        <f t="shared" si="30"/>
        <v>81.322264886098068</v>
      </c>
      <c r="BD29" s="2">
        <f t="shared" si="30"/>
        <v>74.301484752033417</v>
      </c>
      <c r="BE29" s="2">
        <f t="shared" si="30"/>
        <v>81.578614425346458</v>
      </c>
      <c r="BF29" s="2">
        <f>AVERAGE(BF24,BF21,BF18)</f>
        <v>77.393443654981454</v>
      </c>
      <c r="BG29" s="2">
        <f>AVERAGE(BG24,BG21,BG18)</f>
        <v>68.960886935725355</v>
      </c>
      <c r="BH29" s="2">
        <f>AVERAGE(BH24,BH21,BH18)</f>
        <v>70.276718787807809</v>
      </c>
    </row>
    <row r="30" spans="1:60">
      <c r="AE30" s="31"/>
      <c r="AF30" s="5"/>
      <c r="AG30" s="2934" t="s">
        <v>96</v>
      </c>
      <c r="AH30" s="2934"/>
      <c r="AI30" s="2934"/>
      <c r="AJ30" s="2934"/>
      <c r="AK30" s="2934"/>
      <c r="AL30" s="2934" t="s">
        <v>95</v>
      </c>
      <c r="AM30" s="2934"/>
      <c r="AN30" s="2934"/>
      <c r="AO30" s="2934"/>
      <c r="AP30" s="2934"/>
      <c r="AQ30" s="2934"/>
      <c r="AR30" s="2934"/>
      <c r="AS30" s="2934"/>
      <c r="AT30" s="2934"/>
      <c r="AU30" s="2934"/>
      <c r="AV30" s="2934" t="s">
        <v>97</v>
      </c>
      <c r="AW30" s="2934"/>
      <c r="AX30" s="2934" t="s">
        <v>95</v>
      </c>
      <c r="AY30" s="2934"/>
      <c r="AZ30" s="2934"/>
      <c r="BA30" s="2934"/>
      <c r="BB30" s="2934"/>
      <c r="BC30" s="2934" t="s">
        <v>96</v>
      </c>
      <c r="BD30" s="2934"/>
      <c r="BE30" s="2934"/>
      <c r="BF30" s="2934"/>
      <c r="BG30" s="2934" t="s">
        <v>95</v>
      </c>
      <c r="BH30" s="2934"/>
    </row>
    <row r="31" spans="1:60">
      <c r="AF31" s="5"/>
      <c r="AG31" s="36">
        <v>1991</v>
      </c>
      <c r="AH31" s="36">
        <v>1992</v>
      </c>
      <c r="AI31" s="36">
        <v>1993</v>
      </c>
      <c r="AJ31" s="36">
        <v>1994</v>
      </c>
      <c r="AK31" s="36">
        <v>1995</v>
      </c>
      <c r="AL31" s="36">
        <v>1996</v>
      </c>
      <c r="AM31" s="36">
        <v>1997</v>
      </c>
      <c r="AN31" s="36">
        <v>1998</v>
      </c>
      <c r="AO31" s="36">
        <v>1999</v>
      </c>
      <c r="AP31" s="36">
        <v>2000</v>
      </c>
      <c r="AQ31" s="36">
        <v>2001</v>
      </c>
      <c r="AR31" s="36">
        <v>2002</v>
      </c>
      <c r="AS31" s="36">
        <v>2003</v>
      </c>
      <c r="AT31" s="36">
        <v>2004</v>
      </c>
      <c r="AU31" s="36">
        <v>2005</v>
      </c>
      <c r="AV31" s="36">
        <v>2006</v>
      </c>
      <c r="AW31" s="36">
        <v>2007</v>
      </c>
      <c r="AX31" s="36">
        <v>2008</v>
      </c>
      <c r="AY31" s="36">
        <v>2009</v>
      </c>
      <c r="AZ31" s="36">
        <v>2010</v>
      </c>
      <c r="BA31" s="36">
        <v>2011</v>
      </c>
      <c r="BB31" s="36">
        <v>2012</v>
      </c>
      <c r="BC31" s="36">
        <v>2013</v>
      </c>
      <c r="BD31" s="36">
        <v>2014</v>
      </c>
      <c r="BE31" s="36">
        <v>2015</v>
      </c>
      <c r="BF31" s="36">
        <v>2016</v>
      </c>
      <c r="BG31" s="36">
        <v>2017</v>
      </c>
      <c r="BH31" s="36">
        <v>2018</v>
      </c>
    </row>
    <row r="52" spans="1:7" ht="26">
      <c r="A52" s="2933" t="s">
        <v>132</v>
      </c>
      <c r="B52" s="2933"/>
      <c r="C52" s="2933"/>
      <c r="D52" s="2933"/>
      <c r="E52" s="2933"/>
      <c r="G52" s="354" t="s">
        <v>106</v>
      </c>
    </row>
    <row r="53" spans="1:7" ht="39">
      <c r="A53" s="1" t="s">
        <v>54</v>
      </c>
      <c r="B53" s="2936" t="s">
        <v>98</v>
      </c>
      <c r="C53" s="2936"/>
      <c r="D53" s="2936"/>
      <c r="E53" s="2936"/>
      <c r="G53" s="354" t="s">
        <v>64</v>
      </c>
    </row>
    <row r="54" spans="1:7">
      <c r="A54" s="1" t="s">
        <v>55</v>
      </c>
      <c r="B54" s="2936" t="s">
        <v>56</v>
      </c>
      <c r="C54" s="2936"/>
      <c r="D54" s="2936"/>
      <c r="E54" s="2936"/>
      <c r="G54" s="354" t="s">
        <v>104</v>
      </c>
    </row>
    <row r="55" spans="1:7" ht="26">
      <c r="A55" s="1" t="s">
        <v>93</v>
      </c>
      <c r="B55" s="2936" t="s">
        <v>94</v>
      </c>
      <c r="C55" s="2936"/>
      <c r="D55" s="2936"/>
      <c r="E55" s="2936"/>
      <c r="G55" s="354" t="s">
        <v>105</v>
      </c>
    </row>
    <row r="56" spans="1:7">
      <c r="A56" s="1" t="s">
        <v>57</v>
      </c>
      <c r="B56" s="2936" t="s">
        <v>58</v>
      </c>
      <c r="C56" s="2936"/>
      <c r="D56" s="2936"/>
      <c r="E56" s="2936"/>
    </row>
    <row r="57" spans="1:7">
      <c r="A57" s="1" t="s">
        <v>91</v>
      </c>
      <c r="B57" s="2936" t="s">
        <v>92</v>
      </c>
      <c r="C57" s="2936"/>
      <c r="D57" s="2936"/>
      <c r="E57" s="2936"/>
    </row>
    <row r="58" spans="1:7">
      <c r="A58" s="1" t="s">
        <v>59</v>
      </c>
      <c r="B58" s="2936" t="s">
        <v>60</v>
      </c>
      <c r="C58" s="2936"/>
      <c r="D58" s="2936"/>
      <c r="E58" s="2936"/>
    </row>
    <row r="59" spans="1:7">
      <c r="A59" s="1" t="s">
        <v>78</v>
      </c>
      <c r="B59" s="2936" t="s">
        <v>79</v>
      </c>
      <c r="C59" s="2936"/>
      <c r="D59" s="2936"/>
      <c r="E59" s="2936"/>
    </row>
    <row r="60" spans="1:7">
      <c r="A60" s="2933" t="s">
        <v>61</v>
      </c>
      <c r="B60" s="2933"/>
      <c r="C60" s="2933"/>
      <c r="D60" s="2933"/>
      <c r="E60" s="2933"/>
    </row>
    <row r="61" spans="1:7" ht="65">
      <c r="A61" s="1" t="s">
        <v>62</v>
      </c>
      <c r="B61" s="1" t="s">
        <v>58</v>
      </c>
    </row>
    <row r="88" spans="1:1">
      <c r="A88" s="14"/>
    </row>
    <row r="89" spans="1:1">
      <c r="A89" s="14"/>
    </row>
    <row r="90" spans="1:1">
      <c r="A90" s="14"/>
    </row>
  </sheetData>
  <mergeCells count="19">
    <mergeCell ref="BG30:BH30"/>
    <mergeCell ref="AV30:AW30"/>
    <mergeCell ref="AX30:BB30"/>
    <mergeCell ref="BC30:BF30"/>
    <mergeCell ref="B53:E53"/>
    <mergeCell ref="AE1:AR1"/>
    <mergeCell ref="A2:N2"/>
    <mergeCell ref="A15:N15"/>
    <mergeCell ref="AE15:AR15"/>
    <mergeCell ref="A52:E52"/>
    <mergeCell ref="AL30:AU30"/>
    <mergeCell ref="AG30:AK30"/>
    <mergeCell ref="B54:E54"/>
    <mergeCell ref="B55:E55"/>
    <mergeCell ref="A60:E60"/>
    <mergeCell ref="B56:E56"/>
    <mergeCell ref="B57:E57"/>
    <mergeCell ref="B58:E58"/>
    <mergeCell ref="B59:E59"/>
  </mergeCells>
  <phoneticPr fontId="10" type="noConversion"/>
  <pageMargins left="0.75" right="0.75" top="1" bottom="1" header="0.5" footer="0.5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BW397"/>
  <sheetViews>
    <sheetView topLeftCell="A19" zoomScaleNormal="100" workbookViewId="0">
      <selection activeCell="P24" sqref="P24"/>
    </sheetView>
  </sheetViews>
  <sheetFormatPr defaultRowHeight="14"/>
  <cols>
    <col min="1" max="1" width="19.26953125" style="913" bestFit="1" customWidth="1"/>
    <col min="2" max="2" width="11.36328125" style="910" bestFit="1" customWidth="1"/>
    <col min="3" max="3" width="10.1796875" style="910" bestFit="1" customWidth="1"/>
    <col min="4" max="4" width="7" style="910" bestFit="1" customWidth="1"/>
    <col min="5" max="5" width="7.90625" style="910" bestFit="1" customWidth="1"/>
    <col min="6" max="6" width="10.81640625" style="910" bestFit="1" customWidth="1"/>
    <col min="7" max="7" width="6.90625" style="910" bestFit="1" customWidth="1"/>
    <col min="8" max="8" width="8.36328125" style="910" bestFit="1" customWidth="1"/>
    <col min="9" max="9" width="7" style="910" bestFit="1" customWidth="1"/>
    <col min="10" max="12" width="7.08984375" style="910" bestFit="1" customWidth="1"/>
    <col min="13" max="13" width="7" style="910" bestFit="1" customWidth="1"/>
    <col min="14" max="14" width="13.90625" style="910" customWidth="1"/>
    <col min="15" max="15" width="13.08984375" style="910" customWidth="1"/>
    <col min="16" max="16" width="11.90625" style="910" customWidth="1"/>
    <col min="17" max="17" width="10.6328125" style="910" customWidth="1"/>
    <col min="18" max="18" width="10.453125" style="910" customWidth="1"/>
    <col min="19" max="19" width="10.36328125" style="910" customWidth="1"/>
    <col min="20" max="20" width="11.453125" style="910" customWidth="1"/>
    <col min="21" max="21" width="9.6328125" style="910" customWidth="1"/>
    <col min="22" max="22" width="10.90625" style="910" customWidth="1"/>
    <col min="23" max="23" width="9.90625" style="910" customWidth="1"/>
    <col min="24" max="24" width="17" style="910" customWidth="1"/>
    <col min="25" max="25" width="10.90625" style="910" customWidth="1"/>
    <col min="26" max="26" width="11.08984375" style="910" customWidth="1"/>
    <col min="27" max="27" width="11.453125" style="910" customWidth="1"/>
    <col min="28" max="28" width="12" style="910" customWidth="1"/>
    <col min="29" max="29" width="10.453125" style="910" customWidth="1"/>
    <col min="30" max="30" width="12.08984375" style="910" customWidth="1"/>
    <col min="31" max="31" width="11.6328125" style="910" customWidth="1"/>
    <col min="32" max="32" width="11.7265625" style="910" bestFit="1" customWidth="1"/>
    <col min="33" max="34" width="8.7265625" style="910"/>
    <col min="35" max="35" width="9.453125" style="910" customWidth="1"/>
    <col min="36" max="36" width="8.7265625" style="910"/>
    <col min="37" max="37" width="8.453125" style="910" customWidth="1"/>
    <col min="38" max="39" width="8.7265625" style="910"/>
    <col min="40" max="40" width="10.6328125" style="911" bestFit="1" customWidth="1"/>
    <col min="41" max="42" width="8.90625" style="911"/>
    <col min="43" max="44" width="9.453125" style="911" bestFit="1" customWidth="1"/>
    <col min="45" max="47" width="8.90625" style="911"/>
    <col min="48" max="48" width="8.7265625" style="910"/>
    <col min="49" max="49" width="11.7265625" style="912" bestFit="1" customWidth="1"/>
    <col min="50" max="50" width="10.54296875" style="910" bestFit="1" customWidth="1"/>
    <col min="51" max="60" width="8.7265625" style="910"/>
    <col min="61" max="61" width="9" style="910" bestFit="1" customWidth="1"/>
    <col min="62" max="62" width="8.7265625" style="910"/>
    <col min="63" max="63" width="9.36328125" style="910" bestFit="1" customWidth="1"/>
    <col min="64" max="16384" width="8.7265625" style="910"/>
  </cols>
  <sheetData>
    <row r="1" spans="1:75" ht="14.5" thickBot="1">
      <c r="A1" s="2942" t="s">
        <v>237</v>
      </c>
      <c r="B1" s="2942"/>
      <c r="C1" s="2942"/>
      <c r="D1" s="2942"/>
      <c r="E1" s="2942"/>
      <c r="F1" s="2942"/>
      <c r="G1" s="2942"/>
      <c r="H1" s="2942"/>
      <c r="I1" s="2942"/>
      <c r="J1" s="2942"/>
      <c r="K1" s="2942"/>
      <c r="L1" s="2942"/>
      <c r="M1" s="2942"/>
      <c r="N1" s="2942"/>
      <c r="O1" s="2942"/>
      <c r="P1" s="2942"/>
    </row>
    <row r="2" spans="1:75" ht="15" customHeight="1" thickBot="1">
      <c r="B2" s="2952" t="s">
        <v>155</v>
      </c>
      <c r="C2" s="2952"/>
      <c r="AG2" s="914" t="s">
        <v>475</v>
      </c>
      <c r="AH2" s="914" t="s">
        <v>881</v>
      </c>
      <c r="AI2" s="914" t="s">
        <v>462</v>
      </c>
      <c r="AJ2" s="914" t="s">
        <v>580</v>
      </c>
      <c r="AK2" s="914"/>
      <c r="AL2" s="914" t="s">
        <v>882</v>
      </c>
      <c r="AM2" s="914" t="s">
        <v>476</v>
      </c>
      <c r="AW2" s="1609" t="s">
        <v>1349</v>
      </c>
      <c r="AX2" s="1610" t="s">
        <v>1360</v>
      </c>
      <c r="AY2" s="744" t="s">
        <v>1733</v>
      </c>
      <c r="BJ2" s="910">
        <v>45</v>
      </c>
    </row>
    <row r="3" spans="1:75" ht="28.5" thickBot="1">
      <c r="A3" s="915" t="s">
        <v>2</v>
      </c>
      <c r="B3" s="916" t="s">
        <v>65</v>
      </c>
      <c r="C3" s="916" t="s">
        <v>66</v>
      </c>
      <c r="D3" s="916" t="s">
        <v>67</v>
      </c>
      <c r="E3" s="916" t="s">
        <v>68</v>
      </c>
      <c r="F3" s="916" t="s">
        <v>69</v>
      </c>
      <c r="G3" s="916" t="s">
        <v>70</v>
      </c>
      <c r="H3" s="916" t="s">
        <v>71</v>
      </c>
      <c r="I3" s="916" t="s">
        <v>72</v>
      </c>
      <c r="J3" s="916" t="s">
        <v>73</v>
      </c>
      <c r="K3" s="916" t="s">
        <v>74</v>
      </c>
      <c r="L3" s="916" t="s">
        <v>75</v>
      </c>
      <c r="M3" s="916" t="s">
        <v>76</v>
      </c>
      <c r="N3" s="911"/>
      <c r="O3" s="911"/>
      <c r="P3" s="911"/>
      <c r="Q3" s="911"/>
      <c r="T3" s="910" t="s">
        <v>151</v>
      </c>
      <c r="U3" s="910" t="s">
        <v>152</v>
      </c>
      <c r="V3" s="910" t="s">
        <v>153</v>
      </c>
      <c r="W3" s="910" t="s">
        <v>154</v>
      </c>
      <c r="X3" s="910" t="s">
        <v>307</v>
      </c>
      <c r="AF3" s="917" t="s">
        <v>133</v>
      </c>
      <c r="AG3" s="918" t="s">
        <v>725</v>
      </c>
      <c r="AH3" s="918" t="s">
        <v>724</v>
      </c>
      <c r="AI3" s="918" t="s">
        <v>726</v>
      </c>
      <c r="AJ3" s="918" t="s">
        <v>727</v>
      </c>
      <c r="AK3" s="918" t="s">
        <v>728</v>
      </c>
      <c r="AL3" s="918" t="s">
        <v>729</v>
      </c>
      <c r="AM3" s="918" t="s">
        <v>730</v>
      </c>
      <c r="AN3" s="917" t="s">
        <v>750</v>
      </c>
      <c r="AO3" s="918" t="s">
        <v>751</v>
      </c>
      <c r="AP3" s="918" t="s">
        <v>752</v>
      </c>
      <c r="AQ3" s="918" t="s">
        <v>753</v>
      </c>
      <c r="AR3" s="918" t="s">
        <v>754</v>
      </c>
      <c r="AS3" s="918" t="s">
        <v>755</v>
      </c>
      <c r="AT3" s="918" t="s">
        <v>756</v>
      </c>
      <c r="AU3" s="918" t="s">
        <v>757</v>
      </c>
      <c r="AW3" s="2754">
        <v>43101</v>
      </c>
      <c r="AX3" s="1007">
        <v>1860</v>
      </c>
      <c r="AY3" s="1008">
        <v>107</v>
      </c>
      <c r="BI3" s="1603" t="s">
        <v>1349</v>
      </c>
      <c r="BJ3" s="1604" t="s">
        <v>1350</v>
      </c>
    </row>
    <row r="4" spans="1:75" s="927" customFormat="1" ht="14.5">
      <c r="A4" s="920" t="s">
        <v>907</v>
      </c>
      <c r="B4" s="2763">
        <v>10.3</v>
      </c>
      <c r="C4" s="2763">
        <v>13.2</v>
      </c>
      <c r="D4" s="2763">
        <v>13.9</v>
      </c>
      <c r="E4" s="2763">
        <v>13.9</v>
      </c>
      <c r="F4" s="2763">
        <v>26</v>
      </c>
      <c r="G4" s="2763">
        <v>17.899999999999999</v>
      </c>
      <c r="H4" s="2763">
        <v>13</v>
      </c>
      <c r="I4" s="2763">
        <v>9.0399999999999991</v>
      </c>
      <c r="J4" s="2763">
        <v>10.7</v>
      </c>
      <c r="K4" s="795">
        <v>11</v>
      </c>
      <c r="L4" s="795">
        <v>12.2</v>
      </c>
      <c r="M4" s="795">
        <v>9</v>
      </c>
      <c r="N4" s="921"/>
      <c r="O4" s="1607">
        <v>10.915806451612903</v>
      </c>
      <c r="P4" s="6" t="s">
        <v>1351</v>
      </c>
      <c r="Q4" s="922"/>
      <c r="R4" s="923"/>
      <c r="S4" s="923"/>
      <c r="T4" s="924">
        <v>2</v>
      </c>
      <c r="U4" s="150">
        <v>0.6</v>
      </c>
      <c r="V4" s="925">
        <v>0.35</v>
      </c>
      <c r="W4" s="925">
        <f>U4*4</f>
        <v>2.4</v>
      </c>
      <c r="X4" s="926">
        <f>V4*W4</f>
        <v>0.84</v>
      </c>
      <c r="Z4" s="925">
        <v>1</v>
      </c>
      <c r="AA4" s="926">
        <v>0.34100000000000003</v>
      </c>
      <c r="AF4" s="928"/>
      <c r="AG4" s="928" t="s">
        <v>731</v>
      </c>
      <c r="AH4" s="928" t="s">
        <v>731</v>
      </c>
      <c r="AI4" s="928" t="s">
        <v>731</v>
      </c>
      <c r="AJ4" s="928" t="s">
        <v>731</v>
      </c>
      <c r="AK4" s="928" t="s">
        <v>732</v>
      </c>
      <c r="AL4" s="928" t="s">
        <v>733</v>
      </c>
      <c r="AM4" s="928" t="s">
        <v>731</v>
      </c>
      <c r="AN4" s="929" t="s">
        <v>65</v>
      </c>
      <c r="AO4" s="930" t="e">
        <f>AVERAGE(AH5:AH35)</f>
        <v>#DIV/0!</v>
      </c>
      <c r="AP4" s="930" t="e">
        <f>AVERAGE(AG5:AG35)</f>
        <v>#DIV/0!</v>
      </c>
      <c r="AQ4" s="930" t="e">
        <f>AVERAGE(AI5:AI35)</f>
        <v>#DIV/0!</v>
      </c>
      <c r="AR4" s="930" t="e">
        <f>AVERAGE(AJ5:AJ35)</f>
        <v>#DIV/0!</v>
      </c>
      <c r="AS4" s="930" t="e">
        <f>AVERAGE(AK5:AK35)</f>
        <v>#DIV/0!</v>
      </c>
      <c r="AT4" s="930" t="e">
        <f>AVERAGE(AL5:AL35)</f>
        <v>#DIV/0!</v>
      </c>
      <c r="AU4" s="930" t="e">
        <f>AVERAGE(AM5:AM35)</f>
        <v>#DIV/0!</v>
      </c>
      <c r="AW4" s="2755">
        <v>43102</v>
      </c>
      <c r="AX4" s="1011">
        <v>1861</v>
      </c>
      <c r="AY4" s="919">
        <v>107</v>
      </c>
      <c r="BI4" s="1006">
        <v>43101</v>
      </c>
      <c r="BJ4" s="1008">
        <v>9.76</v>
      </c>
      <c r="BK4" s="1607">
        <f>AVERAGE(BJ4:BJ34)</f>
        <v>10.915806451612903</v>
      </c>
      <c r="BL4" s="6" t="s">
        <v>1351</v>
      </c>
      <c r="BM4" s="2938" t="s">
        <v>1758</v>
      </c>
      <c r="BN4" s="2757" t="s">
        <v>68</v>
      </c>
      <c r="BO4" s="2757" t="s">
        <v>69</v>
      </c>
      <c r="BP4" s="2757" t="s">
        <v>70</v>
      </c>
      <c r="BQ4" s="2757" t="s">
        <v>71</v>
      </c>
      <c r="BR4" s="2757" t="s">
        <v>72</v>
      </c>
      <c r="BS4" s="2757" t="s">
        <v>73</v>
      </c>
      <c r="BT4" s="2757" t="s">
        <v>74</v>
      </c>
      <c r="BU4" s="2757" t="s">
        <v>75</v>
      </c>
      <c r="BV4" s="2757" t="s">
        <v>76</v>
      </c>
      <c r="BW4" s="2757" t="s">
        <v>65</v>
      </c>
    </row>
    <row r="5" spans="1:75" s="936" customFormat="1" ht="14.5">
      <c r="A5" s="931" t="s">
        <v>17</v>
      </c>
      <c r="B5" s="795">
        <v>1.4</v>
      </c>
      <c r="C5" s="795">
        <v>2.2000000000000002</v>
      </c>
      <c r="D5" s="795">
        <v>1.8</v>
      </c>
      <c r="E5" s="795">
        <v>1.3</v>
      </c>
      <c r="F5" s="795">
        <v>3.7</v>
      </c>
      <c r="G5" s="795">
        <v>1.5</v>
      </c>
      <c r="H5" s="795">
        <v>3.1</v>
      </c>
      <c r="I5" s="795">
        <v>1.1000000000000001</v>
      </c>
      <c r="J5" s="795">
        <v>2.2000000000000002</v>
      </c>
      <c r="K5" s="795">
        <v>0.9</v>
      </c>
      <c r="L5" s="795">
        <v>2.2000000000000002</v>
      </c>
      <c r="M5" s="795">
        <v>1.2</v>
      </c>
      <c r="N5" s="911"/>
      <c r="O5" s="1608">
        <v>10.420714285714286</v>
      </c>
      <c r="P5" s="6" t="s">
        <v>1352</v>
      </c>
      <c r="Q5" s="932"/>
      <c r="R5" s="933"/>
      <c r="S5" s="933"/>
      <c r="T5" s="934">
        <v>4</v>
      </c>
      <c r="U5" s="935">
        <v>0.62</v>
      </c>
      <c r="V5" s="935">
        <v>0.5</v>
      </c>
      <c r="W5" s="925">
        <f t="shared" ref="W5:W6" si="0">U5*4</f>
        <v>2.48</v>
      </c>
      <c r="X5" s="926">
        <f>V5*W5</f>
        <v>1.24</v>
      </c>
      <c r="Z5" s="935">
        <v>2</v>
      </c>
      <c r="AA5" s="936">
        <v>0.69</v>
      </c>
      <c r="AF5" s="937">
        <v>42736</v>
      </c>
      <c r="AG5" s="938"/>
      <c r="AH5" s="938"/>
      <c r="AI5" s="939"/>
      <c r="AJ5" s="939"/>
      <c r="AK5" s="939"/>
      <c r="AL5" s="939"/>
      <c r="AM5" s="939"/>
      <c r="AN5" s="940" t="s">
        <v>66</v>
      </c>
      <c r="AO5" s="930" t="e">
        <f>AVERAGE(AH36:AH64)</f>
        <v>#DIV/0!</v>
      </c>
      <c r="AP5" s="930" t="e">
        <f>AVERAGE(AH36:AH64)</f>
        <v>#DIV/0!</v>
      </c>
      <c r="AQ5" s="930" t="e">
        <f>AVERAGE(AI36:AI53)</f>
        <v>#DIV/0!</v>
      </c>
      <c r="AR5" s="930" t="e">
        <f>AVERAGE(AJ36:AJ53)</f>
        <v>#DIV/0!</v>
      </c>
      <c r="AS5" s="930" t="e">
        <f>AVERAGE(AK36:AK53)</f>
        <v>#DIV/0!</v>
      </c>
      <c r="AT5" s="930" t="e">
        <f>AVERAGE(AL36:AL53)</f>
        <v>#DIV/0!</v>
      </c>
      <c r="AU5" s="930" t="e">
        <f>AVERAGE(AM36:AM53)</f>
        <v>#DIV/0!</v>
      </c>
      <c r="AW5" s="2755">
        <v>43103</v>
      </c>
      <c r="AX5" s="1011">
        <v>1860</v>
      </c>
      <c r="AY5" s="919">
        <v>107</v>
      </c>
      <c r="BI5" s="1010">
        <v>43102</v>
      </c>
      <c r="BJ5" s="919">
        <v>9.6199999999999992</v>
      </c>
      <c r="BK5" s="1608">
        <f>AVERAGE(BJ35:BJ62)</f>
        <v>10.420714285714286</v>
      </c>
      <c r="BL5" s="6" t="s">
        <v>1352</v>
      </c>
      <c r="BM5" s="2939"/>
      <c r="BN5" s="2758">
        <v>2018</v>
      </c>
      <c r="BO5" s="2758">
        <v>2018</v>
      </c>
      <c r="BP5" s="2758">
        <v>2018</v>
      </c>
      <c r="BQ5" s="2758">
        <v>2018</v>
      </c>
      <c r="BR5" s="2758">
        <v>2018</v>
      </c>
      <c r="BS5" s="2758">
        <v>2018</v>
      </c>
      <c r="BT5" s="2758">
        <v>2018</v>
      </c>
      <c r="BU5" s="2758">
        <v>2018</v>
      </c>
      <c r="BV5" s="2758">
        <v>2018</v>
      </c>
      <c r="BW5" s="2758">
        <v>2019</v>
      </c>
    </row>
    <row r="6" spans="1:75" s="936" customFormat="1" ht="15.5">
      <c r="A6" s="931" t="s">
        <v>18</v>
      </c>
      <c r="B6" s="795">
        <v>10.3</v>
      </c>
      <c r="C6" s="795">
        <v>8.9</v>
      </c>
      <c r="D6" s="795">
        <v>4.0999999999999996</v>
      </c>
      <c r="E6" s="2763">
        <v>5.5938461538461537</v>
      </c>
      <c r="F6" s="2763">
        <v>27.170967741935481</v>
      </c>
      <c r="G6" s="2763">
        <v>10.808666666666671</v>
      </c>
      <c r="H6" s="2763">
        <v>5.1470967741935487</v>
      </c>
      <c r="I6" s="2763">
        <v>2.7583870967741939</v>
      </c>
      <c r="J6" s="2763">
        <v>5.1106666666666687</v>
      </c>
      <c r="K6" s="795">
        <v>7.5</v>
      </c>
      <c r="L6" s="795">
        <v>2.4</v>
      </c>
      <c r="M6" s="795">
        <v>3</v>
      </c>
      <c r="N6" s="911"/>
      <c r="O6" s="1608">
        <v>3.7441612903225803</v>
      </c>
      <c r="P6" s="6" t="s">
        <v>1353</v>
      </c>
      <c r="Q6" s="942"/>
      <c r="R6" s="943"/>
      <c r="S6" s="933"/>
      <c r="T6" s="924">
        <v>6</v>
      </c>
      <c r="U6" s="935">
        <v>0.65</v>
      </c>
      <c r="V6" s="935">
        <v>0.77</v>
      </c>
      <c r="W6" s="925">
        <f t="shared" si="0"/>
        <v>2.6</v>
      </c>
      <c r="X6" s="926">
        <f>V6*W6</f>
        <v>2.0020000000000002</v>
      </c>
      <c r="Z6" s="935">
        <v>3</v>
      </c>
      <c r="AA6" s="936">
        <v>0.69</v>
      </c>
      <c r="AF6" s="937">
        <v>42737</v>
      </c>
      <c r="AG6" s="938"/>
      <c r="AH6" s="938"/>
      <c r="AI6" s="939"/>
      <c r="AJ6" s="939"/>
      <c r="AK6" s="939"/>
      <c r="AL6" s="939"/>
      <c r="AM6" s="939"/>
      <c r="AN6" s="940" t="s">
        <v>67</v>
      </c>
      <c r="AO6" s="930" t="e">
        <f>AVERAGE(AG65:AG97)</f>
        <v>#DIV/0!</v>
      </c>
      <c r="AP6" s="930" t="e">
        <f>AVERAGE(AH65:AH97)</f>
        <v>#DIV/0!</v>
      </c>
      <c r="AQ6" s="930" t="e">
        <f>AVERAGE(AI65:AI65)</f>
        <v>#DIV/0!</v>
      </c>
      <c r="AR6" s="930" t="e">
        <f>AVERAGE(AJ65:AJ97)</f>
        <v>#DIV/0!</v>
      </c>
      <c r="AS6" s="930" t="e">
        <f>AVERAGE(AK65:AK65)</f>
        <v>#DIV/0!</v>
      </c>
      <c r="AT6" s="930" t="e">
        <f>AVERAGE(AL65:AL65)</f>
        <v>#DIV/0!</v>
      </c>
      <c r="AU6" s="930" t="e">
        <f>AVERAGE(AM65:AM65)</f>
        <v>#DIV/0!</v>
      </c>
      <c r="AW6" s="2755">
        <v>43104</v>
      </c>
      <c r="AX6" s="1011">
        <v>1862</v>
      </c>
      <c r="AY6" s="919">
        <v>107</v>
      </c>
      <c r="BI6" s="1010">
        <v>43103</v>
      </c>
      <c r="BJ6" s="919">
        <v>9.32</v>
      </c>
      <c r="BK6" s="1608">
        <f>AVERAGE(BJ63:BJ93)</f>
        <v>3.7441612903225803</v>
      </c>
      <c r="BL6" s="6" t="s">
        <v>1353</v>
      </c>
      <c r="BM6" s="2759">
        <v>1</v>
      </c>
      <c r="BN6" s="2760" t="s">
        <v>1736</v>
      </c>
      <c r="BO6" s="2760">
        <v>12.8</v>
      </c>
      <c r="BP6" s="2760">
        <v>16.7</v>
      </c>
      <c r="BQ6" s="2760">
        <v>4.04</v>
      </c>
      <c r="BR6" s="2760">
        <v>3.53</v>
      </c>
      <c r="BS6" s="2760">
        <v>1.51</v>
      </c>
      <c r="BT6" s="2761" t="s">
        <v>1734</v>
      </c>
      <c r="BU6" s="2760" t="s">
        <v>1735</v>
      </c>
      <c r="BV6" s="2760" t="s">
        <v>1735</v>
      </c>
      <c r="BW6" s="2760" t="s">
        <v>1735</v>
      </c>
    </row>
    <row r="7" spans="1:75" s="936" customFormat="1" ht="15.5">
      <c r="A7" s="931" t="s">
        <v>20</v>
      </c>
      <c r="B7" s="795">
        <v>10.915806451612903</v>
      </c>
      <c r="C7" s="795">
        <v>10.420714285714286</v>
      </c>
      <c r="D7" s="795">
        <v>3.7441612903225803</v>
      </c>
      <c r="E7" s="795">
        <v>3.8880000000000003</v>
      </c>
      <c r="F7" s="795">
        <v>38.177419354838719</v>
      </c>
      <c r="G7" s="795">
        <v>10.359333333333332</v>
      </c>
      <c r="H7" s="795">
        <v>7.340645161290321</v>
      </c>
      <c r="I7" s="795">
        <v>3.6067741935483872</v>
      </c>
      <c r="J7" s="795">
        <v>4.3676666666666666</v>
      </c>
      <c r="K7" s="795">
        <v>4.4158064516129025</v>
      </c>
      <c r="L7" s="795">
        <v>3.2079999999999997</v>
      </c>
      <c r="M7" s="795">
        <v>3.2977419354838702</v>
      </c>
      <c r="N7" s="911"/>
      <c r="O7" s="1608">
        <v>3.8880000000000003</v>
      </c>
      <c r="P7" s="6" t="s">
        <v>1354</v>
      </c>
      <c r="Q7" s="944"/>
      <c r="R7" s="933"/>
      <c r="S7" s="933"/>
      <c r="T7" s="934">
        <v>8</v>
      </c>
      <c r="U7" s="935"/>
      <c r="V7" s="935">
        <v>0.78</v>
      </c>
      <c r="W7" s="925">
        <f t="shared" ref="W7" si="1">U7*2.5</f>
        <v>0</v>
      </c>
      <c r="X7" s="926">
        <f>V7*W7</f>
        <v>0</v>
      </c>
      <c r="Z7" s="935">
        <v>1</v>
      </c>
      <c r="AA7" s="936">
        <v>0.72</v>
      </c>
      <c r="AF7" s="937">
        <v>42738</v>
      </c>
      <c r="AG7" s="938"/>
      <c r="AH7" s="938"/>
      <c r="AI7" s="939"/>
      <c r="AJ7" s="939"/>
      <c r="AK7" s="939"/>
      <c r="AL7" s="939"/>
      <c r="AM7" s="939"/>
      <c r="AN7" s="940" t="s">
        <v>68</v>
      </c>
      <c r="AO7" s="930" t="e">
        <f>AVERAGE(AG98:AG127)</f>
        <v>#DIV/0!</v>
      </c>
      <c r="AP7" s="930" t="e">
        <f t="shared" ref="AP7:AU7" si="2">AVERAGE(AH98:AH127)</f>
        <v>#DIV/0!</v>
      </c>
      <c r="AQ7" s="930" t="e">
        <f t="shared" si="2"/>
        <v>#DIV/0!</v>
      </c>
      <c r="AR7" s="930" t="e">
        <f t="shared" si="2"/>
        <v>#DIV/0!</v>
      </c>
      <c r="AS7" s="930" t="e">
        <f t="shared" si="2"/>
        <v>#DIV/0!</v>
      </c>
      <c r="AT7" s="930" t="e">
        <f t="shared" si="2"/>
        <v>#DIV/0!</v>
      </c>
      <c r="AU7" s="930" t="e">
        <f t="shared" si="2"/>
        <v>#DIV/0!</v>
      </c>
      <c r="AW7" s="2755">
        <v>43105</v>
      </c>
      <c r="AX7" s="1011">
        <v>1862</v>
      </c>
      <c r="AY7" s="919">
        <v>107</v>
      </c>
      <c r="BI7" s="1010">
        <v>43104</v>
      </c>
      <c r="BJ7" s="919">
        <v>10.5</v>
      </c>
      <c r="BK7" s="1608">
        <f>AVERAGE(BJ95:BJ124)</f>
        <v>3.8880000000000003</v>
      </c>
      <c r="BL7" s="6" t="s">
        <v>1354</v>
      </c>
      <c r="BM7" s="2759">
        <v>2</v>
      </c>
      <c r="BN7" s="2760" t="s">
        <v>1737</v>
      </c>
      <c r="BO7" s="2760">
        <v>16.600000000000001</v>
      </c>
      <c r="BP7" s="2760">
        <v>13.7</v>
      </c>
      <c r="BQ7" s="2760">
        <v>3.6</v>
      </c>
      <c r="BR7" s="2760">
        <v>4.2699999999999996</v>
      </c>
      <c r="BS7" s="2760">
        <v>0.89</v>
      </c>
      <c r="BT7" s="2761" t="s">
        <v>1734</v>
      </c>
      <c r="BU7" s="2760" t="s">
        <v>1735</v>
      </c>
      <c r="BV7" s="2761" t="s">
        <v>1734</v>
      </c>
      <c r="BW7" s="2761"/>
    </row>
    <row r="8" spans="1:75" s="936" customFormat="1" ht="15.5">
      <c r="A8" s="931" t="s">
        <v>880</v>
      </c>
      <c r="B8" s="795">
        <v>24</v>
      </c>
      <c r="C8" s="795">
        <v>12</v>
      </c>
      <c r="D8" s="795">
        <v>10</v>
      </c>
      <c r="E8" s="795">
        <v>9.1999999999999993</v>
      </c>
      <c r="F8" s="795">
        <v>40</v>
      </c>
      <c r="G8" s="795">
        <v>14.2</v>
      </c>
      <c r="H8" s="795">
        <v>13</v>
      </c>
      <c r="I8" s="795">
        <v>9.6999999999999993</v>
      </c>
      <c r="J8" s="795">
        <v>10.6</v>
      </c>
      <c r="K8" s="795">
        <v>13.6</v>
      </c>
      <c r="L8" s="795">
        <v>10</v>
      </c>
      <c r="M8" s="795">
        <v>9.6999999999999993</v>
      </c>
      <c r="N8" s="945"/>
      <c r="O8" s="1608">
        <v>38.177419354838719</v>
      </c>
      <c r="P8" s="6" t="s">
        <v>1355</v>
      </c>
      <c r="Q8" s="946"/>
      <c r="R8" s="933"/>
      <c r="S8" s="933"/>
      <c r="T8" s="924">
        <v>10</v>
      </c>
      <c r="U8" s="935"/>
      <c r="V8" s="936">
        <v>2.8</v>
      </c>
      <c r="W8" s="925">
        <f>U8*4</f>
        <v>0</v>
      </c>
      <c r="X8" s="926">
        <f>V8*W8</f>
        <v>0</v>
      </c>
      <c r="Z8" s="935"/>
      <c r="AF8" s="937">
        <v>42739</v>
      </c>
      <c r="AG8" s="938"/>
      <c r="AH8" s="938"/>
      <c r="AI8" s="939"/>
      <c r="AJ8" s="939"/>
      <c r="AK8" s="939"/>
      <c r="AL8" s="939"/>
      <c r="AM8" s="939"/>
      <c r="AN8" s="940" t="s">
        <v>69</v>
      </c>
      <c r="AO8" s="930" t="e">
        <f t="shared" ref="AO8:AU8" si="3">AVERAGE(AG128:AG150)</f>
        <v>#DIV/0!</v>
      </c>
      <c r="AP8" s="930" t="e">
        <f t="shared" si="3"/>
        <v>#DIV/0!</v>
      </c>
      <c r="AQ8" s="930" t="e">
        <f t="shared" si="3"/>
        <v>#DIV/0!</v>
      </c>
      <c r="AR8" s="930" t="e">
        <f t="shared" si="3"/>
        <v>#DIV/0!</v>
      </c>
      <c r="AS8" s="930" t="e">
        <f t="shared" si="3"/>
        <v>#DIV/0!</v>
      </c>
      <c r="AT8" s="930" t="e">
        <f t="shared" si="3"/>
        <v>#DIV/0!</v>
      </c>
      <c r="AU8" s="930" t="e">
        <f t="shared" si="3"/>
        <v>#DIV/0!</v>
      </c>
      <c r="AW8" s="2755">
        <v>43106</v>
      </c>
      <c r="AX8" s="1011">
        <v>1864</v>
      </c>
      <c r="AY8" s="919">
        <v>107</v>
      </c>
      <c r="BI8" s="1010">
        <v>43105</v>
      </c>
      <c r="BJ8" s="919">
        <v>10.3</v>
      </c>
      <c r="BK8" s="1608">
        <f>AVERAGE(BJ125:BJ155)</f>
        <v>38.177419354838719</v>
      </c>
      <c r="BL8" s="6" t="s">
        <v>1355</v>
      </c>
      <c r="BM8" s="2759">
        <v>3</v>
      </c>
      <c r="BN8" s="2760" t="s">
        <v>1738</v>
      </c>
      <c r="BO8" s="2760">
        <v>44.9</v>
      </c>
      <c r="BP8" s="2760">
        <v>15.1</v>
      </c>
      <c r="BQ8" s="2760">
        <v>2.34</v>
      </c>
      <c r="BR8" s="2760">
        <v>4.3</v>
      </c>
      <c r="BS8" s="2760">
        <v>2.77</v>
      </c>
      <c r="BT8" s="2760" t="s">
        <v>1735</v>
      </c>
      <c r="BU8" s="2760" t="s">
        <v>1735</v>
      </c>
      <c r="BV8" s="2760" t="s">
        <v>1735</v>
      </c>
      <c r="BW8" s="2761"/>
    </row>
    <row r="9" spans="1:75" ht="15.5">
      <c r="A9" s="947" t="s">
        <v>156</v>
      </c>
      <c r="B9" s="948" t="s">
        <v>65</v>
      </c>
      <c r="C9" s="948" t="s">
        <v>66</v>
      </c>
      <c r="D9" s="948" t="s">
        <v>67</v>
      </c>
      <c r="E9" s="948" t="s">
        <v>68</v>
      </c>
      <c r="F9" s="948" t="s">
        <v>69</v>
      </c>
      <c r="G9" s="948" t="s">
        <v>70</v>
      </c>
      <c r="H9" s="948" t="s">
        <v>71</v>
      </c>
      <c r="I9" s="948" t="s">
        <v>72</v>
      </c>
      <c r="J9" s="948" t="s">
        <v>73</v>
      </c>
      <c r="K9" s="948" t="s">
        <v>74</v>
      </c>
      <c r="L9" s="948" t="s">
        <v>75</v>
      </c>
      <c r="M9" s="948" t="s">
        <v>76</v>
      </c>
      <c r="O9" s="1608">
        <v>10.359333333333332</v>
      </c>
      <c r="P9" s="6" t="s">
        <v>1079</v>
      </c>
      <c r="T9" s="924">
        <v>10</v>
      </c>
      <c r="U9" s="935"/>
      <c r="V9" s="935">
        <v>2.68</v>
      </c>
      <c r="W9" s="925">
        <f>U9*3</f>
        <v>0</v>
      </c>
      <c r="X9" s="925">
        <f>V7*W9</f>
        <v>0</v>
      </c>
      <c r="AF9" s="937">
        <v>42740</v>
      </c>
      <c r="AG9" s="938"/>
      <c r="AH9" s="938"/>
      <c r="AI9" s="939"/>
      <c r="AJ9" s="939"/>
      <c r="AK9" s="939"/>
      <c r="AL9" s="939"/>
      <c r="AM9" s="939"/>
      <c r="AN9" s="940" t="s">
        <v>70</v>
      </c>
      <c r="AO9" s="930" t="e">
        <f t="shared" ref="AO9:AU9" si="4">AVERAGE(AG159:AG188)</f>
        <v>#DIV/0!</v>
      </c>
      <c r="AP9" s="930" t="e">
        <f t="shared" si="4"/>
        <v>#DIV/0!</v>
      </c>
      <c r="AQ9" s="930" t="e">
        <f t="shared" si="4"/>
        <v>#DIV/0!</v>
      </c>
      <c r="AR9" s="930" t="e">
        <f t="shared" si="4"/>
        <v>#DIV/0!</v>
      </c>
      <c r="AS9" s="930" t="e">
        <f t="shared" si="4"/>
        <v>#DIV/0!</v>
      </c>
      <c r="AT9" s="930" t="e">
        <f t="shared" si="4"/>
        <v>#DIV/0!</v>
      </c>
      <c r="AU9" s="930" t="e">
        <f t="shared" si="4"/>
        <v>#DIV/0!</v>
      </c>
      <c r="AW9" s="2755">
        <v>43107</v>
      </c>
      <c r="AX9" s="1011">
        <v>1865</v>
      </c>
      <c r="AY9" s="919">
        <v>107</v>
      </c>
      <c r="BI9" s="1010">
        <v>43106</v>
      </c>
      <c r="BJ9" s="919">
        <v>12</v>
      </c>
      <c r="BK9" s="1608">
        <f>AVERAGE(BJ156:BJ185)</f>
        <v>10.359333333333332</v>
      </c>
      <c r="BL9" s="6" t="s">
        <v>1079</v>
      </c>
      <c r="BM9" s="2759">
        <v>4</v>
      </c>
      <c r="BN9" s="2760" t="s">
        <v>1739</v>
      </c>
      <c r="BO9" s="2760">
        <v>27</v>
      </c>
      <c r="BP9" s="2760">
        <v>14.4</v>
      </c>
      <c r="BQ9" s="2760">
        <v>1.55</v>
      </c>
      <c r="BR9" s="2760">
        <v>4.55</v>
      </c>
      <c r="BS9" s="2760">
        <v>1.63</v>
      </c>
      <c r="BT9" s="2760" t="s">
        <v>1735</v>
      </c>
      <c r="BU9" s="2760" t="s">
        <v>1735</v>
      </c>
      <c r="BV9" s="2760" t="s">
        <v>1735</v>
      </c>
      <c r="BW9" s="2761"/>
    </row>
    <row r="10" spans="1:75" ht="15.5">
      <c r="A10" s="949" t="s">
        <v>17</v>
      </c>
      <c r="B10" s="950">
        <f t="shared" ref="B10:M10" si="5">B5</f>
        <v>1.4</v>
      </c>
      <c r="C10" s="950">
        <f t="shared" si="5"/>
        <v>2.2000000000000002</v>
      </c>
      <c r="D10" s="950">
        <f t="shared" si="5"/>
        <v>1.8</v>
      </c>
      <c r="E10" s="950">
        <f t="shared" si="5"/>
        <v>1.3</v>
      </c>
      <c r="F10" s="950">
        <f t="shared" si="5"/>
        <v>3.7</v>
      </c>
      <c r="G10" s="950">
        <f t="shared" si="5"/>
        <v>1.5</v>
      </c>
      <c r="H10" s="950">
        <f t="shared" si="5"/>
        <v>3.1</v>
      </c>
      <c r="I10" s="950">
        <f t="shared" si="5"/>
        <v>1.1000000000000001</v>
      </c>
      <c r="J10" s="950">
        <f t="shared" si="5"/>
        <v>2.2000000000000002</v>
      </c>
      <c r="K10" s="950">
        <f t="shared" si="5"/>
        <v>0.9</v>
      </c>
      <c r="L10" s="950">
        <f t="shared" si="5"/>
        <v>2.2000000000000002</v>
      </c>
      <c r="M10" s="950">
        <f t="shared" si="5"/>
        <v>1.2</v>
      </c>
      <c r="O10" s="1608">
        <v>7.340645161290321</v>
      </c>
      <c r="P10" s="6" t="s">
        <v>1080</v>
      </c>
      <c r="T10" s="934">
        <v>12</v>
      </c>
      <c r="U10" s="935"/>
      <c r="V10" s="935"/>
      <c r="W10" s="925">
        <f>U10*2</f>
        <v>0</v>
      </c>
      <c r="X10" s="925">
        <f>V10*W10</f>
        <v>0</v>
      </c>
      <c r="AF10" s="937">
        <v>42741</v>
      </c>
      <c r="AG10" s="938"/>
      <c r="AH10" s="938"/>
      <c r="AI10" s="939"/>
      <c r="AJ10" s="939"/>
      <c r="AK10" s="939"/>
      <c r="AL10" s="939"/>
      <c r="AM10" s="939"/>
      <c r="AN10" s="940" t="s">
        <v>71</v>
      </c>
      <c r="AO10" s="930" t="e">
        <f>AVERAGE(AG171:AG230)</f>
        <v>#DIV/0!</v>
      </c>
      <c r="AP10" s="930" t="e">
        <f>AVERAGE(AH171:AH230)</f>
        <v>#DIV/0!</v>
      </c>
      <c r="AQ10" s="930" t="e">
        <f>AVERAGE(AI171:AI225)</f>
        <v>#DIV/0!</v>
      </c>
      <c r="AR10" s="930" t="e">
        <f>AVERAGE(AJ171:AJ225)</f>
        <v>#DIV/0!</v>
      </c>
      <c r="AS10" s="930" t="e">
        <f>AVERAGE(AK171:AK225)</f>
        <v>#DIV/0!</v>
      </c>
      <c r="AT10" s="930" t="e">
        <f>AVERAGE(AL171:AL225)</f>
        <v>#DIV/0!</v>
      </c>
      <c r="AU10" s="930" t="e">
        <f>AVERAGE(AM171:AM225)</f>
        <v>#DIV/0!</v>
      </c>
      <c r="AW10" s="2755">
        <v>43108</v>
      </c>
      <c r="AX10" s="1011">
        <v>1865</v>
      </c>
      <c r="AY10" s="919">
        <v>107</v>
      </c>
      <c r="BI10" s="1010">
        <v>43107</v>
      </c>
      <c r="BJ10" s="919">
        <v>12.3</v>
      </c>
      <c r="BK10" s="1608">
        <f>AVERAGE(BJ186:BJ216)</f>
        <v>7.340645161290321</v>
      </c>
      <c r="BL10" s="6" t="s">
        <v>1080</v>
      </c>
      <c r="BM10" s="2759">
        <v>5</v>
      </c>
      <c r="BN10" s="2760">
        <v>4.26</v>
      </c>
      <c r="BO10" s="2760">
        <v>29</v>
      </c>
      <c r="BP10" s="2760">
        <v>12</v>
      </c>
      <c r="BQ10" s="2760">
        <v>3.1</v>
      </c>
      <c r="BR10" s="2760">
        <v>4.46</v>
      </c>
      <c r="BS10" s="2760">
        <v>14.2</v>
      </c>
      <c r="BT10" s="2760" t="s">
        <v>1735</v>
      </c>
      <c r="BU10" s="2760" t="s">
        <v>1735</v>
      </c>
      <c r="BV10" s="2760" t="s">
        <v>1735</v>
      </c>
      <c r="BW10" s="2761"/>
    </row>
    <row r="11" spans="1:75" ht="15.5">
      <c r="A11" s="949" t="s">
        <v>18</v>
      </c>
      <c r="B11" s="950">
        <f t="shared" ref="B11:M11" si="6">B6</f>
        <v>10.3</v>
      </c>
      <c r="C11" s="950">
        <f t="shared" si="6"/>
        <v>8.9</v>
      </c>
      <c r="D11" s="950">
        <f t="shared" si="6"/>
        <v>4.0999999999999996</v>
      </c>
      <c r="E11" s="950">
        <f t="shared" si="6"/>
        <v>5.5938461538461537</v>
      </c>
      <c r="F11" s="950">
        <f t="shared" si="6"/>
        <v>27.170967741935481</v>
      </c>
      <c r="G11" s="950">
        <f t="shared" si="6"/>
        <v>10.808666666666671</v>
      </c>
      <c r="H11" s="950">
        <f t="shared" si="6"/>
        <v>5.1470967741935487</v>
      </c>
      <c r="I11" s="950">
        <f t="shared" si="6"/>
        <v>2.7583870967741939</v>
      </c>
      <c r="J11" s="950">
        <f t="shared" si="6"/>
        <v>5.1106666666666687</v>
      </c>
      <c r="K11" s="950">
        <f t="shared" si="6"/>
        <v>7.5</v>
      </c>
      <c r="L11" s="950">
        <f t="shared" si="6"/>
        <v>2.4</v>
      </c>
      <c r="M11" s="950">
        <f t="shared" si="6"/>
        <v>3</v>
      </c>
      <c r="N11" s="910">
        <f>AVERAGE(B11:I11)</f>
        <v>9.3473705541770062</v>
      </c>
      <c r="O11" s="1608">
        <v>3.6067741935483872</v>
      </c>
      <c r="P11" s="6" t="s">
        <v>1081</v>
      </c>
      <c r="T11" s="924">
        <v>14</v>
      </c>
      <c r="U11" s="935"/>
      <c r="V11" s="935"/>
      <c r="W11" s="925">
        <f>U11*3</f>
        <v>0</v>
      </c>
      <c r="X11" s="925">
        <f>V11*W11</f>
        <v>0</v>
      </c>
      <c r="AF11" s="937">
        <v>42742</v>
      </c>
      <c r="AG11" s="938"/>
      <c r="AH11" s="938"/>
      <c r="AI11" s="939"/>
      <c r="AJ11" s="939"/>
      <c r="AK11" s="939"/>
      <c r="AL11" s="939"/>
      <c r="AM11" s="939"/>
      <c r="AN11" s="940" t="s">
        <v>72</v>
      </c>
      <c r="AO11" s="930" t="e">
        <f t="shared" ref="AO11:AU11" si="7">AVERAGE(AG231:AG241)</f>
        <v>#DIV/0!</v>
      </c>
      <c r="AP11" s="930" t="e">
        <f t="shared" si="7"/>
        <v>#DIV/0!</v>
      </c>
      <c r="AQ11" s="930" t="e">
        <f t="shared" si="7"/>
        <v>#DIV/0!</v>
      </c>
      <c r="AR11" s="930" t="e">
        <f t="shared" si="7"/>
        <v>#DIV/0!</v>
      </c>
      <c r="AS11" s="930" t="e">
        <f t="shared" si="7"/>
        <v>#DIV/0!</v>
      </c>
      <c r="AT11" s="930" t="e">
        <f t="shared" si="7"/>
        <v>#DIV/0!</v>
      </c>
      <c r="AU11" s="930" t="e">
        <f t="shared" si="7"/>
        <v>#DIV/0!</v>
      </c>
      <c r="AW11" s="2755">
        <v>43109</v>
      </c>
      <c r="AX11" s="1011">
        <v>1865</v>
      </c>
      <c r="AY11" s="919">
        <v>107</v>
      </c>
      <c r="BI11" s="1010">
        <v>43108</v>
      </c>
      <c r="BJ11" s="919">
        <v>12.3</v>
      </c>
      <c r="BK11" s="1608">
        <f>AVERAGE(BJ217:BJ247)</f>
        <v>3.6067741935483872</v>
      </c>
      <c r="BL11" s="6" t="s">
        <v>1081</v>
      </c>
      <c r="BM11" s="2759">
        <v>6</v>
      </c>
      <c r="BN11" s="2760">
        <v>6.01</v>
      </c>
      <c r="BO11" s="2760">
        <v>32.799999999999997</v>
      </c>
      <c r="BP11" s="2760">
        <v>11.8</v>
      </c>
      <c r="BQ11" s="2760">
        <v>3.57</v>
      </c>
      <c r="BR11" s="2760">
        <v>3.07</v>
      </c>
      <c r="BS11" s="2760">
        <v>23.1</v>
      </c>
      <c r="BT11" s="2760" t="s">
        <v>1735</v>
      </c>
      <c r="BU11" s="2760" t="s">
        <v>1735</v>
      </c>
      <c r="BV11" s="2760" t="s">
        <v>1735</v>
      </c>
      <c r="BW11" s="2761"/>
    </row>
    <row r="12" spans="1:75" ht="15.5">
      <c r="A12" s="949" t="s">
        <v>20</v>
      </c>
      <c r="B12" s="950">
        <f t="shared" ref="B12:M13" si="8">B7</f>
        <v>10.915806451612903</v>
      </c>
      <c r="C12" s="950">
        <f t="shared" si="8"/>
        <v>10.420714285714286</v>
      </c>
      <c r="D12" s="950">
        <f t="shared" si="8"/>
        <v>3.7441612903225803</v>
      </c>
      <c r="E12" s="950">
        <f t="shared" si="8"/>
        <v>3.8880000000000003</v>
      </c>
      <c r="F12" s="950">
        <f t="shared" si="8"/>
        <v>38.177419354838719</v>
      </c>
      <c r="G12" s="950">
        <f t="shared" si="8"/>
        <v>10.359333333333332</v>
      </c>
      <c r="H12" s="950">
        <f t="shared" si="8"/>
        <v>7.340645161290321</v>
      </c>
      <c r="I12" s="950">
        <f t="shared" si="8"/>
        <v>3.6067741935483872</v>
      </c>
      <c r="J12" s="950">
        <f t="shared" si="8"/>
        <v>4.3676666666666666</v>
      </c>
      <c r="K12" s="950">
        <f t="shared" si="8"/>
        <v>4.4158064516129025</v>
      </c>
      <c r="L12" s="950">
        <f t="shared" si="8"/>
        <v>3.2079999999999997</v>
      </c>
      <c r="M12" s="950">
        <f t="shared" si="8"/>
        <v>3.2977419354838702</v>
      </c>
      <c r="O12" s="1608">
        <v>4.3676666666666666</v>
      </c>
      <c r="P12" s="6" t="s">
        <v>1356</v>
      </c>
      <c r="T12" s="934">
        <v>16</v>
      </c>
      <c r="U12" s="935"/>
      <c r="V12" s="935"/>
      <c r="W12" s="925">
        <f>U12*2</f>
        <v>0</v>
      </c>
      <c r="X12" s="925"/>
      <c r="AF12" s="937">
        <v>42743</v>
      </c>
      <c r="AG12" s="938"/>
      <c r="AH12" s="938"/>
      <c r="AI12" s="939"/>
      <c r="AJ12" s="939"/>
      <c r="AK12" s="939"/>
      <c r="AL12" s="939"/>
      <c r="AM12" s="939"/>
      <c r="AN12" s="940" t="s">
        <v>73</v>
      </c>
      <c r="AO12" s="930" t="e">
        <f t="shared" ref="AO12:AT12" si="9">AVERAGE(AG251:AG280)</f>
        <v>#DIV/0!</v>
      </c>
      <c r="AP12" s="930" t="e">
        <f t="shared" si="9"/>
        <v>#DIV/0!</v>
      </c>
      <c r="AQ12" s="930" t="e">
        <f t="shared" si="9"/>
        <v>#DIV/0!</v>
      </c>
      <c r="AR12" s="930" t="e">
        <f t="shared" si="9"/>
        <v>#DIV/0!</v>
      </c>
      <c r="AS12" s="930" t="e">
        <f t="shared" si="9"/>
        <v>#DIV/0!</v>
      </c>
      <c r="AT12" s="930" t="e">
        <f t="shared" si="9"/>
        <v>#DIV/0!</v>
      </c>
      <c r="AU12" s="930" t="e">
        <f>AVERAGE(AM251:AM280)</f>
        <v>#DIV/0!</v>
      </c>
      <c r="AW12" s="2755">
        <v>43110</v>
      </c>
      <c r="AX12" s="1011">
        <v>1867</v>
      </c>
      <c r="AY12" s="919">
        <v>107</v>
      </c>
      <c r="BI12" s="1010">
        <v>43109</v>
      </c>
      <c r="BJ12" s="919">
        <v>12.3</v>
      </c>
      <c r="BK12" s="1608">
        <f>AVERAGE(BJ248:BJ277)</f>
        <v>4.3676666666666666</v>
      </c>
      <c r="BL12" s="6" t="s">
        <v>1356</v>
      </c>
      <c r="BM12" s="2759">
        <v>7</v>
      </c>
      <c r="BN12" s="2760">
        <v>4.21</v>
      </c>
      <c r="BO12" s="2760">
        <v>31.6</v>
      </c>
      <c r="BP12" s="2760">
        <v>11.5</v>
      </c>
      <c r="BQ12" s="2760">
        <v>2.76</v>
      </c>
      <c r="BR12" s="2760">
        <v>2.02</v>
      </c>
      <c r="BS12" s="2760">
        <v>11.8</v>
      </c>
      <c r="BT12" s="2760" t="s">
        <v>1735</v>
      </c>
      <c r="BU12" s="2760" t="s">
        <v>1735</v>
      </c>
      <c r="BV12" s="2760" t="s">
        <v>1735</v>
      </c>
      <c r="BW12" s="2761"/>
    </row>
    <row r="13" spans="1:75" ht="15.5">
      <c r="A13" s="949" t="s">
        <v>880</v>
      </c>
      <c r="B13" s="950">
        <f t="shared" si="8"/>
        <v>24</v>
      </c>
      <c r="C13" s="950">
        <f t="shared" si="8"/>
        <v>12</v>
      </c>
      <c r="D13" s="950">
        <f t="shared" si="8"/>
        <v>10</v>
      </c>
      <c r="E13" s="950">
        <f t="shared" si="8"/>
        <v>9.1999999999999993</v>
      </c>
      <c r="F13" s="950">
        <f t="shared" si="8"/>
        <v>40</v>
      </c>
      <c r="G13" s="950">
        <f t="shared" si="8"/>
        <v>14.2</v>
      </c>
      <c r="H13" s="950">
        <f t="shared" si="8"/>
        <v>13</v>
      </c>
      <c r="I13" s="950">
        <f t="shared" si="8"/>
        <v>9.6999999999999993</v>
      </c>
      <c r="J13" s="950">
        <f t="shared" si="8"/>
        <v>10.6</v>
      </c>
      <c r="K13" s="950">
        <f t="shared" si="8"/>
        <v>13.6</v>
      </c>
      <c r="L13" s="950">
        <f t="shared" si="8"/>
        <v>10</v>
      </c>
      <c r="M13" s="950">
        <f t="shared" si="8"/>
        <v>9.6999999999999993</v>
      </c>
      <c r="O13" s="1608">
        <v>4.4158064516129025</v>
      </c>
      <c r="P13" s="6" t="s">
        <v>1357</v>
      </c>
      <c r="T13" s="934"/>
      <c r="U13" s="935"/>
      <c r="V13" s="935"/>
      <c r="W13" s="925"/>
      <c r="X13" s="925"/>
      <c r="AF13" s="937">
        <v>42744</v>
      </c>
      <c r="AG13" s="938"/>
      <c r="AH13" s="938"/>
      <c r="AI13" s="939"/>
      <c r="AJ13" s="939"/>
      <c r="AK13" s="939"/>
      <c r="AL13" s="939"/>
      <c r="AM13" s="939"/>
      <c r="AN13" s="940" t="s">
        <v>74</v>
      </c>
      <c r="AO13" s="930" t="e">
        <f t="shared" ref="AO13:AT13" si="10">AVERAGE(AG281:AG311)</f>
        <v>#DIV/0!</v>
      </c>
      <c r="AP13" s="930" t="e">
        <f t="shared" si="10"/>
        <v>#DIV/0!</v>
      </c>
      <c r="AQ13" s="930" t="e">
        <f t="shared" si="10"/>
        <v>#DIV/0!</v>
      </c>
      <c r="AR13" s="930" t="e">
        <f t="shared" si="10"/>
        <v>#DIV/0!</v>
      </c>
      <c r="AS13" s="930" t="e">
        <f t="shared" si="10"/>
        <v>#DIV/0!</v>
      </c>
      <c r="AT13" s="930" t="e">
        <f t="shared" si="10"/>
        <v>#DIV/0!</v>
      </c>
      <c r="AU13" s="930" t="e">
        <f>AVERAGE(AM281:AM311)</f>
        <v>#DIV/0!</v>
      </c>
      <c r="AW13" s="2755">
        <v>43111</v>
      </c>
      <c r="AX13" s="1011">
        <v>1871</v>
      </c>
      <c r="AY13" s="919">
        <v>108</v>
      </c>
      <c r="BI13" s="1010">
        <v>43110</v>
      </c>
      <c r="BJ13" s="919">
        <v>13.3</v>
      </c>
      <c r="BK13" s="1608">
        <f>AVERAGE(BJ278:BJ308)</f>
        <v>4.4158064516129025</v>
      </c>
      <c r="BL13" s="6" t="s">
        <v>1357</v>
      </c>
      <c r="BM13" s="2759">
        <v>8</v>
      </c>
      <c r="BN13" s="2760">
        <v>6</v>
      </c>
      <c r="BO13" s="2760">
        <v>29.2</v>
      </c>
      <c r="BP13" s="2760">
        <v>9.6999999999999993</v>
      </c>
      <c r="BQ13" s="2760">
        <v>1.83</v>
      </c>
      <c r="BR13" s="2760">
        <v>3.31</v>
      </c>
      <c r="BS13" s="2760">
        <v>11</v>
      </c>
      <c r="BT13" s="2760" t="s">
        <v>1735</v>
      </c>
      <c r="BU13" s="2760" t="s">
        <v>1735</v>
      </c>
      <c r="BV13" s="2760" t="s">
        <v>1735</v>
      </c>
      <c r="BW13" s="2761"/>
    </row>
    <row r="14" spans="1:75" ht="15.5">
      <c r="A14" s="947" t="s">
        <v>111</v>
      </c>
      <c r="B14" s="952" t="s">
        <v>65</v>
      </c>
      <c r="C14" s="952" t="s">
        <v>66</v>
      </c>
      <c r="D14" s="952" t="s">
        <v>67</v>
      </c>
      <c r="E14" s="952" t="s">
        <v>68</v>
      </c>
      <c r="F14" s="952" t="s">
        <v>69</v>
      </c>
      <c r="G14" s="952" t="s">
        <v>70</v>
      </c>
      <c r="H14" s="952" t="s">
        <v>71</v>
      </c>
      <c r="I14" s="952" t="s">
        <v>72</v>
      </c>
      <c r="J14" s="952" t="s">
        <v>73</v>
      </c>
      <c r="K14" s="952" t="s">
        <v>74</v>
      </c>
      <c r="L14" s="952" t="s">
        <v>75</v>
      </c>
      <c r="M14" s="952" t="s">
        <v>76</v>
      </c>
      <c r="O14" s="1608">
        <v>3.2079999999999997</v>
      </c>
      <c r="P14" s="6" t="s">
        <v>1358</v>
      </c>
      <c r="T14" s="924">
        <v>18</v>
      </c>
      <c r="U14" s="935"/>
      <c r="V14" s="935"/>
      <c r="W14" s="925">
        <f>U14*2</f>
        <v>0</v>
      </c>
      <c r="X14" s="925">
        <f t="shared" ref="X14:X20" si="11">V14*W14</f>
        <v>0</v>
      </c>
      <c r="AF14" s="937">
        <v>42745</v>
      </c>
      <c r="AG14" s="938"/>
      <c r="AH14" s="938"/>
      <c r="AI14" s="939"/>
      <c r="AJ14" s="939"/>
      <c r="AK14" s="939"/>
      <c r="AL14" s="939"/>
      <c r="AM14" s="939"/>
      <c r="AN14" s="940" t="s">
        <v>75</v>
      </c>
      <c r="AO14" s="930" t="e">
        <f t="shared" ref="AO14:AT14" si="12">AVERAGE(AG312:AG341)</f>
        <v>#DIV/0!</v>
      </c>
      <c r="AP14" s="930" t="e">
        <f t="shared" si="12"/>
        <v>#DIV/0!</v>
      </c>
      <c r="AQ14" s="930" t="e">
        <f t="shared" si="12"/>
        <v>#DIV/0!</v>
      </c>
      <c r="AR14" s="930" t="e">
        <f t="shared" si="12"/>
        <v>#DIV/0!</v>
      </c>
      <c r="AS14" s="930" t="e">
        <f t="shared" si="12"/>
        <v>#DIV/0!</v>
      </c>
      <c r="AT14" s="930" t="e">
        <f t="shared" si="12"/>
        <v>#DIV/0!</v>
      </c>
      <c r="AU14" s="930" t="e">
        <f>AVERAGE(AM312:AM341)</f>
        <v>#DIV/0!</v>
      </c>
      <c r="AW14" s="2755">
        <v>43112</v>
      </c>
      <c r="AX14" s="1011">
        <v>1865</v>
      </c>
      <c r="AY14" s="919">
        <v>107</v>
      </c>
      <c r="BI14" s="1010">
        <v>43111</v>
      </c>
      <c r="BJ14" s="919">
        <v>15.8</v>
      </c>
      <c r="BK14" s="1608">
        <f>AVERAGE(BJ309:BJ338)</f>
        <v>3.2079999999999997</v>
      </c>
      <c r="BL14" s="6" t="s">
        <v>1358</v>
      </c>
      <c r="BM14" s="2759">
        <v>9</v>
      </c>
      <c r="BN14" s="2760">
        <v>4.88</v>
      </c>
      <c r="BO14" s="2760">
        <v>30.8</v>
      </c>
      <c r="BP14" s="2760">
        <v>8.49</v>
      </c>
      <c r="BQ14" s="2760">
        <v>1.86</v>
      </c>
      <c r="BR14" s="2760">
        <v>2.02</v>
      </c>
      <c r="BS14" s="2760">
        <v>9.35</v>
      </c>
      <c r="BT14" s="2760" t="s">
        <v>1735</v>
      </c>
      <c r="BU14" s="2760" t="s">
        <v>1735</v>
      </c>
      <c r="BV14" s="2760" t="s">
        <v>1735</v>
      </c>
      <c r="BW14" s="2761"/>
    </row>
    <row r="15" spans="1:75" ht="15.5">
      <c r="A15" s="949" t="s">
        <v>17</v>
      </c>
      <c r="B15" s="953">
        <f t="shared" ref="B15:M15" si="13">B10*1.983</f>
        <v>2.7761999999999998</v>
      </c>
      <c r="C15" s="953">
        <f t="shared" si="13"/>
        <v>4.3626000000000005</v>
      </c>
      <c r="D15" s="953">
        <f t="shared" si="13"/>
        <v>3.5694000000000004</v>
      </c>
      <c r="E15" s="953">
        <f t="shared" si="13"/>
        <v>2.5779000000000001</v>
      </c>
      <c r="F15" s="953">
        <f t="shared" si="13"/>
        <v>7.3371000000000004</v>
      </c>
      <c r="G15" s="953">
        <f t="shared" si="13"/>
        <v>2.9744999999999999</v>
      </c>
      <c r="H15" s="953">
        <f t="shared" si="13"/>
        <v>6.1473000000000004</v>
      </c>
      <c r="I15" s="953">
        <f t="shared" si="13"/>
        <v>2.1813000000000002</v>
      </c>
      <c r="J15" s="953">
        <f t="shared" si="13"/>
        <v>4.3626000000000005</v>
      </c>
      <c r="K15" s="953">
        <f t="shared" si="13"/>
        <v>1.7847000000000002</v>
      </c>
      <c r="L15" s="953">
        <f t="shared" si="13"/>
        <v>4.3626000000000005</v>
      </c>
      <c r="M15" s="953">
        <f t="shared" si="13"/>
        <v>2.3795999999999999</v>
      </c>
      <c r="O15" s="1608">
        <v>3.2977419354838702</v>
      </c>
      <c r="P15" s="6" t="s">
        <v>1359</v>
      </c>
      <c r="T15" s="934">
        <v>20</v>
      </c>
      <c r="U15" s="935"/>
      <c r="V15" s="935"/>
      <c r="W15" s="925">
        <f>U15*3</f>
        <v>0</v>
      </c>
      <c r="X15" s="925">
        <f t="shared" si="11"/>
        <v>0</v>
      </c>
      <c r="AF15" s="937">
        <v>42746</v>
      </c>
      <c r="AG15" s="938"/>
      <c r="AH15" s="938"/>
      <c r="AI15" s="939"/>
      <c r="AJ15" s="939"/>
      <c r="AK15" s="939"/>
      <c r="AL15" s="939"/>
      <c r="AM15" s="939"/>
      <c r="AN15" s="940" t="s">
        <v>76</v>
      </c>
      <c r="AO15" s="938"/>
      <c r="AP15" s="938"/>
      <c r="AQ15" s="930" t="e">
        <f>AVERAGE(AI342:AI372)</f>
        <v>#DIV/0!</v>
      </c>
      <c r="AR15" s="930" t="e">
        <f>AVERAGE(AJ342:AJ372)</f>
        <v>#DIV/0!</v>
      </c>
      <c r="AS15" s="930" t="e">
        <f>AVERAGE(AK342:AK372)</f>
        <v>#DIV/0!</v>
      </c>
      <c r="AT15" s="930" t="e">
        <f>AVERAGE(AL342:AL372)</f>
        <v>#DIV/0!</v>
      </c>
      <c r="AU15" s="930" t="e">
        <f>AVERAGE(AM342:AM372)</f>
        <v>#DIV/0!</v>
      </c>
      <c r="AW15" s="2755">
        <v>43113</v>
      </c>
      <c r="AX15" s="1011">
        <v>1863</v>
      </c>
      <c r="AY15" s="919">
        <v>107</v>
      </c>
      <c r="BI15" s="1010">
        <v>43112</v>
      </c>
      <c r="BJ15" s="919">
        <v>12.5</v>
      </c>
      <c r="BK15" s="1608">
        <f>AVERAGE(BJ339:BJ369)</f>
        <v>3.2977419354838702</v>
      </c>
      <c r="BL15" s="6" t="s">
        <v>1359</v>
      </c>
      <c r="BM15" s="2759">
        <v>10</v>
      </c>
      <c r="BN15" s="2760">
        <v>2.81</v>
      </c>
      <c r="BO15" s="2760">
        <v>31.9</v>
      </c>
      <c r="BP15" s="2760">
        <v>8</v>
      </c>
      <c r="BQ15" s="2760">
        <v>2</v>
      </c>
      <c r="BR15" s="2760">
        <v>2.2999999999999998</v>
      </c>
      <c r="BS15" s="2760">
        <v>8.3000000000000007</v>
      </c>
      <c r="BT15" s="2760" t="s">
        <v>1735</v>
      </c>
      <c r="BU15" s="2760" t="s">
        <v>1735</v>
      </c>
      <c r="BV15" s="2760" t="s">
        <v>1735</v>
      </c>
      <c r="BW15" s="2761"/>
    </row>
    <row r="16" spans="1:75" ht="15.5">
      <c r="A16" s="949" t="s">
        <v>18</v>
      </c>
      <c r="B16" s="953">
        <f t="shared" ref="B16:M16" si="14">B11*1.983</f>
        <v>20.424900000000001</v>
      </c>
      <c r="C16" s="953">
        <f t="shared" si="14"/>
        <v>17.648700000000002</v>
      </c>
      <c r="D16" s="953">
        <f t="shared" si="14"/>
        <v>8.1303000000000001</v>
      </c>
      <c r="E16" s="953">
        <f t="shared" si="14"/>
        <v>11.092596923076924</v>
      </c>
      <c r="F16" s="953">
        <f t="shared" si="14"/>
        <v>53.880029032258065</v>
      </c>
      <c r="G16" s="953">
        <f t="shared" si="14"/>
        <v>21.433586000000009</v>
      </c>
      <c r="H16" s="953">
        <f t="shared" si="14"/>
        <v>10.206692903225807</v>
      </c>
      <c r="I16" s="953">
        <f t="shared" si="14"/>
        <v>5.4698816129032268</v>
      </c>
      <c r="J16" s="953">
        <f t="shared" si="14"/>
        <v>10.134452000000005</v>
      </c>
      <c r="K16" s="953">
        <f t="shared" si="14"/>
        <v>14.8725</v>
      </c>
      <c r="L16" s="953">
        <f t="shared" si="14"/>
        <v>4.7591999999999999</v>
      </c>
      <c r="M16" s="953">
        <f t="shared" si="14"/>
        <v>5.9489999999999998</v>
      </c>
      <c r="T16" s="924">
        <v>22</v>
      </c>
      <c r="U16" s="935"/>
      <c r="V16" s="935"/>
      <c r="W16" s="925">
        <f>U16*2</f>
        <v>0</v>
      </c>
      <c r="X16" s="925">
        <f t="shared" si="11"/>
        <v>0</v>
      </c>
      <c r="AF16" s="937">
        <v>42747</v>
      </c>
      <c r="AG16" s="939"/>
      <c r="AH16" s="939"/>
      <c r="AI16" s="939"/>
      <c r="AJ16" s="939"/>
      <c r="AK16" s="939"/>
      <c r="AL16" s="939"/>
      <c r="AM16" s="939"/>
      <c r="AW16" s="2755">
        <v>43114</v>
      </c>
      <c r="AX16" s="1011">
        <v>1863</v>
      </c>
      <c r="AY16" s="919">
        <v>107</v>
      </c>
      <c r="BI16" s="1010">
        <v>43113</v>
      </c>
      <c r="BJ16" s="919">
        <v>11.6</v>
      </c>
      <c r="BM16" s="2759">
        <v>11</v>
      </c>
      <c r="BN16" s="2760">
        <v>6.06</v>
      </c>
      <c r="BO16" s="2760">
        <v>29.5</v>
      </c>
      <c r="BP16" s="2760">
        <v>6.9</v>
      </c>
      <c r="BQ16" s="2760">
        <v>2.5</v>
      </c>
      <c r="BR16" s="2760">
        <v>1.95</v>
      </c>
      <c r="BS16" s="2760">
        <v>6.9</v>
      </c>
      <c r="BT16" s="2760" t="s">
        <v>1735</v>
      </c>
      <c r="BU16" s="2760" t="s">
        <v>1735</v>
      </c>
      <c r="BV16" s="2760" t="s">
        <v>1735</v>
      </c>
      <c r="BW16" s="2761"/>
    </row>
    <row r="17" spans="1:75" ht="15.5">
      <c r="A17" s="949" t="s">
        <v>20</v>
      </c>
      <c r="B17" s="953">
        <f t="shared" ref="B17:M18" si="15">B12*1.983</f>
        <v>21.646044193548388</v>
      </c>
      <c r="C17" s="953">
        <f t="shared" si="15"/>
        <v>20.66427642857143</v>
      </c>
      <c r="D17" s="953">
        <f t="shared" si="15"/>
        <v>7.4246718387096768</v>
      </c>
      <c r="E17" s="953">
        <f t="shared" si="15"/>
        <v>7.7099040000000008</v>
      </c>
      <c r="F17" s="953">
        <f t="shared" si="15"/>
        <v>75.70582258064519</v>
      </c>
      <c r="G17" s="953">
        <f t="shared" si="15"/>
        <v>20.542558</v>
      </c>
      <c r="H17" s="953">
        <f t="shared" si="15"/>
        <v>14.556499354838706</v>
      </c>
      <c r="I17" s="953">
        <f t="shared" si="15"/>
        <v>7.1522332258064525</v>
      </c>
      <c r="J17" s="953">
        <f t="shared" si="15"/>
        <v>8.6610829999999996</v>
      </c>
      <c r="K17" s="953">
        <f t="shared" si="15"/>
        <v>8.7565441935483861</v>
      </c>
      <c r="L17" s="953">
        <f t="shared" si="15"/>
        <v>6.3614639999999998</v>
      </c>
      <c r="M17" s="953">
        <f t="shared" si="15"/>
        <v>6.5394222580645147</v>
      </c>
      <c r="T17" s="934">
        <v>24</v>
      </c>
      <c r="U17" s="935"/>
      <c r="V17" s="935"/>
      <c r="W17" s="925">
        <f>U17*2</f>
        <v>0</v>
      </c>
      <c r="X17" s="925">
        <f t="shared" si="11"/>
        <v>0</v>
      </c>
      <c r="AF17" s="937">
        <v>42748</v>
      </c>
      <c r="AG17" s="939"/>
      <c r="AH17" s="939"/>
      <c r="AI17" s="939"/>
      <c r="AJ17" s="939"/>
      <c r="AK17" s="939"/>
      <c r="AL17" s="939"/>
      <c r="AM17" s="939"/>
      <c r="AW17" s="2755">
        <v>43115</v>
      </c>
      <c r="AX17" s="1011">
        <v>1863</v>
      </c>
      <c r="AY17" s="919">
        <v>107</v>
      </c>
      <c r="BI17" s="1010">
        <v>43114</v>
      </c>
      <c r="BJ17" s="919">
        <v>11.1</v>
      </c>
      <c r="BM17" s="2759">
        <v>12</v>
      </c>
      <c r="BN17" s="2760">
        <v>6.95</v>
      </c>
      <c r="BO17" s="2760">
        <v>27.7</v>
      </c>
      <c r="BP17" s="2760">
        <v>5.9</v>
      </c>
      <c r="BQ17" s="2760">
        <v>2</v>
      </c>
      <c r="BR17" s="2760">
        <v>1.5</v>
      </c>
      <c r="BS17" s="2760">
        <v>7.33</v>
      </c>
      <c r="BT17" s="2760" t="s">
        <v>1735</v>
      </c>
      <c r="BU17" s="2760" t="s">
        <v>1735</v>
      </c>
      <c r="BV17" s="2760" t="s">
        <v>1735</v>
      </c>
      <c r="BW17" s="2761"/>
    </row>
    <row r="18" spans="1:75" ht="15.5">
      <c r="A18" s="954" t="s">
        <v>880</v>
      </c>
      <c r="B18" s="953">
        <f t="shared" si="15"/>
        <v>47.591999999999999</v>
      </c>
      <c r="C18" s="953">
        <f t="shared" si="15"/>
        <v>23.795999999999999</v>
      </c>
      <c r="D18" s="953">
        <f t="shared" si="15"/>
        <v>19.830000000000002</v>
      </c>
      <c r="E18" s="953">
        <f t="shared" si="15"/>
        <v>18.243600000000001</v>
      </c>
      <c r="F18" s="953">
        <f t="shared" si="15"/>
        <v>79.320000000000007</v>
      </c>
      <c r="G18" s="953">
        <f t="shared" si="15"/>
        <v>28.1586</v>
      </c>
      <c r="H18" s="953">
        <f t="shared" si="15"/>
        <v>25.779</v>
      </c>
      <c r="I18" s="953">
        <f t="shared" si="15"/>
        <v>19.235099999999999</v>
      </c>
      <c r="J18" s="953">
        <f t="shared" si="15"/>
        <v>21.0198</v>
      </c>
      <c r="K18" s="953">
        <f t="shared" si="15"/>
        <v>26.968800000000002</v>
      </c>
      <c r="L18" s="953">
        <f t="shared" si="15"/>
        <v>19.830000000000002</v>
      </c>
      <c r="M18" s="953">
        <f t="shared" si="15"/>
        <v>19.235099999999999</v>
      </c>
      <c r="T18" s="924">
        <v>26</v>
      </c>
      <c r="U18" s="935"/>
      <c r="W18" s="925">
        <f>U18*2</f>
        <v>0</v>
      </c>
      <c r="X18" s="925">
        <f t="shared" si="11"/>
        <v>0</v>
      </c>
      <c r="AF18" s="937">
        <v>42749</v>
      </c>
      <c r="AG18" s="939"/>
      <c r="AH18" s="939"/>
      <c r="AI18" s="939"/>
      <c r="AJ18" s="939"/>
      <c r="AK18" s="939"/>
      <c r="AL18" s="939"/>
      <c r="AM18" s="939"/>
      <c r="AW18" s="2755">
        <v>43116</v>
      </c>
      <c r="AX18" s="1011">
        <v>1855</v>
      </c>
      <c r="AY18" s="919">
        <v>107</v>
      </c>
      <c r="BI18" s="1010">
        <v>43115</v>
      </c>
      <c r="BJ18" s="919">
        <v>11.6</v>
      </c>
      <c r="BM18" s="2759">
        <v>13</v>
      </c>
      <c r="BN18" s="2760">
        <v>5.92</v>
      </c>
      <c r="BO18" s="2760">
        <v>27.3</v>
      </c>
      <c r="BP18" s="2760">
        <v>5.36</v>
      </c>
      <c r="BQ18" s="2760">
        <v>3.2</v>
      </c>
      <c r="BR18" s="2760">
        <v>1.7</v>
      </c>
      <c r="BS18" s="2760">
        <v>3.5</v>
      </c>
      <c r="BT18" s="2760" t="s">
        <v>1735</v>
      </c>
      <c r="BU18" s="2760" t="s">
        <v>1735</v>
      </c>
      <c r="BV18" s="2760" t="s">
        <v>1735</v>
      </c>
      <c r="BW18" s="2761"/>
    </row>
    <row r="19" spans="1:75" ht="15.5">
      <c r="A19" s="926"/>
      <c r="B19" s="2943"/>
      <c r="C19" s="2943"/>
      <c r="D19" s="2943"/>
      <c r="E19" s="2943"/>
      <c r="F19" s="2943"/>
      <c r="G19" s="2943"/>
      <c r="H19" s="2943"/>
      <c r="I19" s="2943"/>
      <c r="J19" s="2943"/>
      <c r="K19" s="2943"/>
      <c r="L19" s="2943"/>
      <c r="T19" s="934">
        <v>28</v>
      </c>
      <c r="U19" s="935"/>
      <c r="W19" s="925">
        <f>U19*2</f>
        <v>0</v>
      </c>
      <c r="X19" s="925">
        <f t="shared" si="11"/>
        <v>0</v>
      </c>
      <c r="AF19" s="937">
        <v>42750</v>
      </c>
      <c r="AG19" s="939"/>
      <c r="AH19" s="939"/>
      <c r="AI19" s="939"/>
      <c r="AJ19" s="939"/>
      <c r="AK19" s="939"/>
      <c r="AL19" s="939"/>
      <c r="AM19" s="939"/>
      <c r="AW19" s="2755">
        <v>43117</v>
      </c>
      <c r="AX19" s="1011">
        <v>1855</v>
      </c>
      <c r="AY19" s="919">
        <v>107</v>
      </c>
      <c r="BI19" s="1010">
        <v>43116</v>
      </c>
      <c r="BJ19" s="919">
        <v>6.57</v>
      </c>
      <c r="BM19" s="2759">
        <v>14</v>
      </c>
      <c r="BN19" s="2760">
        <v>4.63</v>
      </c>
      <c r="BO19" s="2760">
        <v>33.6</v>
      </c>
      <c r="BP19" s="2760">
        <v>5.6</v>
      </c>
      <c r="BQ19" s="2760">
        <v>3.76</v>
      </c>
      <c r="BR19" s="2760">
        <v>1.5</v>
      </c>
      <c r="BS19" s="2760">
        <v>3.57</v>
      </c>
      <c r="BT19" s="2760" t="s">
        <v>1735</v>
      </c>
      <c r="BU19" s="2761" t="s">
        <v>1734</v>
      </c>
      <c r="BV19" s="2760" t="s">
        <v>1735</v>
      </c>
      <c r="BW19" s="2761"/>
    </row>
    <row r="20" spans="1:75" ht="14.25" customHeight="1">
      <c r="A20" s="955" t="s">
        <v>80</v>
      </c>
      <c r="B20" s="956">
        <v>31</v>
      </c>
      <c r="C20" s="957">
        <v>29</v>
      </c>
      <c r="D20" s="957">
        <v>31</v>
      </c>
      <c r="E20" s="957">
        <v>30</v>
      </c>
      <c r="F20" s="957">
        <v>31</v>
      </c>
      <c r="G20" s="957">
        <v>30</v>
      </c>
      <c r="H20" s="957">
        <v>31</v>
      </c>
      <c r="I20" s="957">
        <v>31</v>
      </c>
      <c r="J20" s="957">
        <v>30</v>
      </c>
      <c r="K20" s="957">
        <v>31</v>
      </c>
      <c r="L20" s="957">
        <v>30</v>
      </c>
      <c r="M20" s="957">
        <v>31</v>
      </c>
      <c r="N20" s="2945" t="s">
        <v>127</v>
      </c>
      <c r="O20" s="958"/>
      <c r="P20" s="958"/>
      <c r="T20" s="924">
        <v>30</v>
      </c>
      <c r="W20" s="925">
        <f>U20*2</f>
        <v>0</v>
      </c>
      <c r="X20" s="925">
        <f t="shared" si="11"/>
        <v>0</v>
      </c>
      <c r="AF20" s="937">
        <v>42751</v>
      </c>
      <c r="AG20" s="939"/>
      <c r="AH20" s="939"/>
      <c r="AI20" s="939"/>
      <c r="AJ20" s="939"/>
      <c r="AK20" s="939"/>
      <c r="AL20" s="939"/>
      <c r="AM20" s="939"/>
      <c r="AW20" s="2755">
        <v>43118</v>
      </c>
      <c r="AX20" s="1011">
        <v>1860</v>
      </c>
      <c r="AY20" s="919">
        <v>107</v>
      </c>
      <c r="BI20" s="1010">
        <v>43117</v>
      </c>
      <c r="BJ20" s="919">
        <v>6.47</v>
      </c>
      <c r="BM20" s="2759">
        <v>15</v>
      </c>
      <c r="BN20" s="2760">
        <v>3.5</v>
      </c>
      <c r="BO20" s="2760">
        <v>40.1</v>
      </c>
      <c r="BP20" s="2760">
        <v>4.46</v>
      </c>
      <c r="BQ20" s="2760">
        <v>3</v>
      </c>
      <c r="BR20" s="2760">
        <v>5</v>
      </c>
      <c r="BS20" s="2760">
        <v>3.38</v>
      </c>
      <c r="BT20" s="2760" t="s">
        <v>1735</v>
      </c>
      <c r="BU20" s="2760" t="s">
        <v>1735</v>
      </c>
      <c r="BV20" s="2760" t="s">
        <v>1735</v>
      </c>
      <c r="BW20" s="2761"/>
    </row>
    <row r="21" spans="1:75" ht="18.649999999999999" customHeight="1">
      <c r="A21" s="955"/>
      <c r="B21" s="956" t="s">
        <v>65</v>
      </c>
      <c r="C21" s="957" t="s">
        <v>66</v>
      </c>
      <c r="D21" s="957" t="s">
        <v>67</v>
      </c>
      <c r="E21" s="957" t="s">
        <v>68</v>
      </c>
      <c r="F21" s="957" t="s">
        <v>69</v>
      </c>
      <c r="G21" s="957" t="s">
        <v>70</v>
      </c>
      <c r="H21" s="957" t="s">
        <v>71</v>
      </c>
      <c r="I21" s="957" t="s">
        <v>72</v>
      </c>
      <c r="J21" s="957" t="s">
        <v>73</v>
      </c>
      <c r="K21" s="957" t="s">
        <v>74</v>
      </c>
      <c r="L21" s="957" t="s">
        <v>75</v>
      </c>
      <c r="M21" s="957" t="s">
        <v>76</v>
      </c>
      <c r="N21" s="2946"/>
      <c r="O21" s="959"/>
      <c r="P21" s="960"/>
      <c r="X21" s="935">
        <f>SUM(X4:X20)</f>
        <v>4.0820000000000007</v>
      </c>
      <c r="AF21" s="937">
        <v>42752</v>
      </c>
      <c r="AG21" s="939"/>
      <c r="AH21" s="939"/>
      <c r="AI21" s="939"/>
      <c r="AJ21" s="939"/>
      <c r="AK21" s="939"/>
      <c r="AL21" s="939"/>
      <c r="AM21" s="939"/>
      <c r="AW21" s="2755">
        <v>43119</v>
      </c>
      <c r="AX21" s="1011">
        <v>1863</v>
      </c>
      <c r="AY21" s="919">
        <v>107</v>
      </c>
      <c r="BI21" s="1010">
        <v>43118</v>
      </c>
      <c r="BJ21" s="919">
        <v>9.34</v>
      </c>
      <c r="BM21" s="2759">
        <v>16</v>
      </c>
      <c r="BN21" s="2760">
        <v>4.8899999999999997</v>
      </c>
      <c r="BO21" s="2760">
        <v>32.299999999999997</v>
      </c>
      <c r="BP21" s="2760">
        <v>4.37</v>
      </c>
      <c r="BQ21" s="2760">
        <v>11.4</v>
      </c>
      <c r="BR21" s="2760">
        <v>5.0999999999999996</v>
      </c>
      <c r="BS21" s="2760">
        <v>3.14</v>
      </c>
      <c r="BT21" s="2760" t="s">
        <v>1735</v>
      </c>
      <c r="BU21" s="2761" t="s">
        <v>1734</v>
      </c>
      <c r="BV21" s="2760" t="s">
        <v>1735</v>
      </c>
      <c r="BW21" s="2761"/>
    </row>
    <row r="22" spans="1:75" ht="15.5">
      <c r="A22" s="949" t="s">
        <v>17</v>
      </c>
      <c r="B22" s="961">
        <f>B15*B20</f>
        <v>86.06219999999999</v>
      </c>
      <c r="C22" s="961">
        <f>C15*C20</f>
        <v>126.51540000000001</v>
      </c>
      <c r="D22" s="961">
        <f>D15*D20</f>
        <v>110.65140000000001</v>
      </c>
      <c r="E22" s="961">
        <f t="shared" ref="E22:M22" si="16">E15*E20</f>
        <v>77.337000000000003</v>
      </c>
      <c r="F22" s="961">
        <f t="shared" si="16"/>
        <v>227.45010000000002</v>
      </c>
      <c r="G22" s="961">
        <f t="shared" si="16"/>
        <v>89.234999999999999</v>
      </c>
      <c r="H22" s="961">
        <f t="shared" si="16"/>
        <v>190.56630000000001</v>
      </c>
      <c r="I22" s="961">
        <f t="shared" si="16"/>
        <v>67.620300000000015</v>
      </c>
      <c r="J22" s="961">
        <f t="shared" si="16"/>
        <v>130.87800000000001</v>
      </c>
      <c r="K22" s="961">
        <f t="shared" si="16"/>
        <v>55.325700000000005</v>
      </c>
      <c r="L22" s="961">
        <f t="shared" si="16"/>
        <v>130.87800000000001</v>
      </c>
      <c r="M22" s="961">
        <f t="shared" si="16"/>
        <v>73.767600000000002</v>
      </c>
      <c r="N22" s="962">
        <f>SUM(B22:M22)</f>
        <v>1366.287</v>
      </c>
      <c r="O22" s="963"/>
      <c r="P22" s="964"/>
      <c r="AF22" s="937">
        <v>42753</v>
      </c>
      <c r="AG22" s="939"/>
      <c r="AH22" s="939"/>
      <c r="AI22" s="939"/>
      <c r="AJ22" s="939"/>
      <c r="AK22" s="939"/>
      <c r="AL22" s="939"/>
      <c r="AM22" s="939"/>
      <c r="AW22" s="2755">
        <v>43120</v>
      </c>
      <c r="AX22" s="1011">
        <v>1862</v>
      </c>
      <c r="AY22" s="919">
        <v>107</v>
      </c>
      <c r="BI22" s="1010">
        <v>43119</v>
      </c>
      <c r="BJ22" s="919">
        <v>11</v>
      </c>
      <c r="BM22" s="2759">
        <v>17</v>
      </c>
      <c r="BN22" s="2760">
        <v>7.6</v>
      </c>
      <c r="BO22" s="2760">
        <v>27.1</v>
      </c>
      <c r="BP22" s="2760">
        <v>14.7</v>
      </c>
      <c r="BQ22" s="2760">
        <v>7.6</v>
      </c>
      <c r="BR22" s="2760">
        <v>2.1</v>
      </c>
      <c r="BS22" s="2760">
        <v>2.8</v>
      </c>
      <c r="BT22" s="2760" t="s">
        <v>1735</v>
      </c>
      <c r="BU22" s="2761" t="s">
        <v>1734</v>
      </c>
      <c r="BV22" s="2760" t="s">
        <v>1735</v>
      </c>
      <c r="BW22" s="2761"/>
    </row>
    <row r="23" spans="1:75" ht="15.5">
      <c r="A23" s="949" t="s">
        <v>18</v>
      </c>
      <c r="B23" s="961">
        <f>B16*B20</f>
        <v>633.17190000000005</v>
      </c>
      <c r="C23" s="961">
        <f>C16*C20</f>
        <v>511.81230000000005</v>
      </c>
      <c r="D23" s="961">
        <f>D16*D20</f>
        <v>252.0393</v>
      </c>
      <c r="E23" s="961">
        <f t="shared" ref="E23:M23" si="17">E16*E20</f>
        <v>332.77790769230774</v>
      </c>
      <c r="F23" s="961">
        <f t="shared" si="17"/>
        <v>1670.2809</v>
      </c>
      <c r="G23" s="961">
        <f t="shared" si="17"/>
        <v>643.0075800000003</v>
      </c>
      <c r="H23" s="961">
        <f t="shared" si="17"/>
        <v>316.40748000000002</v>
      </c>
      <c r="I23" s="961">
        <f t="shared" si="17"/>
        <v>169.56633000000002</v>
      </c>
      <c r="J23" s="961">
        <f t="shared" si="17"/>
        <v>304.03356000000014</v>
      </c>
      <c r="K23" s="961">
        <f t="shared" si="17"/>
        <v>461.04750000000001</v>
      </c>
      <c r="L23" s="961">
        <f t="shared" si="17"/>
        <v>142.77600000000001</v>
      </c>
      <c r="M23" s="961">
        <f t="shared" si="17"/>
        <v>184.41899999999998</v>
      </c>
      <c r="N23" s="962">
        <f>SUM(B23:M23)</f>
        <v>5621.3397576923071</v>
      </c>
      <c r="O23" s="963"/>
      <c r="P23" s="2899">
        <f>N22/N24</f>
        <v>0.19552947622680719</v>
      </c>
      <c r="AF23" s="937">
        <v>42754</v>
      </c>
      <c r="AG23" s="939"/>
      <c r="AH23" s="939"/>
      <c r="AI23" s="939"/>
      <c r="AJ23" s="939"/>
      <c r="AK23" s="939"/>
      <c r="AL23" s="939"/>
      <c r="AM23" s="939"/>
      <c r="AW23" s="2755">
        <v>43121</v>
      </c>
      <c r="AX23" s="1011">
        <v>1865</v>
      </c>
      <c r="AY23" s="919">
        <v>107</v>
      </c>
      <c r="BI23" s="1010">
        <v>43120</v>
      </c>
      <c r="BJ23" s="919">
        <v>10.7</v>
      </c>
      <c r="BM23" s="2759">
        <v>18</v>
      </c>
      <c r="BN23" s="2760">
        <v>5</v>
      </c>
      <c r="BO23" s="2760">
        <v>25.5</v>
      </c>
      <c r="BP23" s="2760">
        <v>37.5</v>
      </c>
      <c r="BQ23" s="2760">
        <v>4.75</v>
      </c>
      <c r="BR23" s="2760">
        <v>1.33</v>
      </c>
      <c r="BS23" s="2760">
        <v>3</v>
      </c>
      <c r="BT23" s="2760" t="s">
        <v>1735</v>
      </c>
      <c r="BU23" s="2761" t="s">
        <v>1734</v>
      </c>
      <c r="BV23" s="2760" t="s">
        <v>1735</v>
      </c>
      <c r="BW23" s="2761"/>
    </row>
    <row r="24" spans="1:75" ht="15.5">
      <c r="A24" s="965" t="s">
        <v>21</v>
      </c>
      <c r="B24" s="966">
        <f>SUM(B22:B23)</f>
        <v>719.23410000000001</v>
      </c>
      <c r="C24" s="966">
        <f>SUM(C22:C23)</f>
        <v>638.32770000000005</v>
      </c>
      <c r="D24" s="966">
        <f>SUM(D22:D23)</f>
        <v>362.69069999999999</v>
      </c>
      <c r="E24" s="966">
        <f t="shared" ref="E24:M24" si="18">SUM(E22:E23)</f>
        <v>410.11490769230772</v>
      </c>
      <c r="F24" s="966">
        <f t="shared" si="18"/>
        <v>1897.731</v>
      </c>
      <c r="G24" s="966">
        <f t="shared" si="18"/>
        <v>732.24258000000032</v>
      </c>
      <c r="H24" s="966">
        <f t="shared" si="18"/>
        <v>506.97378000000003</v>
      </c>
      <c r="I24" s="966">
        <f t="shared" si="18"/>
        <v>237.18663000000004</v>
      </c>
      <c r="J24" s="966">
        <f t="shared" si="18"/>
        <v>434.91156000000012</v>
      </c>
      <c r="K24" s="966">
        <f t="shared" si="18"/>
        <v>516.3732</v>
      </c>
      <c r="L24" s="966">
        <f t="shared" si="18"/>
        <v>273.654</v>
      </c>
      <c r="M24" s="966">
        <f t="shared" si="18"/>
        <v>258.1866</v>
      </c>
      <c r="N24" s="967">
        <f>SUM(B24:M24)</f>
        <v>6987.6267576923083</v>
      </c>
      <c r="O24" s="2900" t="s">
        <v>69</v>
      </c>
      <c r="P24" s="2899">
        <f>F24/N24</f>
        <v>0.27158448294492665</v>
      </c>
      <c r="AF24" s="937">
        <v>42755</v>
      </c>
      <c r="AG24" s="939"/>
      <c r="AH24" s="939"/>
      <c r="AI24" s="939"/>
      <c r="AJ24" s="939"/>
      <c r="AK24" s="939"/>
      <c r="AL24" s="939"/>
      <c r="AM24" s="939"/>
      <c r="AW24" s="2755">
        <v>43122</v>
      </c>
      <c r="AX24" s="1011">
        <v>1862</v>
      </c>
      <c r="AY24" s="919">
        <v>107</v>
      </c>
      <c r="BI24" s="1010">
        <v>43121</v>
      </c>
      <c r="BJ24" s="919">
        <v>12.3</v>
      </c>
      <c r="BM24" s="2759">
        <v>19</v>
      </c>
      <c r="BN24" s="2760">
        <v>3.88</v>
      </c>
      <c r="BO24" s="2760">
        <v>27.3</v>
      </c>
      <c r="BP24" s="2760">
        <v>18</v>
      </c>
      <c r="BQ24" s="2760">
        <v>1.93</v>
      </c>
      <c r="BR24" s="2760">
        <v>2.39</v>
      </c>
      <c r="BS24" s="2760">
        <v>3.1</v>
      </c>
      <c r="BT24" s="2760" t="s">
        <v>1735</v>
      </c>
      <c r="BU24" s="2760" t="s">
        <v>1735</v>
      </c>
      <c r="BV24" s="2760" t="s">
        <v>1735</v>
      </c>
      <c r="BW24" s="2761"/>
    </row>
    <row r="25" spans="1:75" ht="15.5">
      <c r="A25" s="949" t="s">
        <v>20</v>
      </c>
      <c r="B25" s="961">
        <f>B17*B20</f>
        <v>671.02737000000002</v>
      </c>
      <c r="C25" s="961">
        <f>C17*C20</f>
        <v>599.26401642857149</v>
      </c>
      <c r="D25" s="961">
        <f>D17*D20</f>
        <v>230.16482699999997</v>
      </c>
      <c r="E25" s="961">
        <f t="shared" ref="E25:M25" si="19">E17*E20</f>
        <v>231.29712000000004</v>
      </c>
      <c r="F25" s="961">
        <f t="shared" si="19"/>
        <v>2346.8805000000011</v>
      </c>
      <c r="G25" s="961">
        <f t="shared" si="19"/>
        <v>616.27674000000002</v>
      </c>
      <c r="H25" s="961">
        <f t="shared" si="19"/>
        <v>451.2514799999999</v>
      </c>
      <c r="I25" s="961">
        <f t="shared" si="19"/>
        <v>221.71923000000004</v>
      </c>
      <c r="J25" s="961">
        <f t="shared" si="19"/>
        <v>259.83249000000001</v>
      </c>
      <c r="K25" s="961">
        <f t="shared" si="19"/>
        <v>271.45286999999996</v>
      </c>
      <c r="L25" s="961">
        <f t="shared" si="19"/>
        <v>190.84392</v>
      </c>
      <c r="M25" s="961">
        <f t="shared" si="19"/>
        <v>202.72208999999995</v>
      </c>
      <c r="N25" s="962">
        <f>SUM(B25:M25)</f>
        <v>6292.732653428573</v>
      </c>
      <c r="O25" s="963"/>
      <c r="P25" s="911"/>
      <c r="AF25" s="937">
        <v>42756</v>
      </c>
      <c r="AG25" s="939"/>
      <c r="AH25" s="939"/>
      <c r="AI25" s="939"/>
      <c r="AJ25" s="939"/>
      <c r="AK25" s="939"/>
      <c r="AL25" s="939"/>
      <c r="AM25" s="939"/>
      <c r="AW25" s="2755">
        <v>43123</v>
      </c>
      <c r="AX25" s="1011">
        <v>1862</v>
      </c>
      <c r="AY25" s="919">
        <v>107</v>
      </c>
      <c r="BI25" s="1010">
        <v>43122</v>
      </c>
      <c r="BJ25" s="919">
        <v>10.8</v>
      </c>
      <c r="BM25" s="2759">
        <v>20</v>
      </c>
      <c r="BN25" s="2760">
        <v>5.71</v>
      </c>
      <c r="BO25" s="2760">
        <v>33</v>
      </c>
      <c r="BP25" s="2760">
        <v>15.4</v>
      </c>
      <c r="BQ25" s="2760">
        <v>1.1000000000000001</v>
      </c>
      <c r="BR25" s="2760">
        <v>1.25</v>
      </c>
      <c r="BS25" s="2760">
        <v>2.5299999999999998</v>
      </c>
      <c r="BT25" s="2760" t="s">
        <v>1735</v>
      </c>
      <c r="BU25" s="2760" t="s">
        <v>1735</v>
      </c>
      <c r="BV25" s="2760" t="s">
        <v>1735</v>
      </c>
      <c r="BW25" s="2761"/>
    </row>
    <row r="26" spans="1:75" ht="15.5">
      <c r="A26" s="954" t="s">
        <v>880</v>
      </c>
      <c r="B26" s="961">
        <f>B18*B20</f>
        <v>1475.3519999999999</v>
      </c>
      <c r="C26" s="961">
        <f t="shared" ref="C26:M26" si="20">C18*C20</f>
        <v>690.08399999999995</v>
      </c>
      <c r="D26" s="961">
        <f t="shared" si="20"/>
        <v>614.73</v>
      </c>
      <c r="E26" s="961">
        <f t="shared" si="20"/>
        <v>547.30799999999999</v>
      </c>
      <c r="F26" s="961">
        <f t="shared" si="20"/>
        <v>2458.92</v>
      </c>
      <c r="G26" s="961">
        <f t="shared" si="20"/>
        <v>844.75800000000004</v>
      </c>
      <c r="H26" s="961">
        <f t="shared" si="20"/>
        <v>799.149</v>
      </c>
      <c r="I26" s="961">
        <f t="shared" si="20"/>
        <v>596.28809999999999</v>
      </c>
      <c r="J26" s="961">
        <f t="shared" si="20"/>
        <v>630.59400000000005</v>
      </c>
      <c r="K26" s="961">
        <f t="shared" si="20"/>
        <v>836.03280000000007</v>
      </c>
      <c r="L26" s="961">
        <f t="shared" si="20"/>
        <v>594.90000000000009</v>
      </c>
      <c r="M26" s="961">
        <f t="shared" si="20"/>
        <v>596.28809999999999</v>
      </c>
      <c r="N26" s="962">
        <f>SUM(B26:M26)</f>
        <v>10684.404</v>
      </c>
      <c r="AF26" s="937">
        <v>42757</v>
      </c>
      <c r="AG26" s="939"/>
      <c r="AH26" s="939"/>
      <c r="AI26" s="939"/>
      <c r="AJ26" s="939"/>
      <c r="AK26" s="939"/>
      <c r="AL26" s="939"/>
      <c r="AM26" s="939"/>
      <c r="AW26" s="2755">
        <v>43124</v>
      </c>
      <c r="AX26" s="1011">
        <v>1861</v>
      </c>
      <c r="AY26" s="919">
        <v>107</v>
      </c>
      <c r="BI26" s="1010">
        <v>43123</v>
      </c>
      <c r="BJ26" s="919">
        <v>10.8</v>
      </c>
      <c r="BM26" s="2759">
        <v>21</v>
      </c>
      <c r="BN26" s="2760">
        <v>7.92</v>
      </c>
      <c r="BO26" s="2760">
        <v>41</v>
      </c>
      <c r="BP26" s="2760">
        <v>12.5</v>
      </c>
      <c r="BQ26" s="2760">
        <v>1.53</v>
      </c>
      <c r="BR26" s="2760">
        <v>2.4</v>
      </c>
      <c r="BS26" s="2760">
        <v>3.45</v>
      </c>
      <c r="BT26" s="2760" t="s">
        <v>1735</v>
      </c>
      <c r="BU26" s="2760" t="s">
        <v>1735</v>
      </c>
      <c r="BV26" s="2760" t="s">
        <v>1735</v>
      </c>
      <c r="BW26" s="2761"/>
    </row>
    <row r="27" spans="1:75" ht="15.5">
      <c r="AF27" s="937">
        <v>42758</v>
      </c>
      <c r="AG27" s="939"/>
      <c r="AH27" s="939"/>
      <c r="AI27" s="939"/>
      <c r="AJ27" s="939"/>
      <c r="AK27" s="939"/>
      <c r="AL27" s="939"/>
      <c r="AM27" s="939"/>
      <c r="AW27" s="2755">
        <v>43125</v>
      </c>
      <c r="AX27" s="1011">
        <v>1864</v>
      </c>
      <c r="AY27" s="919">
        <v>107</v>
      </c>
      <c r="BI27" s="1010">
        <v>43124</v>
      </c>
      <c r="BJ27" s="919">
        <v>9.58</v>
      </c>
      <c r="BM27" s="2759">
        <v>22</v>
      </c>
      <c r="BN27" s="2760">
        <v>4.8600000000000003</v>
      </c>
      <c r="BO27" s="2760">
        <v>29.3</v>
      </c>
      <c r="BP27" s="2760">
        <v>11.5</v>
      </c>
      <c r="BQ27" s="2760">
        <v>3</v>
      </c>
      <c r="BR27" s="2760">
        <v>6.48</v>
      </c>
      <c r="BS27" s="2760">
        <v>3.5</v>
      </c>
      <c r="BT27" s="2760" t="s">
        <v>1735</v>
      </c>
      <c r="BU27" s="2760" t="s">
        <v>1735</v>
      </c>
      <c r="BV27" s="2760" t="s">
        <v>1735</v>
      </c>
      <c r="BW27" s="2761"/>
    </row>
    <row r="28" spans="1:75" ht="15.5">
      <c r="AF28" s="937">
        <v>42759</v>
      </c>
      <c r="AG28" s="939"/>
      <c r="AH28" s="939"/>
      <c r="AI28" s="939"/>
      <c r="AJ28" s="939"/>
      <c r="AK28" s="939"/>
      <c r="AL28" s="939"/>
      <c r="AM28" s="939"/>
      <c r="AW28" s="2755">
        <v>43126</v>
      </c>
      <c r="AX28" s="1011">
        <v>1863</v>
      </c>
      <c r="AY28" s="919">
        <v>107</v>
      </c>
      <c r="BI28" s="1010">
        <v>43125</v>
      </c>
      <c r="BJ28" s="919">
        <v>11.4</v>
      </c>
      <c r="BM28" s="2759">
        <v>23</v>
      </c>
      <c r="BN28" s="2760">
        <v>5.86</v>
      </c>
      <c r="BO28" s="2760">
        <v>23.5</v>
      </c>
      <c r="BP28" s="2760">
        <v>11.8</v>
      </c>
      <c r="BQ28" s="2760">
        <v>8</v>
      </c>
      <c r="BR28" s="2760">
        <v>5.48</v>
      </c>
      <c r="BS28" s="2760">
        <v>3.36</v>
      </c>
      <c r="BT28" s="2760" t="s">
        <v>1735</v>
      </c>
      <c r="BU28" s="2760" t="s">
        <v>1735</v>
      </c>
      <c r="BV28" s="2760" t="s">
        <v>1735</v>
      </c>
      <c r="BW28" s="2761"/>
    </row>
    <row r="29" spans="1:75" ht="15.5">
      <c r="AF29" s="937">
        <v>42760</v>
      </c>
      <c r="AG29" s="939"/>
      <c r="AH29" s="939"/>
      <c r="AI29" s="939"/>
      <c r="AJ29" s="939"/>
      <c r="AK29" s="939"/>
      <c r="AL29" s="939"/>
      <c r="AM29" s="939"/>
      <c r="AW29" s="2755">
        <v>43127</v>
      </c>
      <c r="AX29" s="1011">
        <v>1859</v>
      </c>
      <c r="AY29" s="919">
        <v>107</v>
      </c>
      <c r="BI29" s="1010">
        <v>43126</v>
      </c>
      <c r="BJ29" s="919">
        <v>11.4</v>
      </c>
      <c r="BM29" s="2759">
        <v>24</v>
      </c>
      <c r="BN29" s="2760">
        <v>7.77</v>
      </c>
      <c r="BO29" s="2760">
        <v>20</v>
      </c>
      <c r="BP29" s="2760">
        <v>10.3</v>
      </c>
      <c r="BQ29" s="2760">
        <v>16.8</v>
      </c>
      <c r="BR29" s="2760">
        <v>1.8</v>
      </c>
      <c r="BS29" s="2760">
        <v>1.6</v>
      </c>
      <c r="BT29" s="2760" t="s">
        <v>1735</v>
      </c>
      <c r="BU29" s="2760" t="s">
        <v>1735</v>
      </c>
      <c r="BV29" s="2760" t="s">
        <v>1735</v>
      </c>
      <c r="BW29" s="2761"/>
    </row>
    <row r="30" spans="1:75" ht="15.5">
      <c r="AF30" s="937">
        <v>42761</v>
      </c>
      <c r="AG30" s="939"/>
      <c r="AH30" s="939"/>
      <c r="AI30" s="939"/>
      <c r="AJ30" s="939"/>
      <c r="AK30" s="939"/>
      <c r="AL30" s="939"/>
      <c r="AM30" s="939"/>
      <c r="AW30" s="2755">
        <v>43128</v>
      </c>
      <c r="AX30" s="1011">
        <v>1863</v>
      </c>
      <c r="AY30" s="919">
        <v>107</v>
      </c>
      <c r="BI30" s="1010">
        <v>43127</v>
      </c>
      <c r="BJ30" s="919">
        <v>8.43</v>
      </c>
      <c r="BM30" s="2759">
        <v>25</v>
      </c>
      <c r="BN30" s="2760">
        <v>5.54</v>
      </c>
      <c r="BO30" s="2760">
        <v>19.100000000000001</v>
      </c>
      <c r="BP30" s="2760">
        <v>12.1</v>
      </c>
      <c r="BQ30" s="2760">
        <v>7.44</v>
      </c>
      <c r="BR30" s="2760">
        <v>1.5</v>
      </c>
      <c r="BS30" s="2760">
        <v>2.2999999999999998</v>
      </c>
      <c r="BT30" s="2760" t="s">
        <v>1735</v>
      </c>
      <c r="BU30" s="2760" t="s">
        <v>1735</v>
      </c>
      <c r="BV30" s="2760" t="s">
        <v>1735</v>
      </c>
      <c r="BW30" s="2761"/>
    </row>
    <row r="31" spans="1:75" ht="15.5">
      <c r="AF31" s="937">
        <v>42762</v>
      </c>
      <c r="AG31" s="939"/>
      <c r="AH31" s="939"/>
      <c r="AI31" s="939"/>
      <c r="AJ31" s="939"/>
      <c r="AK31" s="939"/>
      <c r="AL31" s="939"/>
      <c r="AM31" s="939"/>
      <c r="AW31" s="2755">
        <v>43129</v>
      </c>
      <c r="AX31" s="1011">
        <v>1863</v>
      </c>
      <c r="AY31" s="919">
        <v>107</v>
      </c>
      <c r="BI31" s="1010">
        <v>43128</v>
      </c>
      <c r="BJ31" s="919">
        <v>10.7</v>
      </c>
      <c r="BM31" s="2759">
        <v>26</v>
      </c>
      <c r="BN31" s="2760">
        <v>5.7</v>
      </c>
      <c r="BO31" s="2760">
        <v>17</v>
      </c>
      <c r="BP31" s="2760">
        <v>8.5500000000000007</v>
      </c>
      <c r="BQ31" s="2760">
        <v>17.899999999999999</v>
      </c>
      <c r="BR31" s="2760">
        <v>1</v>
      </c>
      <c r="BS31" s="2760">
        <v>3.74</v>
      </c>
      <c r="BT31" s="2760" t="s">
        <v>1735</v>
      </c>
      <c r="BU31" s="2760" t="s">
        <v>1735</v>
      </c>
      <c r="BV31" s="2760" t="s">
        <v>1735</v>
      </c>
      <c r="BW31" s="2761"/>
    </row>
    <row r="32" spans="1:75" ht="15.5">
      <c r="AF32" s="937">
        <v>42763</v>
      </c>
      <c r="AG32" s="939"/>
      <c r="AH32" s="939"/>
      <c r="AI32" s="939"/>
      <c r="AJ32" s="939"/>
      <c r="AK32" s="939"/>
      <c r="AL32" s="939"/>
      <c r="AM32" s="939"/>
      <c r="AW32" s="2755">
        <v>43130</v>
      </c>
      <c r="AX32" s="1011">
        <v>1863</v>
      </c>
      <c r="AY32" s="919">
        <v>107</v>
      </c>
      <c r="BI32" s="1010">
        <v>43129</v>
      </c>
      <c r="BJ32" s="919">
        <v>11</v>
      </c>
      <c r="BM32" s="2759">
        <v>27</v>
      </c>
      <c r="BN32" s="2760">
        <v>4.8</v>
      </c>
      <c r="BO32" s="2760">
        <v>15.6</v>
      </c>
      <c r="BP32" s="2760">
        <v>6</v>
      </c>
      <c r="BQ32" s="2760">
        <v>8.9</v>
      </c>
      <c r="BR32" s="2760">
        <v>1.5</v>
      </c>
      <c r="BS32" s="2760">
        <v>2.9</v>
      </c>
      <c r="BT32" s="2760" t="s">
        <v>1735</v>
      </c>
      <c r="BU32" s="2760" t="s">
        <v>1735</v>
      </c>
      <c r="BV32" s="2760" t="s">
        <v>1735</v>
      </c>
      <c r="BW32" s="2761"/>
    </row>
    <row r="33" spans="32:75" ht="15.5">
      <c r="AF33" s="937">
        <v>42764</v>
      </c>
      <c r="AG33" s="939"/>
      <c r="AH33" s="939"/>
      <c r="AI33" s="939"/>
      <c r="AJ33" s="939"/>
      <c r="AK33" s="939"/>
      <c r="AL33" s="939"/>
      <c r="AM33" s="939"/>
      <c r="AW33" s="2755">
        <v>43131</v>
      </c>
      <c r="AX33" s="1011">
        <v>1864</v>
      </c>
      <c r="AY33" s="919">
        <v>107</v>
      </c>
      <c r="BI33" s="1010">
        <v>43130</v>
      </c>
      <c r="BJ33" s="919">
        <v>11.5</v>
      </c>
      <c r="BM33" s="2759">
        <v>28</v>
      </c>
      <c r="BN33" s="2760">
        <v>6.61</v>
      </c>
      <c r="BO33" s="2760">
        <v>18.5</v>
      </c>
      <c r="BP33" s="2760">
        <v>5.0999999999999996</v>
      </c>
      <c r="BQ33" s="2760">
        <v>5.8</v>
      </c>
      <c r="BR33" s="2760">
        <v>0.8</v>
      </c>
      <c r="BS33" s="2760">
        <v>2.94</v>
      </c>
      <c r="BT33" s="2760" t="s">
        <v>1735</v>
      </c>
      <c r="BU33" s="2761" t="s">
        <v>1734</v>
      </c>
      <c r="BV33" s="2760" t="s">
        <v>1735</v>
      </c>
      <c r="BW33" s="2761"/>
    </row>
    <row r="34" spans="32:75" ht="15.5">
      <c r="AF34" s="937">
        <v>42765</v>
      </c>
      <c r="AG34" s="939"/>
      <c r="AH34" s="939"/>
      <c r="AI34" s="939"/>
      <c r="AJ34" s="939"/>
      <c r="AK34" s="939"/>
      <c r="AL34" s="939"/>
      <c r="AM34" s="939"/>
      <c r="AW34" s="2755">
        <v>43132</v>
      </c>
      <c r="AX34" s="1011">
        <v>1865</v>
      </c>
      <c r="AY34" s="919">
        <v>107</v>
      </c>
      <c r="BI34" s="1010">
        <v>43131</v>
      </c>
      <c r="BJ34" s="919">
        <v>12.1</v>
      </c>
      <c r="BM34" s="2759">
        <v>29</v>
      </c>
      <c r="BN34" s="2760">
        <v>7.31</v>
      </c>
      <c r="BO34" s="2760">
        <v>30.3</v>
      </c>
      <c r="BP34" s="2760">
        <v>3.83</v>
      </c>
      <c r="BQ34" s="2760">
        <v>8.1999999999999993</v>
      </c>
      <c r="BR34" s="2760">
        <v>2.2999999999999998</v>
      </c>
      <c r="BS34" s="2760">
        <v>3.3</v>
      </c>
      <c r="BT34" s="2760" t="s">
        <v>1735</v>
      </c>
      <c r="BU34" s="2761" t="s">
        <v>1734</v>
      </c>
      <c r="BV34" s="2760" t="s">
        <v>1735</v>
      </c>
      <c r="BW34" s="2761"/>
    </row>
    <row r="35" spans="32:75" ht="15.5">
      <c r="AF35" s="937">
        <v>42766</v>
      </c>
      <c r="AG35" s="939"/>
      <c r="AH35" s="939"/>
      <c r="AI35" s="939"/>
      <c r="AJ35" s="939"/>
      <c r="AK35" s="939"/>
      <c r="AL35" s="939"/>
      <c r="AM35" s="939"/>
      <c r="AW35" s="2755">
        <v>43133</v>
      </c>
      <c r="AX35" s="1011">
        <v>1863</v>
      </c>
      <c r="AY35" s="919">
        <v>107</v>
      </c>
      <c r="BI35" s="1010">
        <v>43132</v>
      </c>
      <c r="BJ35" s="919">
        <v>11.9</v>
      </c>
      <c r="BM35" s="2759">
        <v>30</v>
      </c>
      <c r="BN35" s="2760">
        <v>6.76</v>
      </c>
      <c r="BO35" s="2760">
        <v>19.8</v>
      </c>
      <c r="BP35" s="2760">
        <v>3</v>
      </c>
      <c r="BQ35" s="2760">
        <v>7.7</v>
      </c>
      <c r="BR35" s="2760">
        <v>2.9</v>
      </c>
      <c r="BS35" s="2760">
        <v>2.4300000000000002</v>
      </c>
      <c r="BT35" s="2760" t="s">
        <v>1735</v>
      </c>
      <c r="BU35" s="2760" t="s">
        <v>1735</v>
      </c>
      <c r="BV35" s="2760" t="s">
        <v>1735</v>
      </c>
      <c r="BW35" s="2761"/>
    </row>
    <row r="36" spans="32:75" ht="15.5">
      <c r="AF36" s="937">
        <v>42767</v>
      </c>
      <c r="AG36" s="939"/>
      <c r="AH36" s="939"/>
      <c r="AI36" s="939"/>
      <c r="AJ36" s="939"/>
      <c r="AK36" s="939"/>
      <c r="AL36" s="939"/>
      <c r="AM36" s="939"/>
      <c r="AW36" s="2755">
        <v>43134</v>
      </c>
      <c r="AX36" s="1011">
        <v>1865</v>
      </c>
      <c r="AY36" s="919">
        <v>107</v>
      </c>
      <c r="BI36" s="1010">
        <v>43133</v>
      </c>
      <c r="BJ36" s="919">
        <v>11.2</v>
      </c>
      <c r="BM36" s="2759">
        <v>31</v>
      </c>
      <c r="BN36" s="2761"/>
      <c r="BO36" s="2760">
        <v>18.2</v>
      </c>
      <c r="BP36" s="2761"/>
      <c r="BQ36" s="2760">
        <v>6.4</v>
      </c>
      <c r="BR36" s="2760">
        <v>1.7</v>
      </c>
      <c r="BS36" s="2761"/>
      <c r="BT36" s="2760" t="s">
        <v>1735</v>
      </c>
      <c r="BU36" s="2761"/>
      <c r="BV36" s="2760" t="s">
        <v>1735</v>
      </c>
      <c r="BW36" s="2761"/>
    </row>
    <row r="37" spans="32:75" ht="14.5">
      <c r="AF37" s="937">
        <v>42768</v>
      </c>
      <c r="AG37" s="939"/>
      <c r="AH37" s="939"/>
      <c r="AI37" s="939"/>
      <c r="AJ37" s="939"/>
      <c r="AK37" s="939"/>
      <c r="AL37" s="939"/>
      <c r="AM37" s="939"/>
      <c r="AW37" s="2755">
        <v>43135</v>
      </c>
      <c r="AX37" s="1011">
        <v>1865</v>
      </c>
      <c r="AY37" s="919">
        <v>107</v>
      </c>
      <c r="BI37" s="1010">
        <v>43134</v>
      </c>
      <c r="BJ37" s="919">
        <v>12.1</v>
      </c>
      <c r="BN37" s="2762">
        <f>AVERAGE(BN6:BN36)</f>
        <v>5.5938461538461537</v>
      </c>
      <c r="BO37" s="2762">
        <f t="shared" ref="BO37:BS37" si="21">AVERAGE(BO6:BO36)</f>
        <v>27.170967741935481</v>
      </c>
      <c r="BP37" s="2762">
        <f t="shared" si="21"/>
        <v>10.808666666666671</v>
      </c>
      <c r="BQ37" s="2762">
        <f t="shared" si="21"/>
        <v>5.1470967741935487</v>
      </c>
      <c r="BR37" s="2762">
        <f t="shared" si="21"/>
        <v>2.7583870967741939</v>
      </c>
      <c r="BS37" s="2762">
        <f t="shared" si="21"/>
        <v>5.1106666666666687</v>
      </c>
    </row>
    <row r="38" spans="32:75" ht="14.5">
      <c r="AF38" s="937">
        <v>42769</v>
      </c>
      <c r="AG38" s="939"/>
      <c r="AH38" s="939"/>
      <c r="AI38" s="939"/>
      <c r="AJ38" s="939"/>
      <c r="AK38" s="939"/>
      <c r="AL38" s="939"/>
      <c r="AM38" s="939"/>
      <c r="AW38" s="2755">
        <v>43136</v>
      </c>
      <c r="AX38" s="1011">
        <v>1865</v>
      </c>
      <c r="AY38" s="919">
        <v>107</v>
      </c>
      <c r="BI38" s="1010">
        <v>43135</v>
      </c>
      <c r="BJ38" s="919">
        <v>12.7</v>
      </c>
    </row>
    <row r="39" spans="32:75" ht="14.5">
      <c r="AF39" s="937">
        <v>42770</v>
      </c>
      <c r="AG39" s="939"/>
      <c r="AH39" s="939"/>
      <c r="AI39" s="939"/>
      <c r="AJ39" s="939"/>
      <c r="AK39" s="939"/>
      <c r="AL39" s="939"/>
      <c r="AM39" s="939"/>
      <c r="AW39" s="2755">
        <v>43137</v>
      </c>
      <c r="AX39" s="1011">
        <v>1865</v>
      </c>
      <c r="AY39" s="919">
        <v>107</v>
      </c>
      <c r="BI39" s="1010">
        <v>43136</v>
      </c>
      <c r="BJ39" s="919">
        <v>12.2</v>
      </c>
    </row>
    <row r="40" spans="32:75" ht="14.5">
      <c r="AF40" s="937">
        <v>42771</v>
      </c>
      <c r="AG40" s="939"/>
      <c r="AH40" s="939"/>
      <c r="AI40" s="939"/>
      <c r="AJ40" s="939"/>
      <c r="AK40" s="939"/>
      <c r="AL40" s="939"/>
      <c r="AM40" s="939"/>
      <c r="AW40" s="2755">
        <v>43138</v>
      </c>
      <c r="AX40" s="1011">
        <v>1864</v>
      </c>
      <c r="AY40" s="919">
        <v>107</v>
      </c>
      <c r="BI40" s="1010">
        <v>43137</v>
      </c>
      <c r="BJ40" s="919">
        <v>12.2</v>
      </c>
    </row>
    <row r="41" spans="32:75" ht="14.5">
      <c r="AF41" s="937">
        <v>42772</v>
      </c>
      <c r="AG41" s="939"/>
      <c r="AH41" s="939"/>
      <c r="AI41" s="939"/>
      <c r="AJ41" s="939"/>
      <c r="AK41" s="939"/>
      <c r="AL41" s="939"/>
      <c r="AM41" s="939"/>
      <c r="AW41" s="2755">
        <v>43139</v>
      </c>
      <c r="AX41" s="1011">
        <v>1863</v>
      </c>
      <c r="AY41" s="919">
        <v>107</v>
      </c>
      <c r="BI41" s="1010">
        <v>43138</v>
      </c>
      <c r="BJ41" s="919">
        <v>11.6</v>
      </c>
    </row>
    <row r="42" spans="32:75" ht="14.5">
      <c r="AF42" s="937">
        <v>42773</v>
      </c>
      <c r="AG42" s="939"/>
      <c r="AH42" s="939"/>
      <c r="AI42" s="939"/>
      <c r="AJ42" s="939"/>
      <c r="AK42" s="939"/>
      <c r="AL42" s="939"/>
      <c r="AM42" s="939"/>
      <c r="AW42" s="2755">
        <v>43140</v>
      </c>
      <c r="AX42" s="1011">
        <v>1863</v>
      </c>
      <c r="AY42" s="919">
        <v>107</v>
      </c>
      <c r="BI42" s="1010">
        <v>43139</v>
      </c>
      <c r="BJ42" s="919">
        <v>11.4</v>
      </c>
    </row>
    <row r="43" spans="32:75" ht="14.5">
      <c r="AF43" s="937">
        <v>42774</v>
      </c>
      <c r="AG43" s="939"/>
      <c r="AH43" s="939"/>
      <c r="AI43" s="939"/>
      <c r="AJ43" s="939"/>
      <c r="AK43" s="939"/>
      <c r="AL43" s="939"/>
      <c r="AM43" s="939"/>
      <c r="AW43" s="2755">
        <v>43141</v>
      </c>
      <c r="AX43" s="1011">
        <v>1862</v>
      </c>
      <c r="AY43" s="919">
        <v>107</v>
      </c>
      <c r="BI43" s="1010">
        <v>43140</v>
      </c>
      <c r="BJ43" s="919">
        <v>11.1</v>
      </c>
    </row>
    <row r="44" spans="32:75" ht="14.5">
      <c r="AF44" s="937">
        <v>42775</v>
      </c>
      <c r="AG44" s="939"/>
      <c r="AH44" s="939"/>
      <c r="AI44" s="939"/>
      <c r="AJ44" s="939"/>
      <c r="AK44" s="939"/>
      <c r="AL44" s="939"/>
      <c r="AM44" s="939"/>
      <c r="AW44" s="2755">
        <v>43142</v>
      </c>
      <c r="AX44" s="1011">
        <v>1859</v>
      </c>
      <c r="AY44" s="919">
        <v>107</v>
      </c>
      <c r="BI44" s="1010">
        <v>43141</v>
      </c>
      <c r="BJ44" s="919">
        <v>11</v>
      </c>
    </row>
    <row r="45" spans="32:75" ht="14.5">
      <c r="AF45" s="937">
        <v>42776</v>
      </c>
      <c r="AG45" s="939"/>
      <c r="AH45" s="939"/>
      <c r="AI45" s="939"/>
      <c r="AJ45" s="939"/>
      <c r="AK45" s="939"/>
      <c r="AL45" s="939"/>
      <c r="AM45" s="939"/>
      <c r="AW45" s="2755">
        <v>43143</v>
      </c>
      <c r="AX45" s="1011">
        <v>1863</v>
      </c>
      <c r="AY45" s="919">
        <v>107</v>
      </c>
      <c r="BI45" s="1010">
        <v>43142</v>
      </c>
      <c r="BJ45" s="919">
        <v>8.42</v>
      </c>
    </row>
    <row r="46" spans="32:75" ht="14.5">
      <c r="AF46" s="937">
        <v>42777</v>
      </c>
      <c r="AG46" s="939"/>
      <c r="AH46" s="939"/>
      <c r="AI46" s="939"/>
      <c r="AJ46" s="939"/>
      <c r="AK46" s="939"/>
      <c r="AL46" s="939"/>
      <c r="AM46" s="939"/>
      <c r="AW46" s="2755">
        <v>43144</v>
      </c>
      <c r="AX46" s="1011">
        <v>1862</v>
      </c>
      <c r="AY46" s="919">
        <v>107</v>
      </c>
      <c r="BI46" s="1010">
        <v>43143</v>
      </c>
      <c r="BJ46" s="919">
        <v>10.9</v>
      </c>
    </row>
    <row r="47" spans="32:75" ht="14.5">
      <c r="AF47" s="937">
        <v>42778</v>
      </c>
      <c r="AG47" s="939"/>
      <c r="AH47" s="939"/>
      <c r="AI47" s="939"/>
      <c r="AJ47" s="939"/>
      <c r="AK47" s="939"/>
      <c r="AL47" s="939"/>
      <c r="AM47" s="939"/>
      <c r="AW47" s="2755">
        <v>43145</v>
      </c>
      <c r="AX47" s="1011">
        <v>1865</v>
      </c>
      <c r="AY47" s="919">
        <v>107</v>
      </c>
      <c r="BI47" s="1010">
        <v>43144</v>
      </c>
      <c r="BJ47" s="919">
        <v>8.61</v>
      </c>
    </row>
    <row r="48" spans="32:75" ht="14.5">
      <c r="AF48" s="937">
        <v>42779</v>
      </c>
      <c r="AG48" s="939"/>
      <c r="AH48" s="939"/>
      <c r="AI48" s="939"/>
      <c r="AJ48" s="939"/>
      <c r="AK48" s="939"/>
      <c r="AL48" s="939"/>
      <c r="AM48" s="939"/>
      <c r="AW48" s="2755">
        <v>43146</v>
      </c>
      <c r="AX48" s="1011">
        <v>1869</v>
      </c>
      <c r="AY48" s="919">
        <v>107</v>
      </c>
      <c r="BI48" s="1010">
        <v>43145</v>
      </c>
      <c r="BJ48" s="919">
        <v>9.8699999999999992</v>
      </c>
    </row>
    <row r="49" spans="1:62" ht="14.5">
      <c r="AF49" s="937">
        <v>42780</v>
      </c>
      <c r="AG49" s="939"/>
      <c r="AH49" s="939"/>
      <c r="AI49" s="939"/>
      <c r="AJ49" s="939"/>
      <c r="AK49" s="939"/>
      <c r="AL49" s="939"/>
      <c r="AM49" s="939"/>
      <c r="AW49" s="2755">
        <v>43147</v>
      </c>
      <c r="AX49" s="1011">
        <v>1870</v>
      </c>
      <c r="AY49" s="919">
        <v>107</v>
      </c>
      <c r="BI49" s="1010">
        <v>43146</v>
      </c>
      <c r="BJ49" s="919">
        <v>12.3</v>
      </c>
    </row>
    <row r="50" spans="1:62" ht="14.5">
      <c r="AF50" s="937">
        <v>42781</v>
      </c>
      <c r="AG50" s="939"/>
      <c r="AH50" s="939"/>
      <c r="AI50" s="939"/>
      <c r="AJ50" s="939"/>
      <c r="AK50" s="939"/>
      <c r="AL50" s="939"/>
      <c r="AM50" s="939"/>
      <c r="AW50" s="2755">
        <v>43148</v>
      </c>
      <c r="AX50" s="1011">
        <v>1865</v>
      </c>
      <c r="AY50" s="919">
        <v>107</v>
      </c>
      <c r="BI50" s="1010">
        <v>43147</v>
      </c>
      <c r="BJ50" s="919">
        <v>13</v>
      </c>
    </row>
    <row r="51" spans="1:62" ht="12.75" customHeight="1">
      <c r="A51" s="2944" t="s">
        <v>121</v>
      </c>
      <c r="B51" s="2944"/>
      <c r="C51" s="2944"/>
      <c r="D51" s="2944"/>
      <c r="E51" s="968"/>
      <c r="AF51" s="937">
        <v>42782</v>
      </c>
      <c r="AG51" s="939"/>
      <c r="AH51" s="939"/>
      <c r="AI51" s="939"/>
      <c r="AJ51" s="939"/>
      <c r="AK51" s="939"/>
      <c r="AL51" s="939"/>
      <c r="AM51" s="939"/>
      <c r="AW51" s="2755">
        <v>43149</v>
      </c>
      <c r="AX51" s="1011">
        <v>1864</v>
      </c>
      <c r="AY51" s="919">
        <v>107</v>
      </c>
      <c r="BI51" s="1010">
        <v>43148</v>
      </c>
      <c r="BJ51" s="919">
        <v>10.6</v>
      </c>
    </row>
    <row r="52" spans="1:62" ht="12.75" customHeight="1">
      <c r="A52" s="2944" t="s">
        <v>122</v>
      </c>
      <c r="B52" s="2944"/>
      <c r="C52" s="2944"/>
      <c r="D52" s="2944"/>
      <c r="E52" s="969"/>
      <c r="AF52" s="937">
        <v>42783</v>
      </c>
      <c r="AG52" s="939"/>
      <c r="AH52" s="939"/>
      <c r="AI52" s="939"/>
      <c r="AJ52" s="939"/>
      <c r="AK52" s="939"/>
      <c r="AL52" s="939"/>
      <c r="AM52" s="939"/>
      <c r="AW52" s="2755">
        <v>43150</v>
      </c>
      <c r="AX52" s="1011">
        <v>1865</v>
      </c>
      <c r="AY52" s="919">
        <v>107</v>
      </c>
      <c r="BI52" s="1010">
        <v>43149</v>
      </c>
      <c r="BJ52" s="919">
        <v>10.9</v>
      </c>
    </row>
    <row r="53" spans="1:62" ht="12.75" customHeight="1">
      <c r="A53" s="2944" t="s">
        <v>123</v>
      </c>
      <c r="B53" s="2944"/>
      <c r="C53" s="2944"/>
      <c r="D53" s="2944"/>
      <c r="E53" s="969"/>
      <c r="AF53" s="937">
        <v>42784</v>
      </c>
      <c r="AG53" s="939"/>
      <c r="AH53" s="939"/>
      <c r="AI53" s="939"/>
      <c r="AJ53" s="939"/>
      <c r="AK53" s="939"/>
      <c r="AL53" s="939"/>
      <c r="AM53" s="939"/>
      <c r="AW53" s="2755">
        <v>43151</v>
      </c>
      <c r="AX53" s="1011">
        <v>1858</v>
      </c>
      <c r="AY53" s="919">
        <v>107</v>
      </c>
      <c r="BI53" s="1010">
        <v>43150</v>
      </c>
      <c r="BJ53" s="919">
        <v>12.1</v>
      </c>
    </row>
    <row r="54" spans="1:62" ht="12.75" customHeight="1">
      <c r="A54" s="2944" t="s">
        <v>124</v>
      </c>
      <c r="B54" s="2944"/>
      <c r="C54" s="2944"/>
      <c r="D54" s="2944"/>
      <c r="E54" s="969"/>
      <c r="AF54" s="937">
        <v>42785</v>
      </c>
      <c r="AG54" s="938"/>
      <c r="AH54" s="938"/>
      <c r="AI54" s="939"/>
      <c r="AJ54" s="939"/>
      <c r="AK54" s="939"/>
      <c r="AL54" s="939"/>
      <c r="AM54" s="939"/>
      <c r="AW54" s="2755">
        <v>43152</v>
      </c>
      <c r="AX54" s="1011">
        <v>1854</v>
      </c>
      <c r="AY54" s="919">
        <v>107</v>
      </c>
      <c r="BI54" s="1010">
        <v>43151</v>
      </c>
      <c r="BJ54" s="919">
        <v>7.72</v>
      </c>
    </row>
    <row r="55" spans="1:62" ht="12.75" customHeight="1">
      <c r="A55" s="2944" t="s">
        <v>125</v>
      </c>
      <c r="B55" s="2944"/>
      <c r="C55" s="2944"/>
      <c r="D55" s="2944"/>
      <c r="E55" s="970"/>
      <c r="AF55" s="937">
        <v>42786</v>
      </c>
      <c r="AG55" s="938"/>
      <c r="AH55" s="938"/>
      <c r="AI55" s="939"/>
      <c r="AJ55" s="939"/>
      <c r="AK55" s="939"/>
      <c r="AL55" s="939"/>
      <c r="AM55" s="939"/>
      <c r="AW55" s="2755">
        <v>43153</v>
      </c>
      <c r="AX55" s="1011">
        <v>1859</v>
      </c>
      <c r="AY55" s="919">
        <v>107</v>
      </c>
      <c r="BI55" s="1010">
        <v>43152</v>
      </c>
      <c r="BJ55" s="919">
        <v>5.78</v>
      </c>
    </row>
    <row r="56" spans="1:62" ht="17.25" customHeight="1">
      <c r="A56" s="2944" t="s">
        <v>126</v>
      </c>
      <c r="B56" s="2944"/>
      <c r="C56" s="2944"/>
      <c r="D56" s="2944"/>
      <c r="E56" s="970"/>
      <c r="G56" s="2951" t="s">
        <v>243</v>
      </c>
      <c r="H56" s="2951"/>
      <c r="I56" s="2951"/>
      <c r="J56" s="2951"/>
      <c r="K56" s="2951"/>
      <c r="L56" s="2951"/>
      <c r="M56" s="2951"/>
      <c r="N56" s="2951"/>
      <c r="AF56" s="937">
        <v>42787</v>
      </c>
      <c r="AG56" s="938"/>
      <c r="AH56" s="938"/>
      <c r="AI56" s="939"/>
      <c r="AJ56" s="939"/>
      <c r="AK56" s="939"/>
      <c r="AL56" s="939"/>
      <c r="AM56" s="939"/>
      <c r="AO56" s="971"/>
      <c r="AP56" s="971"/>
      <c r="AQ56" s="971"/>
      <c r="AW56" s="2755">
        <v>43154</v>
      </c>
      <c r="AX56" s="1011">
        <v>1861</v>
      </c>
      <c r="AY56" s="919">
        <v>107</v>
      </c>
      <c r="BI56" s="1010">
        <v>43153</v>
      </c>
      <c r="BJ56" s="919">
        <v>8.2100000000000009</v>
      </c>
    </row>
    <row r="57" spans="1:62" ht="31.5">
      <c r="A57" s="972" t="s">
        <v>183</v>
      </c>
      <c r="B57" s="973" t="s">
        <v>186</v>
      </c>
      <c r="C57" s="973" t="s">
        <v>184</v>
      </c>
      <c r="E57" s="945"/>
      <c r="F57" s="945"/>
      <c r="AF57" s="937">
        <v>42788</v>
      </c>
      <c r="AG57" s="938"/>
      <c r="AH57" s="938"/>
      <c r="AI57" s="939"/>
      <c r="AJ57" s="939"/>
      <c r="AK57" s="939"/>
      <c r="AL57" s="939"/>
      <c r="AM57" s="939"/>
      <c r="AO57" s="971"/>
      <c r="AP57" s="971"/>
      <c r="AQ57" s="971"/>
      <c r="AW57" s="2755">
        <v>43155</v>
      </c>
      <c r="AX57" s="1011">
        <v>1862</v>
      </c>
      <c r="AY57" s="919">
        <v>107</v>
      </c>
      <c r="BI57" s="1010">
        <v>43154</v>
      </c>
      <c r="BJ57" s="919">
        <v>9.52</v>
      </c>
    </row>
    <row r="58" spans="1:62" ht="14.5">
      <c r="A58" s="974">
        <v>1987</v>
      </c>
      <c r="B58" s="975">
        <v>61594.954499999993</v>
      </c>
      <c r="C58" s="941"/>
      <c r="E58" s="976"/>
      <c r="F58" s="976"/>
      <c r="AF58" s="937">
        <v>42789</v>
      </c>
      <c r="AG58" s="938"/>
      <c r="AH58" s="938"/>
      <c r="AI58" s="939"/>
      <c r="AJ58" s="939"/>
      <c r="AK58" s="939"/>
      <c r="AL58" s="939"/>
      <c r="AM58" s="939"/>
      <c r="AO58" s="971"/>
      <c r="AP58" s="971"/>
      <c r="AQ58" s="971"/>
      <c r="AW58" s="2755">
        <v>43156</v>
      </c>
      <c r="AX58" s="1011">
        <v>1859</v>
      </c>
      <c r="AY58" s="919">
        <v>107</v>
      </c>
      <c r="BI58" s="1010">
        <v>43155</v>
      </c>
      <c r="BJ58" s="919">
        <v>9.85</v>
      </c>
    </row>
    <row r="59" spans="1:62" ht="14.5">
      <c r="A59" s="974">
        <v>1988</v>
      </c>
      <c r="B59" s="975">
        <v>26201.379000000001</v>
      </c>
      <c r="C59" s="941"/>
      <c r="E59" s="976"/>
      <c r="F59" s="976"/>
      <c r="AF59" s="937">
        <v>42790</v>
      </c>
      <c r="AG59" s="938"/>
      <c r="AH59" s="938"/>
      <c r="AI59" s="939"/>
      <c r="AJ59" s="939"/>
      <c r="AK59" s="939"/>
      <c r="AL59" s="939"/>
      <c r="AM59" s="939"/>
      <c r="AO59" s="971"/>
      <c r="AP59" s="971"/>
      <c r="AQ59" s="971"/>
      <c r="AW59" s="2755">
        <v>43157</v>
      </c>
      <c r="AX59" s="1011">
        <v>1860</v>
      </c>
      <c r="AY59" s="919">
        <v>107</v>
      </c>
      <c r="BI59" s="1010">
        <v>43156</v>
      </c>
      <c r="BJ59" s="919">
        <v>8.3800000000000008</v>
      </c>
    </row>
    <row r="60" spans="1:62" ht="14.5">
      <c r="A60" s="974">
        <v>1989</v>
      </c>
      <c r="B60" s="975">
        <v>7527.4679999999998</v>
      </c>
      <c r="C60" s="941"/>
      <c r="E60" s="976"/>
      <c r="F60" s="976"/>
      <c r="AF60" s="937">
        <v>42791</v>
      </c>
      <c r="AG60" s="938"/>
      <c r="AH60" s="938"/>
      <c r="AI60" s="939"/>
      <c r="AJ60" s="939"/>
      <c r="AK60" s="939"/>
      <c r="AL60" s="939"/>
      <c r="AM60" s="939"/>
      <c r="AO60" s="971"/>
      <c r="AP60" s="971"/>
      <c r="AQ60" s="971"/>
      <c r="AW60" s="2755">
        <v>43158</v>
      </c>
      <c r="AX60" s="1011">
        <v>1861</v>
      </c>
      <c r="AY60" s="919">
        <v>107</v>
      </c>
      <c r="BI60" s="1010">
        <v>43157</v>
      </c>
      <c r="BJ60" s="919">
        <v>8.92</v>
      </c>
    </row>
    <row r="61" spans="1:62" ht="14.5">
      <c r="A61" s="974">
        <v>1990</v>
      </c>
      <c r="B61" s="975">
        <v>20266.259999999998</v>
      </c>
      <c r="C61" s="941"/>
      <c r="E61" s="976"/>
      <c r="F61" s="976"/>
      <c r="AF61" s="937">
        <v>42792</v>
      </c>
      <c r="AG61" s="938"/>
      <c r="AH61" s="938"/>
      <c r="AI61" s="939"/>
      <c r="AJ61" s="939"/>
      <c r="AK61" s="939"/>
      <c r="AL61" s="939"/>
      <c r="AM61" s="939"/>
      <c r="AO61" s="971"/>
      <c r="AP61" s="971"/>
      <c r="AQ61" s="971"/>
      <c r="AW61" s="2755">
        <v>43159</v>
      </c>
      <c r="AX61" s="1011">
        <v>1862</v>
      </c>
      <c r="AY61" s="919">
        <v>107</v>
      </c>
      <c r="BI61" s="1010">
        <v>43158</v>
      </c>
      <c r="BJ61" s="919">
        <v>9.56</v>
      </c>
    </row>
    <row r="62" spans="1:62" ht="14.5">
      <c r="A62" s="974">
        <v>1991</v>
      </c>
      <c r="B62" s="975">
        <v>25694.7225</v>
      </c>
      <c r="C62" s="941"/>
      <c r="E62" s="976"/>
      <c r="F62" s="976"/>
      <c r="AF62" s="937">
        <v>42793</v>
      </c>
      <c r="AG62" s="938"/>
      <c r="AH62" s="938"/>
      <c r="AI62" s="939"/>
      <c r="AJ62" s="939"/>
      <c r="AK62" s="939"/>
      <c r="AL62" s="939"/>
      <c r="AM62" s="939"/>
      <c r="AO62" s="971"/>
      <c r="AP62" s="971"/>
      <c r="AQ62" s="971"/>
      <c r="AW62" s="2755">
        <v>43160</v>
      </c>
      <c r="AX62" s="1011">
        <v>1861</v>
      </c>
      <c r="AY62" s="919">
        <v>107</v>
      </c>
      <c r="BI62" s="1010">
        <v>43159</v>
      </c>
      <c r="BJ62" s="919">
        <v>9.74</v>
      </c>
    </row>
    <row r="63" spans="1:62" ht="14.5">
      <c r="A63" s="974">
        <v>1992</v>
      </c>
      <c r="B63" s="975">
        <v>18384.392999999996</v>
      </c>
      <c r="C63" s="941"/>
      <c r="E63" s="945"/>
      <c r="F63" s="945"/>
      <c r="AF63" s="937">
        <v>42794</v>
      </c>
      <c r="AG63" s="938"/>
      <c r="AH63" s="938"/>
      <c r="AI63" s="939"/>
      <c r="AJ63" s="939"/>
      <c r="AK63" s="939"/>
      <c r="AL63" s="939"/>
      <c r="AM63" s="939"/>
      <c r="AO63" s="971"/>
      <c r="AP63" s="971"/>
      <c r="AQ63" s="971"/>
      <c r="AW63" s="2755">
        <v>43161</v>
      </c>
      <c r="AX63" s="1011">
        <v>1861</v>
      </c>
      <c r="AY63" s="919">
        <v>107</v>
      </c>
      <c r="BI63" s="1010">
        <v>43160</v>
      </c>
      <c r="BJ63" s="919">
        <v>9.6999999999999993</v>
      </c>
    </row>
    <row r="64" spans="1:62" ht="14.5">
      <c r="A64" s="974">
        <v>1993</v>
      </c>
      <c r="B64" s="975">
        <v>11291.201999999999</v>
      </c>
      <c r="C64" s="941"/>
      <c r="E64" s="945"/>
      <c r="F64" s="945"/>
      <c r="AF64" s="937">
        <v>42795</v>
      </c>
      <c r="AG64" s="938"/>
      <c r="AH64" s="938"/>
      <c r="AI64" s="939"/>
      <c r="AJ64" s="939"/>
      <c r="AK64" s="939"/>
      <c r="AL64" s="939"/>
      <c r="AM64" s="977"/>
      <c r="AO64" s="971"/>
      <c r="AP64" s="971"/>
      <c r="AQ64" s="971"/>
      <c r="AW64" s="2755">
        <v>43162</v>
      </c>
      <c r="AX64" s="1011">
        <v>1864</v>
      </c>
      <c r="AY64" s="919">
        <v>107</v>
      </c>
      <c r="BI64" s="1010">
        <v>43161</v>
      </c>
      <c r="BJ64" s="919">
        <v>8.27</v>
      </c>
    </row>
    <row r="65" spans="1:62" ht="14.5">
      <c r="A65" s="974">
        <v>1994</v>
      </c>
      <c r="B65" s="975">
        <v>13173.069</v>
      </c>
      <c r="C65" s="941"/>
      <c r="E65" s="945"/>
      <c r="F65" s="945"/>
      <c r="AF65" s="937">
        <v>42796</v>
      </c>
      <c r="AG65" s="978"/>
      <c r="AH65" s="978"/>
      <c r="AI65" s="979"/>
      <c r="AJ65" s="979"/>
      <c r="AK65" s="979"/>
      <c r="AL65" s="979"/>
      <c r="AM65" s="980"/>
      <c r="AO65" s="971"/>
      <c r="AP65" s="971"/>
      <c r="AQ65" s="971"/>
      <c r="AW65" s="2755">
        <v>43163</v>
      </c>
      <c r="AX65" s="1011">
        <v>1865</v>
      </c>
      <c r="AY65" s="919">
        <v>107</v>
      </c>
      <c r="BI65" s="1010">
        <v>43162</v>
      </c>
      <c r="BJ65" s="919">
        <v>8.99</v>
      </c>
    </row>
    <row r="66" spans="1:62" ht="14.5">
      <c r="A66" s="974">
        <v>1995</v>
      </c>
      <c r="B66" s="975">
        <v>69556.699499999988</v>
      </c>
      <c r="C66" s="941"/>
      <c r="E66" s="945"/>
      <c r="F66" s="945"/>
      <c r="AF66" s="937">
        <v>42797</v>
      </c>
      <c r="AG66" s="938"/>
      <c r="AH66" s="938"/>
      <c r="AI66" s="939"/>
      <c r="AJ66" s="939"/>
      <c r="AK66" s="939"/>
      <c r="AL66" s="939"/>
      <c r="AM66" s="939"/>
      <c r="AN66" s="971"/>
      <c r="AO66" s="971"/>
      <c r="AP66" s="971"/>
      <c r="AW66" s="2755">
        <v>43164</v>
      </c>
      <c r="AX66" s="1011">
        <v>1862</v>
      </c>
      <c r="AY66" s="919">
        <v>107</v>
      </c>
      <c r="BI66" s="1010">
        <v>43163</v>
      </c>
      <c r="BJ66" s="919">
        <v>10.199999999999999</v>
      </c>
    </row>
    <row r="67" spans="1:62" ht="14.5">
      <c r="A67" s="974">
        <v>1996</v>
      </c>
      <c r="B67" s="975">
        <v>22654.783499999998</v>
      </c>
      <c r="C67" s="941"/>
      <c r="E67" s="945"/>
      <c r="F67" s="945"/>
      <c r="AF67" s="937">
        <v>42798</v>
      </c>
      <c r="AG67" s="938"/>
      <c r="AH67" s="938"/>
      <c r="AI67" s="939"/>
      <c r="AJ67" s="939"/>
      <c r="AK67" s="939"/>
      <c r="AL67" s="939"/>
      <c r="AM67" s="939"/>
      <c r="AN67" s="971"/>
      <c r="AO67" s="971"/>
      <c r="AP67" s="971"/>
      <c r="AW67" s="2755">
        <v>43165</v>
      </c>
      <c r="AX67" s="1011">
        <v>1857</v>
      </c>
      <c r="AY67" s="919">
        <v>107</v>
      </c>
      <c r="BI67" s="1010">
        <v>43164</v>
      </c>
      <c r="BJ67" s="919">
        <v>8.9700000000000006</v>
      </c>
    </row>
    <row r="68" spans="1:62" ht="14.5">
      <c r="A68" s="974">
        <v>1997</v>
      </c>
      <c r="B68" s="975">
        <v>38071.616999999998</v>
      </c>
      <c r="C68" s="941"/>
      <c r="E68" s="945"/>
      <c r="F68" s="945"/>
      <c r="AF68" s="937">
        <v>42799</v>
      </c>
      <c r="AG68" s="938"/>
      <c r="AH68" s="938"/>
      <c r="AI68" s="939"/>
      <c r="AJ68" s="939"/>
      <c r="AK68" s="939"/>
      <c r="AL68" s="939"/>
      <c r="AM68" s="939"/>
      <c r="AN68" s="971"/>
      <c r="AO68" s="981"/>
      <c r="AP68" s="981"/>
      <c r="AW68" s="2755">
        <v>43166</v>
      </c>
      <c r="AX68" s="1011">
        <v>1852</v>
      </c>
      <c r="AY68" s="919">
        <v>107</v>
      </c>
      <c r="BI68" s="1010">
        <v>43165</v>
      </c>
      <c r="BJ68" s="919">
        <v>7.82</v>
      </c>
    </row>
    <row r="69" spans="1:62" ht="14.5">
      <c r="A69" s="974">
        <v>1998</v>
      </c>
      <c r="B69" s="975">
        <v>69122.422500000001</v>
      </c>
      <c r="C69" s="941"/>
      <c r="E69" s="945"/>
      <c r="F69" s="945"/>
      <c r="AF69" s="937">
        <v>42800</v>
      </c>
      <c r="AG69" s="939"/>
      <c r="AH69" s="939"/>
      <c r="AI69" s="939"/>
      <c r="AJ69" s="939"/>
      <c r="AK69" s="939"/>
      <c r="AL69" s="939"/>
      <c r="AM69" s="939"/>
      <c r="AN69" s="971"/>
      <c r="AO69" s="981"/>
      <c r="AP69" s="981"/>
      <c r="AW69" s="2755">
        <v>43167</v>
      </c>
      <c r="AX69" s="1011">
        <v>1850</v>
      </c>
      <c r="AY69" s="919">
        <v>107</v>
      </c>
      <c r="BI69" s="1010">
        <v>43166</v>
      </c>
      <c r="BJ69" s="919">
        <v>4.6399999999999997</v>
      </c>
    </row>
    <row r="70" spans="1:62" ht="14.5">
      <c r="A70" s="974">
        <v>1999</v>
      </c>
      <c r="B70" s="975">
        <v>52692.275999999998</v>
      </c>
      <c r="C70" s="941"/>
      <c r="E70" s="945"/>
      <c r="F70" s="945"/>
      <c r="AF70" s="937">
        <v>42801</v>
      </c>
      <c r="AG70" s="939"/>
      <c r="AH70" s="939"/>
      <c r="AI70" s="939"/>
      <c r="AJ70" s="939"/>
      <c r="AK70" s="939"/>
      <c r="AL70" s="939"/>
      <c r="AM70" s="939"/>
      <c r="AN70" s="971"/>
      <c r="AO70" s="981"/>
      <c r="AP70" s="981"/>
      <c r="AW70" s="2755">
        <v>43168</v>
      </c>
      <c r="AX70" s="1011">
        <v>1851</v>
      </c>
      <c r="AY70" s="919">
        <v>107</v>
      </c>
      <c r="BI70" s="1010">
        <v>43167</v>
      </c>
      <c r="BJ70" s="919">
        <v>2.84</v>
      </c>
    </row>
    <row r="71" spans="1:62" ht="14.5">
      <c r="A71" s="974">
        <v>2000</v>
      </c>
      <c r="B71" s="975">
        <v>13173.069</v>
      </c>
      <c r="C71" s="941"/>
      <c r="D71" s="982"/>
      <c r="E71" s="945"/>
      <c r="F71" s="945"/>
      <c r="AF71" s="937">
        <v>42802</v>
      </c>
      <c r="AG71" s="939"/>
      <c r="AH71" s="939"/>
      <c r="AI71" s="939"/>
      <c r="AJ71" s="939"/>
      <c r="AK71" s="939"/>
      <c r="AL71" s="939"/>
      <c r="AM71" s="939"/>
      <c r="AN71" s="971"/>
      <c r="AO71" s="981"/>
      <c r="AP71" s="981"/>
      <c r="AW71" s="2755">
        <v>43169</v>
      </c>
      <c r="AX71" s="1011">
        <v>1850</v>
      </c>
      <c r="AY71" s="919">
        <v>107</v>
      </c>
      <c r="BI71" s="1010">
        <v>43168</v>
      </c>
      <c r="BJ71" s="919">
        <v>3.44</v>
      </c>
    </row>
    <row r="72" spans="1:62" ht="14.5">
      <c r="A72" s="974">
        <v>2001</v>
      </c>
      <c r="B72" s="975">
        <v>15134.171499999999</v>
      </c>
      <c r="C72" s="941">
        <v>2323</v>
      </c>
      <c r="D72" s="983"/>
      <c r="E72" s="945"/>
      <c r="F72" s="945"/>
      <c r="AF72" s="937">
        <v>42803</v>
      </c>
      <c r="AG72" s="939"/>
      <c r="AH72" s="939"/>
      <c r="AI72" s="939"/>
      <c r="AJ72" s="939"/>
      <c r="AK72" s="939"/>
      <c r="AL72" s="939"/>
      <c r="AM72" s="939"/>
      <c r="AN72" s="971"/>
      <c r="AO72" s="981"/>
      <c r="AP72" s="981"/>
      <c r="AW72" s="2755">
        <v>43170</v>
      </c>
      <c r="AX72" s="1011">
        <v>1850</v>
      </c>
      <c r="AY72" s="919">
        <v>107</v>
      </c>
      <c r="BI72" s="1010">
        <v>43169</v>
      </c>
      <c r="BJ72" s="919">
        <v>3.36</v>
      </c>
    </row>
    <row r="73" spans="1:62" ht="14.5">
      <c r="A73" s="974">
        <v>2002</v>
      </c>
      <c r="B73" s="975">
        <v>4248.6766499999994</v>
      </c>
      <c r="C73" s="975">
        <v>528.37034999999992</v>
      </c>
      <c r="D73" s="983"/>
      <c r="E73" s="945"/>
      <c r="F73" s="945"/>
      <c r="AF73" s="937">
        <v>42804</v>
      </c>
      <c r="AG73" s="939"/>
      <c r="AH73" s="939"/>
      <c r="AI73" s="939"/>
      <c r="AJ73" s="939"/>
      <c r="AK73" s="939"/>
      <c r="AL73" s="939"/>
      <c r="AM73" s="939"/>
      <c r="AN73" s="971"/>
      <c r="AO73" s="981"/>
      <c r="AP73" s="981"/>
      <c r="AW73" s="2755">
        <v>43171</v>
      </c>
      <c r="AX73" s="1011">
        <v>1848</v>
      </c>
      <c r="AY73" s="919">
        <v>107</v>
      </c>
      <c r="BI73" s="1010">
        <v>43170</v>
      </c>
      <c r="BJ73" s="919">
        <v>3.2</v>
      </c>
    </row>
    <row r="74" spans="1:62" ht="14.5">
      <c r="A74" s="974">
        <v>2003</v>
      </c>
      <c r="B74" s="975">
        <v>21641.470499999999</v>
      </c>
      <c r="C74" s="975">
        <v>7455.0884999999998</v>
      </c>
      <c r="D74" s="983"/>
      <c r="E74" s="945"/>
      <c r="F74" s="945"/>
      <c r="AE74" s="911"/>
      <c r="AF74" s="937">
        <v>42805</v>
      </c>
      <c r="AG74" s="939"/>
      <c r="AH74" s="939"/>
      <c r="AI74" s="939"/>
      <c r="AJ74" s="939"/>
      <c r="AK74" s="939"/>
      <c r="AL74" s="939"/>
      <c r="AM74" s="939"/>
      <c r="AN74" s="971"/>
      <c r="AO74" s="981"/>
      <c r="AP74" s="981"/>
      <c r="AW74" s="2755">
        <v>43172</v>
      </c>
      <c r="AX74" s="1011">
        <v>1847</v>
      </c>
      <c r="AY74" s="919">
        <v>107</v>
      </c>
      <c r="BI74" s="1010">
        <v>43171</v>
      </c>
      <c r="BJ74" s="919">
        <v>2.38</v>
      </c>
    </row>
    <row r="75" spans="1:62" ht="14.5">
      <c r="A75" s="974">
        <v>2004</v>
      </c>
      <c r="B75" s="975">
        <v>20924.913449999996</v>
      </c>
      <c r="C75" s="975">
        <v>3988.1104499999997</v>
      </c>
      <c r="D75" s="983"/>
      <c r="E75" s="945"/>
      <c r="F75" s="945"/>
      <c r="AE75" s="911"/>
      <c r="AF75" s="937">
        <v>42806</v>
      </c>
      <c r="AG75" s="939"/>
      <c r="AH75" s="939"/>
      <c r="AI75" s="939"/>
      <c r="AJ75" s="939"/>
      <c r="AK75" s="939"/>
      <c r="AL75" s="939"/>
      <c r="AM75" s="939"/>
      <c r="AN75" s="971"/>
      <c r="AO75" s="981"/>
      <c r="AP75" s="981"/>
      <c r="AW75" s="2755">
        <v>43173</v>
      </c>
      <c r="AX75" s="1011">
        <v>1844</v>
      </c>
      <c r="AY75" s="919">
        <v>107</v>
      </c>
      <c r="BI75" s="1010">
        <v>43172</v>
      </c>
      <c r="BJ75" s="919">
        <v>3.21</v>
      </c>
    </row>
    <row r="76" spans="1:62" ht="14.5">
      <c r="A76" s="974">
        <v>2005</v>
      </c>
      <c r="B76" s="975">
        <v>36624.026999999995</v>
      </c>
      <c r="C76" s="975">
        <v>7455.0884999999998</v>
      </c>
      <c r="D76" s="983"/>
      <c r="E76" s="945"/>
      <c r="F76" s="945"/>
      <c r="AE76" s="911"/>
      <c r="AF76" s="937">
        <v>42807</v>
      </c>
      <c r="AG76" s="939"/>
      <c r="AH76" s="939"/>
      <c r="AI76" s="939"/>
      <c r="AJ76" s="939"/>
      <c r="AK76" s="939"/>
      <c r="AL76" s="939"/>
      <c r="AM76" s="939"/>
      <c r="AN76" s="971"/>
      <c r="AO76" s="981"/>
      <c r="AP76" s="981"/>
      <c r="AW76" s="2755">
        <v>43174</v>
      </c>
      <c r="AX76" s="1011">
        <v>1842</v>
      </c>
      <c r="AY76" s="919">
        <v>107</v>
      </c>
      <c r="BI76" s="1010">
        <v>43173</v>
      </c>
      <c r="BJ76" s="919">
        <v>2.4300000000000002</v>
      </c>
    </row>
    <row r="77" spans="1:62" ht="14.5">
      <c r="A77" s="974">
        <v>2006</v>
      </c>
      <c r="B77" s="975">
        <v>8497.4680000000008</v>
      </c>
      <c r="C77" s="975">
        <v>970</v>
      </c>
      <c r="D77" s="983"/>
      <c r="E77" s="945"/>
      <c r="F77" s="945"/>
      <c r="AE77" s="911"/>
      <c r="AF77" s="937">
        <v>42808</v>
      </c>
      <c r="AG77" s="939"/>
      <c r="AH77" s="939"/>
      <c r="AI77" s="939"/>
      <c r="AJ77" s="939"/>
      <c r="AK77" s="939"/>
      <c r="AL77" s="939"/>
      <c r="AM77" s="939"/>
      <c r="AN77" s="971"/>
      <c r="AO77" s="981"/>
      <c r="AP77" s="981"/>
      <c r="AW77" s="2755">
        <v>43175</v>
      </c>
      <c r="AX77" s="1011">
        <v>1839</v>
      </c>
      <c r="AY77" s="919">
        <v>106</v>
      </c>
      <c r="BI77" s="1010">
        <v>43174</v>
      </c>
      <c r="BJ77" s="919">
        <v>1.72</v>
      </c>
    </row>
    <row r="78" spans="1:62" ht="14.5">
      <c r="A78" s="974">
        <v>2007</v>
      </c>
      <c r="B78" s="975">
        <v>56500</v>
      </c>
      <c r="C78" s="941">
        <v>14861</v>
      </c>
      <c r="AE78" s="911"/>
      <c r="AF78" s="937">
        <v>42809</v>
      </c>
      <c r="AG78" s="939"/>
      <c r="AH78" s="939"/>
      <c r="AI78" s="939"/>
      <c r="AJ78" s="939"/>
      <c r="AK78" s="939"/>
      <c r="AL78" s="939"/>
      <c r="AM78" s="939"/>
      <c r="AN78" s="971"/>
      <c r="AO78" s="981"/>
      <c r="AP78" s="981"/>
      <c r="AW78" s="2755">
        <v>43176</v>
      </c>
      <c r="AX78" s="1011">
        <v>1837</v>
      </c>
      <c r="AY78" s="919">
        <v>106</v>
      </c>
      <c r="BI78" s="1010">
        <v>43175</v>
      </c>
      <c r="BJ78" s="919">
        <v>0.51200000000000001</v>
      </c>
    </row>
    <row r="79" spans="1:62" ht="16.5" customHeight="1">
      <c r="A79" s="974">
        <v>2008</v>
      </c>
      <c r="B79" s="984">
        <v>19400</v>
      </c>
      <c r="C79" s="941">
        <v>5613</v>
      </c>
      <c r="AE79" s="911"/>
      <c r="AF79" s="937">
        <v>42810</v>
      </c>
      <c r="AG79" s="939"/>
      <c r="AH79" s="939"/>
      <c r="AI79" s="939"/>
      <c r="AJ79" s="939"/>
      <c r="AK79" s="939"/>
      <c r="AL79" s="939"/>
      <c r="AM79" s="939"/>
      <c r="AN79" s="971"/>
      <c r="AO79" s="981"/>
      <c r="AP79" s="981"/>
      <c r="AW79" s="2755">
        <v>43177</v>
      </c>
      <c r="AX79" s="1011">
        <v>1838</v>
      </c>
      <c r="AY79" s="919">
        <v>106</v>
      </c>
      <c r="BI79" s="1010">
        <v>43176</v>
      </c>
      <c r="BJ79" s="919">
        <v>0</v>
      </c>
    </row>
    <row r="80" spans="1:62" ht="16.5" customHeight="1">
      <c r="A80" s="974">
        <v>2009</v>
      </c>
      <c r="B80" s="984">
        <v>25943</v>
      </c>
      <c r="C80" s="984">
        <v>8202</v>
      </c>
      <c r="AE80" s="911"/>
      <c r="AF80" s="937">
        <v>42811</v>
      </c>
      <c r="AG80" s="939"/>
      <c r="AH80" s="939"/>
      <c r="AI80" s="939"/>
      <c r="AJ80" s="939"/>
      <c r="AK80" s="939"/>
      <c r="AL80" s="939"/>
      <c r="AM80" s="939"/>
      <c r="AN80" s="971"/>
      <c r="AO80" s="981"/>
      <c r="AP80" s="981"/>
      <c r="AW80" s="2755">
        <v>43178</v>
      </c>
      <c r="AX80" s="1011">
        <v>1850</v>
      </c>
      <c r="AY80" s="919">
        <v>107</v>
      </c>
      <c r="BI80" s="1010">
        <v>43177</v>
      </c>
      <c r="BJ80" s="919">
        <v>0.59399999999999997</v>
      </c>
    </row>
    <row r="81" spans="1:62" ht="14.5">
      <c r="A81" s="974">
        <v>2010</v>
      </c>
      <c r="B81" s="984">
        <v>29007</v>
      </c>
      <c r="C81" s="984">
        <v>8401</v>
      </c>
      <c r="D81" s="985"/>
      <c r="AE81" s="911"/>
      <c r="AF81" s="937">
        <v>42812</v>
      </c>
      <c r="AG81" s="939"/>
      <c r="AH81" s="939"/>
      <c r="AI81" s="939"/>
      <c r="AJ81" s="939"/>
      <c r="AK81" s="939"/>
      <c r="AL81" s="939"/>
      <c r="AM81" s="939"/>
      <c r="AN81" s="971"/>
      <c r="AO81" s="981"/>
      <c r="AP81" s="981"/>
      <c r="AW81" s="2755">
        <v>43179</v>
      </c>
      <c r="AX81" s="1011">
        <v>1846</v>
      </c>
      <c r="AY81" s="919">
        <v>107</v>
      </c>
      <c r="BI81" s="1010">
        <v>43178</v>
      </c>
      <c r="BJ81" s="919">
        <v>4.79</v>
      </c>
    </row>
    <row r="82" spans="1:62" ht="14.5">
      <c r="A82" s="974">
        <v>2011</v>
      </c>
      <c r="B82" s="986">
        <v>9432</v>
      </c>
      <c r="C82" s="984">
        <v>1348</v>
      </c>
      <c r="D82" s="985"/>
      <c r="AE82" s="911"/>
      <c r="AF82" s="937">
        <v>42813</v>
      </c>
      <c r="AG82" s="939"/>
      <c r="AH82" s="939"/>
      <c r="AI82" s="939"/>
      <c r="AJ82" s="939"/>
      <c r="AK82" s="939"/>
      <c r="AL82" s="939"/>
      <c r="AM82" s="939"/>
      <c r="AN82" s="971"/>
      <c r="AO82" s="981"/>
      <c r="AP82" s="981"/>
      <c r="AW82" s="2755">
        <v>43180</v>
      </c>
      <c r="AX82" s="1011">
        <v>1841</v>
      </c>
      <c r="AY82" s="919">
        <v>107</v>
      </c>
      <c r="BI82" s="1010">
        <v>43179</v>
      </c>
      <c r="BJ82" s="919">
        <v>3.08</v>
      </c>
    </row>
    <row r="83" spans="1:62" ht="14.5">
      <c r="A83" s="974">
        <v>2012</v>
      </c>
      <c r="B83" s="986">
        <v>5868</v>
      </c>
      <c r="C83" s="984">
        <v>1316</v>
      </c>
      <c r="D83" s="985"/>
      <c r="AE83" s="911"/>
      <c r="AF83" s="937">
        <v>42814</v>
      </c>
      <c r="AG83" s="939"/>
      <c r="AH83" s="939"/>
      <c r="AI83" s="939"/>
      <c r="AJ83" s="939"/>
      <c r="AK83" s="939"/>
      <c r="AL83" s="939"/>
      <c r="AM83" s="939"/>
      <c r="AN83" s="971"/>
      <c r="AO83" s="981"/>
      <c r="AP83" s="981"/>
      <c r="AW83" s="2755">
        <v>43181</v>
      </c>
      <c r="AX83" s="1011">
        <v>1839</v>
      </c>
      <c r="AY83" s="919">
        <v>106</v>
      </c>
      <c r="BI83" s="1010">
        <v>43180</v>
      </c>
      <c r="BJ83" s="919">
        <v>1.36</v>
      </c>
    </row>
    <row r="84" spans="1:62" ht="14.5">
      <c r="A84" s="974">
        <v>2013</v>
      </c>
      <c r="B84" s="984">
        <v>42275</v>
      </c>
      <c r="C84" s="984"/>
      <c r="D84" s="985" t="s">
        <v>15</v>
      </c>
      <c r="E84" s="910">
        <f>AVERAGE(B58:B89)</f>
        <v>30122.970081249998</v>
      </c>
      <c r="F84" s="744" t="s">
        <v>1772</v>
      </c>
      <c r="AF84" s="937">
        <v>42815</v>
      </c>
      <c r="AG84" s="939"/>
      <c r="AH84" s="939"/>
      <c r="AI84" s="939"/>
      <c r="AJ84" s="939"/>
      <c r="AK84" s="939"/>
      <c r="AL84" s="939"/>
      <c r="AM84" s="939"/>
      <c r="AN84" s="971"/>
      <c r="AO84" s="981"/>
      <c r="AP84" s="981"/>
      <c r="AW84" s="2755">
        <v>43182</v>
      </c>
      <c r="AX84" s="1011">
        <v>1839</v>
      </c>
      <c r="AY84" s="919">
        <v>106</v>
      </c>
      <c r="BI84" s="1010">
        <v>43181</v>
      </c>
      <c r="BJ84" s="919">
        <v>0.61899999999999999</v>
      </c>
    </row>
    <row r="85" spans="1:62" ht="14.5">
      <c r="A85" s="974">
        <v>2014</v>
      </c>
      <c r="B85" s="984">
        <v>32941</v>
      </c>
      <c r="C85" s="987"/>
      <c r="D85" s="985" t="s">
        <v>268</v>
      </c>
      <c r="E85" s="910">
        <f>MEDIAN(B58:B83)</f>
        <v>21283.191974999998</v>
      </c>
      <c r="F85" s="910" t="s">
        <v>763</v>
      </c>
      <c r="AF85" s="937">
        <v>42816</v>
      </c>
      <c r="AG85" s="939"/>
      <c r="AH85" s="939"/>
      <c r="AI85" s="939"/>
      <c r="AJ85" s="939"/>
      <c r="AK85" s="939"/>
      <c r="AL85" s="939"/>
      <c r="AM85" s="939"/>
      <c r="AN85" s="971"/>
      <c r="AO85" s="981"/>
      <c r="AP85" s="981"/>
      <c r="AW85" s="2755">
        <v>43183</v>
      </c>
      <c r="AX85" s="1011">
        <v>1841</v>
      </c>
      <c r="AY85" s="919">
        <v>107</v>
      </c>
      <c r="BI85" s="1010">
        <v>43182</v>
      </c>
      <c r="BJ85" s="919">
        <v>0.63200000000000001</v>
      </c>
    </row>
    <row r="86" spans="1:62" ht="14.5">
      <c r="A86" s="974">
        <v>2015</v>
      </c>
      <c r="B86" s="984">
        <v>118929</v>
      </c>
      <c r="C86" s="987"/>
      <c r="D86" s="985" t="s">
        <v>15</v>
      </c>
      <c r="E86" s="910">
        <f>AVERAGE(B84:B89)</f>
        <v>43551.666666666664</v>
      </c>
      <c r="F86" s="744" t="s">
        <v>1773</v>
      </c>
      <c r="AF86" s="937">
        <v>42817</v>
      </c>
      <c r="AG86" s="939"/>
      <c r="AH86" s="939"/>
      <c r="AI86" s="939"/>
      <c r="AJ86" s="939"/>
      <c r="AK86" s="939"/>
      <c r="AL86" s="939"/>
      <c r="AM86" s="939"/>
      <c r="AN86" s="971"/>
      <c r="AO86" s="981"/>
      <c r="AP86" s="981"/>
      <c r="AQ86" s="910"/>
      <c r="AR86" s="910"/>
      <c r="AS86" s="910"/>
      <c r="AT86" s="910"/>
      <c r="AU86" s="910"/>
      <c r="AW86" s="2755">
        <v>43184</v>
      </c>
      <c r="AX86" s="1011">
        <v>1839</v>
      </c>
      <c r="AY86" s="919">
        <v>106</v>
      </c>
      <c r="BI86" s="1010">
        <v>43183</v>
      </c>
      <c r="BJ86" s="919">
        <v>1.59</v>
      </c>
    </row>
    <row r="87" spans="1:62" ht="14.5">
      <c r="A87" s="1031">
        <v>2016</v>
      </c>
      <c r="B87" s="984">
        <v>39551</v>
      </c>
      <c r="C87" s="987"/>
      <c r="D87" s="985"/>
      <c r="AF87" s="937">
        <v>42818</v>
      </c>
      <c r="AG87" s="939"/>
      <c r="AH87" s="939"/>
      <c r="AI87" s="939"/>
      <c r="AJ87" s="939"/>
      <c r="AK87" s="939"/>
      <c r="AL87" s="939"/>
      <c r="AM87" s="939"/>
      <c r="AN87" s="971"/>
      <c r="AO87" s="981"/>
      <c r="AP87" s="981"/>
      <c r="AQ87" s="910"/>
      <c r="AR87" s="910"/>
      <c r="AS87" s="910"/>
      <c r="AT87" s="910"/>
      <c r="AU87" s="910"/>
      <c r="AW87" s="2755">
        <v>43185</v>
      </c>
      <c r="AX87" s="1011">
        <v>1839</v>
      </c>
      <c r="AY87" s="919">
        <v>106</v>
      </c>
      <c r="BI87" s="1010">
        <v>43184</v>
      </c>
      <c r="BJ87" s="919">
        <v>0.81200000000000006</v>
      </c>
    </row>
    <row r="88" spans="1:62" ht="14.5">
      <c r="A88" s="1032">
        <v>2017</v>
      </c>
      <c r="B88" s="984">
        <v>20626</v>
      </c>
      <c r="D88" s="985"/>
      <c r="AF88" s="937">
        <v>42819</v>
      </c>
      <c r="AG88" s="939"/>
      <c r="AH88" s="939"/>
      <c r="AI88" s="939"/>
      <c r="AJ88" s="939"/>
      <c r="AK88" s="939"/>
      <c r="AL88" s="939"/>
      <c r="AM88" s="939"/>
      <c r="AN88" s="971"/>
      <c r="AO88" s="981"/>
      <c r="AP88" s="981"/>
      <c r="AW88" s="2755">
        <v>43186</v>
      </c>
      <c r="AX88" s="1011">
        <v>1855</v>
      </c>
      <c r="AY88" s="919">
        <v>107</v>
      </c>
      <c r="BI88" s="1010">
        <v>43185</v>
      </c>
      <c r="BJ88" s="919">
        <v>1.03</v>
      </c>
    </row>
    <row r="89" spans="1:62" ht="14.5">
      <c r="A89" s="1340">
        <v>2018</v>
      </c>
      <c r="B89" s="986">
        <v>6988</v>
      </c>
      <c r="D89" s="985"/>
      <c r="AF89" s="937"/>
      <c r="AG89" s="939"/>
      <c r="AH89" s="939"/>
      <c r="AI89" s="939"/>
      <c r="AJ89" s="939"/>
      <c r="AK89" s="939"/>
      <c r="AL89" s="939"/>
      <c r="AM89" s="939"/>
      <c r="AN89" s="971"/>
      <c r="AO89" s="981"/>
      <c r="AP89" s="981"/>
      <c r="AW89" s="2755">
        <v>43187</v>
      </c>
      <c r="AX89" s="1011">
        <v>1851</v>
      </c>
      <c r="AY89" s="919">
        <v>107</v>
      </c>
      <c r="BI89" s="1010">
        <v>43186</v>
      </c>
      <c r="BJ89" s="919">
        <v>7.02</v>
      </c>
    </row>
    <row r="90" spans="1:62" ht="14.5">
      <c r="A90" s="1340"/>
      <c r="B90" s="986"/>
      <c r="D90" s="985"/>
      <c r="AF90" s="937"/>
      <c r="AG90" s="939"/>
      <c r="AH90" s="939"/>
      <c r="AI90" s="939"/>
      <c r="AJ90" s="939"/>
      <c r="AK90" s="939"/>
      <c r="AL90" s="939"/>
      <c r="AM90" s="939"/>
      <c r="AN90" s="971"/>
      <c r="AO90" s="981"/>
      <c r="AP90" s="981"/>
      <c r="AW90" s="2755">
        <v>43188</v>
      </c>
      <c r="AX90" s="1011">
        <v>1847</v>
      </c>
      <c r="AY90" s="919">
        <v>107</v>
      </c>
      <c r="BI90" s="1010">
        <v>43187</v>
      </c>
      <c r="BJ90" s="919">
        <v>5.0999999999999996</v>
      </c>
    </row>
    <row r="91" spans="1:62" ht="42">
      <c r="A91" s="988" t="s">
        <v>183</v>
      </c>
      <c r="B91" s="989" t="s">
        <v>185</v>
      </c>
      <c r="AF91" s="937">
        <v>42820</v>
      </c>
      <c r="AG91" s="939"/>
      <c r="AH91" s="939"/>
      <c r="AI91" s="939"/>
      <c r="AJ91" s="939"/>
      <c r="AK91" s="939"/>
      <c r="AL91" s="939"/>
      <c r="AM91" s="939"/>
      <c r="AN91" s="971"/>
      <c r="AO91" s="981"/>
      <c r="AP91" s="981"/>
      <c r="AW91" s="2755">
        <v>43189</v>
      </c>
      <c r="AX91" s="1011">
        <v>1844</v>
      </c>
      <c r="AY91" s="919">
        <v>107</v>
      </c>
      <c r="BI91" s="1010">
        <v>43188</v>
      </c>
      <c r="BJ91" s="919">
        <v>3.45</v>
      </c>
    </row>
    <row r="92" spans="1:62" ht="14.5">
      <c r="A92" s="974">
        <v>1987</v>
      </c>
      <c r="B92" s="990">
        <v>85.1</v>
      </c>
      <c r="AF92" s="937">
        <v>42821</v>
      </c>
      <c r="AG92" s="939"/>
      <c r="AH92" s="939"/>
      <c r="AI92" s="939"/>
      <c r="AJ92" s="939"/>
      <c r="AK92" s="939"/>
      <c r="AL92" s="939"/>
      <c r="AM92" s="939"/>
      <c r="AN92" s="971"/>
      <c r="AO92" s="981"/>
      <c r="AP92" s="981"/>
      <c r="AW92" s="2755">
        <v>43190</v>
      </c>
      <c r="AX92" s="1011">
        <v>1841</v>
      </c>
      <c r="AY92" s="919">
        <v>107</v>
      </c>
      <c r="BI92" s="1010">
        <v>43189</v>
      </c>
      <c r="BJ92" s="919">
        <v>2.5299999999999998</v>
      </c>
    </row>
    <row r="93" spans="1:62" ht="14.5">
      <c r="A93" s="974">
        <v>1988</v>
      </c>
      <c r="B93" s="990">
        <v>36.200000000000003</v>
      </c>
      <c r="AF93" s="937">
        <v>42822</v>
      </c>
      <c r="AG93" s="939"/>
      <c r="AH93" s="939"/>
      <c r="AI93" s="939"/>
      <c r="AJ93" s="939"/>
      <c r="AK93" s="939"/>
      <c r="AL93" s="939"/>
      <c r="AM93" s="939"/>
      <c r="AN93" s="971"/>
      <c r="AO93" s="981"/>
      <c r="AP93" s="981"/>
      <c r="AW93" s="2755">
        <v>43191</v>
      </c>
      <c r="AX93" s="1011">
        <v>1842</v>
      </c>
      <c r="AY93" s="919">
        <v>107</v>
      </c>
      <c r="BI93" s="1010">
        <v>43190</v>
      </c>
      <c r="BJ93" s="919">
        <v>1.78</v>
      </c>
    </row>
    <row r="94" spans="1:62" ht="14.5">
      <c r="A94" s="974">
        <v>1989</v>
      </c>
      <c r="B94" s="990">
        <v>10.4</v>
      </c>
      <c r="AF94" s="937">
        <v>42823</v>
      </c>
      <c r="AG94" s="939"/>
      <c r="AH94" s="939"/>
      <c r="AI94" s="939"/>
      <c r="AJ94" s="939"/>
      <c r="AK94" s="939"/>
      <c r="AL94" s="939"/>
      <c r="AM94" s="939"/>
      <c r="AN94" s="971"/>
      <c r="AO94" s="981"/>
      <c r="AP94" s="981"/>
      <c r="AW94" s="2755">
        <v>43192</v>
      </c>
      <c r="AX94" s="1011">
        <v>1845</v>
      </c>
      <c r="AY94" s="919">
        <v>107</v>
      </c>
      <c r="BI94" s="1010">
        <v>43191</v>
      </c>
      <c r="BJ94" s="919">
        <v>1.03</v>
      </c>
    </row>
    <row r="95" spans="1:62" ht="14.5">
      <c r="A95" s="974">
        <v>1990</v>
      </c>
      <c r="B95" s="990">
        <v>28</v>
      </c>
      <c r="AF95" s="937">
        <v>42824</v>
      </c>
      <c r="AG95" s="939"/>
      <c r="AH95" s="939"/>
      <c r="AI95" s="939"/>
      <c r="AJ95" s="939"/>
      <c r="AK95" s="939"/>
      <c r="AL95" s="939"/>
      <c r="AM95" s="939"/>
      <c r="AN95" s="971"/>
      <c r="AO95" s="981"/>
      <c r="AP95" s="981"/>
      <c r="AW95" s="2755">
        <v>43193</v>
      </c>
      <c r="AX95" s="1011">
        <v>1847</v>
      </c>
      <c r="AY95" s="919">
        <v>107</v>
      </c>
      <c r="BI95" s="1010">
        <v>43192</v>
      </c>
      <c r="BJ95" s="919">
        <v>1.5</v>
      </c>
    </row>
    <row r="96" spans="1:62" ht="14.5">
      <c r="A96" s="974">
        <v>1991</v>
      </c>
      <c r="B96" s="990">
        <v>35.5</v>
      </c>
      <c r="AF96" s="937">
        <v>42825</v>
      </c>
      <c r="AG96" s="939"/>
      <c r="AH96" s="939"/>
      <c r="AI96" s="939"/>
      <c r="AJ96" s="939"/>
      <c r="AK96" s="939"/>
      <c r="AL96" s="939"/>
      <c r="AM96" s="939"/>
      <c r="AN96" s="971"/>
      <c r="AO96" s="981"/>
      <c r="AP96" s="981"/>
      <c r="AW96" s="2755">
        <v>43194</v>
      </c>
      <c r="AX96" s="1011">
        <v>1846</v>
      </c>
      <c r="AY96" s="919">
        <v>107</v>
      </c>
      <c r="BI96" s="1010">
        <v>43193</v>
      </c>
      <c r="BJ96" s="919">
        <v>3.26</v>
      </c>
    </row>
    <row r="97" spans="1:62" ht="14.5">
      <c r="A97" s="974">
        <v>1992</v>
      </c>
      <c r="B97" s="990">
        <v>25.4</v>
      </c>
      <c r="AF97" s="937">
        <v>42826</v>
      </c>
      <c r="AG97" s="939"/>
      <c r="AH97" s="939"/>
      <c r="AI97" s="939"/>
      <c r="AJ97" s="939"/>
      <c r="AK97" s="939"/>
      <c r="AL97" s="939"/>
      <c r="AM97" s="939"/>
      <c r="AN97" s="971"/>
      <c r="AO97" s="981"/>
      <c r="AP97" s="981"/>
      <c r="AW97" s="2755">
        <v>43195</v>
      </c>
      <c r="AX97" s="1011">
        <v>1844</v>
      </c>
      <c r="AY97" s="919">
        <v>107</v>
      </c>
      <c r="BI97" s="1010">
        <v>43194</v>
      </c>
      <c r="BJ97" s="919">
        <v>3.18</v>
      </c>
    </row>
    <row r="98" spans="1:62" ht="14.5">
      <c r="A98" s="974">
        <v>1993</v>
      </c>
      <c r="B98" s="990">
        <v>15.6</v>
      </c>
      <c r="AF98" s="937">
        <v>42827</v>
      </c>
      <c r="AG98" s="938"/>
      <c r="AH98" s="939"/>
      <c r="AI98" s="939"/>
      <c r="AJ98" s="939"/>
      <c r="AK98" s="939"/>
      <c r="AL98" s="939"/>
      <c r="AM98" s="939"/>
      <c r="AN98" s="971"/>
      <c r="AW98" s="2755">
        <v>43196</v>
      </c>
      <c r="AX98" s="1011">
        <v>1847</v>
      </c>
      <c r="AY98" s="919">
        <v>107</v>
      </c>
      <c r="BI98" s="1010">
        <v>43195</v>
      </c>
      <c r="BJ98" s="919">
        <v>2.46</v>
      </c>
    </row>
    <row r="99" spans="1:62" ht="14.5">
      <c r="A99" s="974">
        <v>1994</v>
      </c>
      <c r="B99" s="990">
        <v>18.2</v>
      </c>
      <c r="AF99" s="937">
        <v>42828</v>
      </c>
      <c r="AG99" s="938"/>
      <c r="AH99" s="939"/>
      <c r="AI99" s="939"/>
      <c r="AJ99" s="939"/>
      <c r="AK99" s="939"/>
      <c r="AL99" s="939"/>
      <c r="AM99" s="939"/>
      <c r="AN99" s="971"/>
      <c r="AW99" s="2755">
        <v>43197</v>
      </c>
      <c r="AX99" s="1011">
        <v>1847</v>
      </c>
      <c r="AY99" s="919">
        <v>107</v>
      </c>
      <c r="BI99" s="1010">
        <v>43196</v>
      </c>
      <c r="BJ99" s="919">
        <v>3.85</v>
      </c>
    </row>
    <row r="100" spans="1:62" ht="14.5">
      <c r="A100" s="974">
        <v>1995</v>
      </c>
      <c r="B100" s="990">
        <v>96.1</v>
      </c>
      <c r="AF100" s="937">
        <v>42829</v>
      </c>
      <c r="AG100" s="938"/>
      <c r="AH100" s="939"/>
      <c r="AI100" s="939"/>
      <c r="AJ100" s="939"/>
      <c r="AK100" s="939"/>
      <c r="AL100" s="939"/>
      <c r="AM100" s="939"/>
      <c r="AN100" s="971"/>
      <c r="AW100" s="2755">
        <v>43198</v>
      </c>
      <c r="AX100" s="1011">
        <v>1844</v>
      </c>
      <c r="AY100" s="919">
        <v>107</v>
      </c>
      <c r="BI100" s="1010">
        <v>43197</v>
      </c>
      <c r="BJ100" s="919">
        <v>3.46</v>
      </c>
    </row>
    <row r="101" spans="1:62" ht="14.5">
      <c r="A101" s="974">
        <v>1996</v>
      </c>
      <c r="B101" s="990">
        <v>31.3</v>
      </c>
      <c r="AF101" s="937">
        <v>42830</v>
      </c>
      <c r="AG101" s="938"/>
      <c r="AH101" s="939"/>
      <c r="AI101" s="939"/>
      <c r="AJ101" s="939"/>
      <c r="AK101" s="939"/>
      <c r="AL101" s="939"/>
      <c r="AM101" s="977"/>
      <c r="AN101" s="971"/>
      <c r="AW101" s="2755">
        <v>43199</v>
      </c>
      <c r="AX101" s="1011">
        <v>1846</v>
      </c>
      <c r="AY101" s="919">
        <v>107</v>
      </c>
      <c r="BI101" s="1010">
        <v>43198</v>
      </c>
      <c r="BJ101" s="919">
        <v>2.76</v>
      </c>
    </row>
    <row r="102" spans="1:62" ht="14.5">
      <c r="A102" s="974">
        <v>1997</v>
      </c>
      <c r="B102" s="990">
        <v>52.6</v>
      </c>
      <c r="AF102" s="937">
        <v>42831</v>
      </c>
      <c r="AG102" s="938"/>
      <c r="AH102" s="939"/>
      <c r="AI102" s="939"/>
      <c r="AJ102" s="939"/>
      <c r="AK102" s="939"/>
      <c r="AL102" s="939"/>
      <c r="AM102" s="977"/>
      <c r="AN102" s="971"/>
      <c r="AO102" s="991"/>
      <c r="AW102" s="2755">
        <v>43200</v>
      </c>
      <c r="AX102" s="1011">
        <v>1843</v>
      </c>
      <c r="AY102" s="919">
        <v>107</v>
      </c>
      <c r="BI102" s="1010">
        <v>43199</v>
      </c>
      <c r="BJ102" s="919">
        <v>3.17</v>
      </c>
    </row>
    <row r="103" spans="1:62" ht="14.5">
      <c r="A103" s="974">
        <v>1998</v>
      </c>
      <c r="B103" s="990">
        <v>95.5</v>
      </c>
      <c r="AF103" s="937">
        <v>42832</v>
      </c>
      <c r="AG103" s="938"/>
      <c r="AH103" s="939"/>
      <c r="AI103" s="939"/>
      <c r="AJ103" s="939"/>
      <c r="AK103" s="939"/>
      <c r="AL103" s="939"/>
      <c r="AM103" s="939"/>
      <c r="AN103" s="971"/>
      <c r="AO103" s="991"/>
      <c r="AW103" s="2755">
        <v>43201</v>
      </c>
      <c r="AX103" s="1011">
        <v>1841</v>
      </c>
      <c r="AY103" s="919">
        <v>107</v>
      </c>
      <c r="BI103" s="1010">
        <v>43200</v>
      </c>
      <c r="BJ103" s="919">
        <v>2.82</v>
      </c>
    </row>
    <row r="104" spans="1:62" ht="14.5">
      <c r="A104" s="974">
        <v>1999</v>
      </c>
      <c r="B104" s="990">
        <v>72.8</v>
      </c>
      <c r="AF104" s="937">
        <v>42833</v>
      </c>
      <c r="AG104" s="939"/>
      <c r="AH104" s="939"/>
      <c r="AI104" s="939"/>
      <c r="AJ104" s="939"/>
      <c r="AK104" s="939"/>
      <c r="AL104" s="939"/>
      <c r="AM104" s="939"/>
      <c r="AO104" s="991"/>
      <c r="AW104" s="2755">
        <v>43202</v>
      </c>
      <c r="AX104" s="1011">
        <v>1845</v>
      </c>
      <c r="AY104" s="919">
        <v>107</v>
      </c>
      <c r="BI104" s="1010">
        <v>43201</v>
      </c>
      <c r="BJ104" s="919">
        <v>1.74</v>
      </c>
    </row>
    <row r="105" spans="1:62" ht="14.5">
      <c r="A105" s="974">
        <v>2000</v>
      </c>
      <c r="B105" s="990">
        <v>18.2</v>
      </c>
      <c r="AF105" s="937">
        <v>42834</v>
      </c>
      <c r="AG105" s="939"/>
      <c r="AH105" s="939"/>
      <c r="AI105" s="939"/>
      <c r="AJ105" s="939"/>
      <c r="AK105" s="939"/>
      <c r="AL105" s="939"/>
      <c r="AM105" s="939"/>
      <c r="AO105" s="991"/>
      <c r="AW105" s="2755">
        <v>43203</v>
      </c>
      <c r="AX105" s="1011">
        <v>1846</v>
      </c>
      <c r="AY105" s="919">
        <v>107</v>
      </c>
      <c r="BI105" s="1010">
        <v>43202</v>
      </c>
      <c r="BJ105" s="919">
        <v>2.68</v>
      </c>
    </row>
    <row r="106" spans="1:62" ht="14.5">
      <c r="A106" s="974">
        <v>2001</v>
      </c>
      <c r="B106" s="990">
        <v>17.7</v>
      </c>
      <c r="AF106" s="937">
        <v>42835</v>
      </c>
      <c r="AG106" s="939"/>
      <c r="AH106" s="939"/>
      <c r="AI106" s="939"/>
      <c r="AJ106" s="939"/>
      <c r="AK106" s="939"/>
      <c r="AL106" s="939"/>
      <c r="AM106" s="939"/>
      <c r="AO106" s="991"/>
      <c r="AW106" s="2755">
        <v>43204</v>
      </c>
      <c r="AX106" s="1011">
        <v>1844</v>
      </c>
      <c r="AY106" s="919">
        <v>107</v>
      </c>
      <c r="BI106" s="1010">
        <v>43203</v>
      </c>
      <c r="BJ106" s="919">
        <v>3.43</v>
      </c>
    </row>
    <row r="107" spans="1:62" ht="14.5">
      <c r="A107" s="974">
        <v>2002</v>
      </c>
      <c r="B107" s="990">
        <v>5.14</v>
      </c>
      <c r="AF107" s="937">
        <v>42836</v>
      </c>
      <c r="AG107" s="939"/>
      <c r="AH107" s="939"/>
      <c r="AI107" s="939"/>
      <c r="AJ107" s="939"/>
      <c r="AK107" s="939"/>
      <c r="AL107" s="939"/>
      <c r="AM107" s="939"/>
      <c r="AO107" s="991"/>
      <c r="AW107" s="2755">
        <v>43205</v>
      </c>
      <c r="AX107" s="1011">
        <v>1843</v>
      </c>
      <c r="AY107" s="919">
        <v>107</v>
      </c>
      <c r="BI107" s="1010">
        <v>43204</v>
      </c>
      <c r="BJ107" s="919">
        <v>2.4900000000000002</v>
      </c>
    </row>
    <row r="108" spans="1:62" ht="14.5">
      <c r="A108" s="974">
        <v>2003</v>
      </c>
      <c r="B108" s="990">
        <v>19.600000000000001</v>
      </c>
      <c r="AF108" s="937">
        <v>42837</v>
      </c>
      <c r="AG108" s="939"/>
      <c r="AH108" s="939"/>
      <c r="AI108" s="939"/>
      <c r="AJ108" s="939"/>
      <c r="AK108" s="939"/>
      <c r="AL108" s="939"/>
      <c r="AM108" s="939"/>
      <c r="AO108" s="991"/>
      <c r="AW108" s="2755">
        <v>43206</v>
      </c>
      <c r="AX108" s="1011">
        <v>1842</v>
      </c>
      <c r="AY108" s="919">
        <v>107</v>
      </c>
      <c r="BI108" s="1010">
        <v>43205</v>
      </c>
      <c r="BJ108" s="919">
        <v>2</v>
      </c>
    </row>
    <row r="109" spans="1:62" ht="14.5">
      <c r="A109" s="974">
        <v>2004</v>
      </c>
      <c r="B109" s="990">
        <v>23.4</v>
      </c>
      <c r="AF109" s="937">
        <v>42838</v>
      </c>
      <c r="AG109" s="939"/>
      <c r="AH109" s="939"/>
      <c r="AI109" s="939"/>
      <c r="AJ109" s="939"/>
      <c r="AK109" s="939"/>
      <c r="AL109" s="939"/>
      <c r="AM109" s="939"/>
      <c r="AO109" s="991"/>
      <c r="AW109" s="2755">
        <v>43207</v>
      </c>
      <c r="AX109" s="1011">
        <v>1844</v>
      </c>
      <c r="AY109" s="919">
        <v>107</v>
      </c>
      <c r="BI109" s="1010">
        <v>43206</v>
      </c>
      <c r="BJ109" s="919">
        <v>1.84</v>
      </c>
    </row>
    <row r="110" spans="1:62" ht="14.5">
      <c r="A110" s="974">
        <v>2005</v>
      </c>
      <c r="B110" s="992">
        <v>40.299999999999997</v>
      </c>
      <c r="AF110" s="937">
        <v>42839</v>
      </c>
      <c r="AG110" s="939"/>
      <c r="AH110" s="939"/>
      <c r="AI110" s="939"/>
      <c r="AJ110" s="939"/>
      <c r="AK110" s="939"/>
      <c r="AL110" s="939"/>
      <c r="AM110" s="939"/>
      <c r="AO110" s="991"/>
      <c r="AW110" s="2755">
        <v>43208</v>
      </c>
      <c r="AX110" s="1011">
        <v>1845</v>
      </c>
      <c r="AY110" s="919">
        <v>107</v>
      </c>
      <c r="BI110" s="1010">
        <v>43207</v>
      </c>
      <c r="BJ110" s="919">
        <v>1.84</v>
      </c>
    </row>
    <row r="111" spans="1:62" ht="15.5">
      <c r="A111" s="974">
        <v>2006</v>
      </c>
      <c r="B111" s="993">
        <v>10.4</v>
      </c>
      <c r="AF111" s="937">
        <v>42840</v>
      </c>
      <c r="AG111" s="939"/>
      <c r="AH111" s="939"/>
      <c r="AI111" s="939"/>
      <c r="AJ111" s="939"/>
      <c r="AK111" s="939"/>
      <c r="AL111" s="939"/>
      <c r="AM111" s="939"/>
      <c r="AO111" s="991"/>
      <c r="AW111" s="2755">
        <v>43209</v>
      </c>
      <c r="AX111" s="1011">
        <v>1843</v>
      </c>
      <c r="AY111" s="919">
        <v>107</v>
      </c>
      <c r="BI111" s="1010">
        <v>43208</v>
      </c>
      <c r="BJ111" s="919">
        <v>3.08</v>
      </c>
    </row>
    <row r="112" spans="1:62" ht="14.5">
      <c r="A112" s="974">
        <v>2007</v>
      </c>
      <c r="B112" s="941"/>
      <c r="AF112" s="937">
        <v>42841</v>
      </c>
      <c r="AG112" s="939"/>
      <c r="AH112" s="939"/>
      <c r="AI112" s="939"/>
      <c r="AJ112" s="939"/>
      <c r="AK112" s="939"/>
      <c r="AL112" s="939"/>
      <c r="AM112" s="939"/>
      <c r="AO112" s="991"/>
      <c r="AW112" s="2755">
        <v>43210</v>
      </c>
      <c r="AX112" s="1011">
        <v>1843</v>
      </c>
      <c r="AY112" s="919">
        <v>107</v>
      </c>
      <c r="BI112" s="1010">
        <v>43209</v>
      </c>
      <c r="BJ112" s="919">
        <v>2.2200000000000002</v>
      </c>
    </row>
    <row r="113" spans="1:62" ht="14.5">
      <c r="A113" s="974">
        <v>2008</v>
      </c>
      <c r="B113" s="941"/>
      <c r="AF113" s="937">
        <v>42842</v>
      </c>
      <c r="AG113" s="939"/>
      <c r="AH113" s="939"/>
      <c r="AI113" s="939"/>
      <c r="AJ113" s="939"/>
      <c r="AK113" s="939"/>
      <c r="AL113" s="939"/>
      <c r="AM113" s="939"/>
      <c r="AO113" s="991"/>
      <c r="AW113" s="2755">
        <v>43211</v>
      </c>
      <c r="AX113" s="1011">
        <v>1853</v>
      </c>
      <c r="AY113" s="919">
        <v>107</v>
      </c>
      <c r="BI113" s="1010">
        <v>43210</v>
      </c>
      <c r="BJ113" s="919">
        <v>2.46</v>
      </c>
    </row>
    <row r="114" spans="1:62" ht="14.5">
      <c r="AF114" s="937">
        <v>42843</v>
      </c>
      <c r="AG114" s="939"/>
      <c r="AH114" s="939"/>
      <c r="AI114" s="939"/>
      <c r="AJ114" s="939"/>
      <c r="AK114" s="939"/>
      <c r="AL114" s="939"/>
      <c r="AM114" s="939"/>
      <c r="AO114" s="991"/>
      <c r="AW114" s="2755">
        <v>43212</v>
      </c>
      <c r="AX114" s="1011">
        <v>1850</v>
      </c>
      <c r="AY114" s="919">
        <v>107</v>
      </c>
      <c r="BI114" s="1010">
        <v>43211</v>
      </c>
      <c r="BJ114" s="919">
        <v>6.69</v>
      </c>
    </row>
    <row r="115" spans="1:62" ht="14.5">
      <c r="AF115" s="937">
        <v>42844</v>
      </c>
      <c r="AG115" s="939"/>
      <c r="AH115" s="939"/>
      <c r="AI115" s="939"/>
      <c r="AJ115" s="939"/>
      <c r="AK115" s="939"/>
      <c r="AL115" s="939"/>
      <c r="AM115" s="939"/>
      <c r="AO115" s="991"/>
      <c r="AW115" s="2755">
        <v>43213</v>
      </c>
      <c r="AX115" s="1011">
        <v>1847</v>
      </c>
      <c r="AY115" s="919">
        <v>107</v>
      </c>
      <c r="BI115" s="1010">
        <v>43212</v>
      </c>
      <c r="BJ115" s="919">
        <v>5.55</v>
      </c>
    </row>
    <row r="116" spans="1:62" ht="14.5">
      <c r="AF116" s="937">
        <v>42845</v>
      </c>
      <c r="AG116" s="939"/>
      <c r="AH116" s="939"/>
      <c r="AI116" s="939"/>
      <c r="AJ116" s="939"/>
      <c r="AK116" s="939"/>
      <c r="AL116" s="939"/>
      <c r="AM116" s="939"/>
      <c r="AO116" s="991"/>
      <c r="AW116" s="2755">
        <v>43214</v>
      </c>
      <c r="AX116" s="1011">
        <v>1851</v>
      </c>
      <c r="AY116" s="919">
        <v>107</v>
      </c>
      <c r="BI116" s="1010">
        <v>43213</v>
      </c>
      <c r="BJ116" s="919">
        <v>5.09</v>
      </c>
    </row>
    <row r="117" spans="1:62" ht="23">
      <c r="F117" s="994" t="s">
        <v>497</v>
      </c>
      <c r="AF117" s="937">
        <v>42846</v>
      </c>
      <c r="AG117" s="939"/>
      <c r="AH117" s="939"/>
      <c r="AI117" s="939"/>
      <c r="AJ117" s="939"/>
      <c r="AK117" s="939"/>
      <c r="AL117" s="939"/>
      <c r="AM117" s="939"/>
      <c r="AO117" s="991"/>
      <c r="AW117" s="2755">
        <v>43215</v>
      </c>
      <c r="AX117" s="1011">
        <v>1855</v>
      </c>
      <c r="AY117" s="919">
        <v>107</v>
      </c>
      <c r="BI117" s="1010">
        <v>43214</v>
      </c>
      <c r="BJ117" s="919">
        <v>7.61</v>
      </c>
    </row>
    <row r="118" spans="1:62" ht="15.5">
      <c r="A118" s="995" t="s">
        <v>483</v>
      </c>
      <c r="C118" s="996">
        <v>41518</v>
      </c>
      <c r="D118" s="995">
        <v>68</v>
      </c>
      <c r="F118" s="995">
        <v>44.4</v>
      </c>
      <c r="G118" s="910">
        <f>(F118*0.12)+F118</f>
        <v>49.727999999999994</v>
      </c>
      <c r="I118" s="995">
        <v>6.33</v>
      </c>
      <c r="L118" s="995">
        <v>44.4</v>
      </c>
      <c r="M118" s="995">
        <v>6.33</v>
      </c>
      <c r="AF118" s="937">
        <v>42847</v>
      </c>
      <c r="AG118" s="939"/>
      <c r="AH118" s="939"/>
      <c r="AI118" s="939"/>
      <c r="AJ118" s="939"/>
      <c r="AK118" s="939"/>
      <c r="AL118" s="939"/>
      <c r="AM118" s="939"/>
      <c r="AO118" s="991"/>
      <c r="AW118" s="2755">
        <v>43216</v>
      </c>
      <c r="AX118" s="1011">
        <v>1848</v>
      </c>
      <c r="AY118" s="919">
        <v>107</v>
      </c>
      <c r="BI118" s="1010">
        <v>43215</v>
      </c>
      <c r="BJ118" s="919">
        <v>10.199999999999999</v>
      </c>
    </row>
    <row r="119" spans="1:62" ht="15.5">
      <c r="A119" s="995" t="s">
        <v>483</v>
      </c>
      <c r="C119" s="996">
        <v>41519</v>
      </c>
      <c r="D119" s="995">
        <v>71.900000000000006</v>
      </c>
      <c r="F119" s="995">
        <v>46</v>
      </c>
      <c r="G119" s="910">
        <f t="shared" ref="G119:G150" si="22">(F119*0.12)+F119</f>
        <v>51.519999999999996</v>
      </c>
      <c r="I119" s="995">
        <v>6.34</v>
      </c>
      <c r="L119" s="995">
        <v>46</v>
      </c>
      <c r="M119" s="995">
        <v>6.34</v>
      </c>
      <c r="AF119" s="937">
        <v>42848</v>
      </c>
      <c r="AG119" s="939"/>
      <c r="AH119" s="939"/>
      <c r="AI119" s="939"/>
      <c r="AJ119" s="939"/>
      <c r="AK119" s="939"/>
      <c r="AL119" s="939"/>
      <c r="AM119" s="939"/>
      <c r="AO119" s="991"/>
      <c r="AW119" s="2755">
        <v>43217</v>
      </c>
      <c r="AX119" s="1011">
        <v>1847</v>
      </c>
      <c r="AY119" s="919">
        <v>107</v>
      </c>
      <c r="BI119" s="1010">
        <v>43216</v>
      </c>
      <c r="BJ119" s="919">
        <v>6.28</v>
      </c>
    </row>
    <row r="120" spans="1:62" ht="15.5">
      <c r="A120" s="995" t="s">
        <v>483</v>
      </c>
      <c r="C120" s="996">
        <v>41520</v>
      </c>
      <c r="D120" s="995">
        <v>76.400000000000006</v>
      </c>
      <c r="F120" s="995">
        <v>46.1</v>
      </c>
      <c r="G120" s="910">
        <f t="shared" si="22"/>
        <v>51.632000000000005</v>
      </c>
      <c r="I120" s="995">
        <v>6.34</v>
      </c>
      <c r="L120" s="995">
        <v>46.1</v>
      </c>
      <c r="M120" s="995">
        <v>6.34</v>
      </c>
      <c r="AF120" s="937">
        <v>42849</v>
      </c>
      <c r="AG120" s="939"/>
      <c r="AH120" s="939"/>
      <c r="AI120" s="939"/>
      <c r="AJ120" s="939"/>
      <c r="AK120" s="939"/>
      <c r="AL120" s="939"/>
      <c r="AM120" s="939"/>
      <c r="AO120" s="991"/>
      <c r="AW120" s="2755">
        <v>43218</v>
      </c>
      <c r="AX120" s="1011">
        <v>1846</v>
      </c>
      <c r="AY120" s="919">
        <v>107</v>
      </c>
      <c r="BI120" s="1010">
        <v>43217</v>
      </c>
      <c r="BJ120" s="919">
        <v>5.59</v>
      </c>
    </row>
    <row r="121" spans="1:62" ht="15.5">
      <c r="A121" s="995" t="s">
        <v>483</v>
      </c>
      <c r="C121" s="996">
        <v>41521</v>
      </c>
      <c r="D121" s="995">
        <v>74.7</v>
      </c>
      <c r="F121" s="995">
        <v>44.2</v>
      </c>
      <c r="G121" s="910">
        <f t="shared" si="22"/>
        <v>49.504000000000005</v>
      </c>
      <c r="I121" s="995">
        <v>6.33</v>
      </c>
      <c r="L121" s="995">
        <v>44.2</v>
      </c>
      <c r="M121" s="995">
        <v>6.33</v>
      </c>
      <c r="AF121" s="937">
        <v>42850</v>
      </c>
      <c r="AG121" s="939"/>
      <c r="AH121" s="939"/>
      <c r="AI121" s="939"/>
      <c r="AJ121" s="939"/>
      <c r="AK121" s="939"/>
      <c r="AL121" s="939"/>
      <c r="AM121" s="939"/>
      <c r="AO121" s="991"/>
      <c r="AW121" s="2755">
        <v>43219</v>
      </c>
      <c r="AX121" s="1011">
        <v>1848</v>
      </c>
      <c r="AY121" s="919">
        <v>107</v>
      </c>
      <c r="BI121" s="1010">
        <v>43218</v>
      </c>
      <c r="BJ121" s="919">
        <v>4.26</v>
      </c>
    </row>
    <row r="122" spans="1:62" ht="15.5">
      <c r="A122" s="995" t="s">
        <v>483</v>
      </c>
      <c r="C122" s="996">
        <v>41522</v>
      </c>
      <c r="D122" s="995">
        <v>75.3</v>
      </c>
      <c r="F122" s="995">
        <v>42.6</v>
      </c>
      <c r="G122" s="910">
        <f t="shared" si="22"/>
        <v>47.712000000000003</v>
      </c>
      <c r="I122" s="995">
        <v>6.31</v>
      </c>
      <c r="L122" s="995">
        <v>42.6</v>
      </c>
      <c r="M122" s="995">
        <v>6.31</v>
      </c>
      <c r="AF122" s="937">
        <v>42851</v>
      </c>
      <c r="AG122" s="939"/>
      <c r="AH122" s="939"/>
      <c r="AI122" s="939"/>
      <c r="AJ122" s="939"/>
      <c r="AK122" s="939"/>
      <c r="AL122" s="939"/>
      <c r="AM122" s="939"/>
      <c r="AO122" s="991"/>
      <c r="AW122" s="2755">
        <v>43220</v>
      </c>
      <c r="AX122" s="1011">
        <v>1848</v>
      </c>
      <c r="AY122" s="919">
        <v>107</v>
      </c>
      <c r="BI122" s="1010">
        <v>43219</v>
      </c>
      <c r="BJ122" s="919">
        <v>4.6399999999999997</v>
      </c>
    </row>
    <row r="123" spans="1:62" ht="15.5">
      <c r="A123" s="995" t="s">
        <v>483</v>
      </c>
      <c r="C123" s="996">
        <v>41523</v>
      </c>
      <c r="D123" s="995">
        <v>77.099999999999994</v>
      </c>
      <c r="F123" s="995">
        <v>39.4</v>
      </c>
      <c r="G123" s="910">
        <f t="shared" si="22"/>
        <v>44.128</v>
      </c>
      <c r="I123" s="995">
        <v>6.28</v>
      </c>
      <c r="L123" s="995">
        <v>39.4</v>
      </c>
      <c r="M123" s="995">
        <v>6.28</v>
      </c>
      <c r="AF123" s="937">
        <v>42852</v>
      </c>
      <c r="AG123" s="939"/>
      <c r="AH123" s="939"/>
      <c r="AI123" s="939"/>
      <c r="AJ123" s="939"/>
      <c r="AK123" s="939"/>
      <c r="AL123" s="939"/>
      <c r="AM123" s="939"/>
      <c r="AO123" s="991"/>
      <c r="AW123" s="2755">
        <v>43221</v>
      </c>
      <c r="AX123" s="1011">
        <v>1850</v>
      </c>
      <c r="AY123" s="919">
        <v>107</v>
      </c>
      <c r="BI123" s="1010">
        <v>43220</v>
      </c>
      <c r="BJ123" s="919">
        <v>4.71</v>
      </c>
    </row>
    <row r="124" spans="1:62" ht="15.5">
      <c r="A124" s="995" t="s">
        <v>483</v>
      </c>
      <c r="C124" s="996">
        <v>41524</v>
      </c>
      <c r="D124" s="995">
        <v>74.8</v>
      </c>
      <c r="F124" s="995">
        <v>36.1</v>
      </c>
      <c r="G124" s="910">
        <f t="shared" si="22"/>
        <v>40.432000000000002</v>
      </c>
      <c r="I124" s="995">
        <v>6.24</v>
      </c>
      <c r="L124" s="995">
        <v>36.1</v>
      </c>
      <c r="M124" s="995">
        <v>6.24</v>
      </c>
      <c r="AF124" s="937">
        <v>42853</v>
      </c>
      <c r="AG124" s="939"/>
      <c r="AH124" s="939"/>
      <c r="AI124" s="939"/>
      <c r="AJ124" s="939"/>
      <c r="AK124" s="939"/>
      <c r="AL124" s="939"/>
      <c r="AM124" s="939"/>
      <c r="AO124" s="991"/>
      <c r="AW124" s="2755">
        <v>43222</v>
      </c>
      <c r="AX124" s="1011">
        <v>1861</v>
      </c>
      <c r="AY124" s="919">
        <v>107</v>
      </c>
      <c r="BI124" s="1010">
        <v>43221</v>
      </c>
      <c r="BJ124" s="919">
        <v>5.78</v>
      </c>
    </row>
    <row r="125" spans="1:62" ht="15.5">
      <c r="A125" s="995" t="s">
        <v>483</v>
      </c>
      <c r="C125" s="996">
        <v>41525</v>
      </c>
      <c r="D125" s="995">
        <v>73</v>
      </c>
      <c r="F125" s="995">
        <v>36.299999999999997</v>
      </c>
      <c r="G125" s="910">
        <f t="shared" si="22"/>
        <v>40.655999999999999</v>
      </c>
      <c r="I125" s="995">
        <v>6.24</v>
      </c>
      <c r="L125" s="995">
        <v>36.299999999999997</v>
      </c>
      <c r="M125" s="995">
        <v>6.24</v>
      </c>
      <c r="AF125" s="937">
        <v>42854</v>
      </c>
      <c r="AG125" s="939"/>
      <c r="AH125" s="939"/>
      <c r="AI125" s="939"/>
      <c r="AJ125" s="939"/>
      <c r="AK125" s="939"/>
      <c r="AL125" s="939"/>
      <c r="AM125" s="939"/>
      <c r="AO125" s="991"/>
      <c r="AW125" s="2755">
        <v>43223</v>
      </c>
      <c r="AX125" s="1011">
        <v>1909</v>
      </c>
      <c r="AY125" s="919">
        <v>109</v>
      </c>
      <c r="BI125" s="1010">
        <v>43222</v>
      </c>
      <c r="BJ125" s="919">
        <v>13</v>
      </c>
    </row>
    <row r="126" spans="1:62" ht="15.5">
      <c r="A126" s="995" t="s">
        <v>483</v>
      </c>
      <c r="C126" s="996">
        <v>41526</v>
      </c>
      <c r="D126" s="995">
        <v>66.099999999999994</v>
      </c>
      <c r="F126" s="995">
        <v>48</v>
      </c>
      <c r="G126" s="910">
        <f t="shared" si="22"/>
        <v>53.76</v>
      </c>
      <c r="I126" s="995">
        <v>6.31</v>
      </c>
      <c r="L126" s="995">
        <v>48</v>
      </c>
      <c r="M126" s="995">
        <v>6.31</v>
      </c>
      <c r="AF126" s="937">
        <v>42855</v>
      </c>
      <c r="AG126" s="939"/>
      <c r="AH126" s="939"/>
      <c r="AI126" s="939"/>
      <c r="AJ126" s="939"/>
      <c r="AK126" s="939"/>
      <c r="AL126" s="939"/>
      <c r="AM126" s="939"/>
      <c r="AO126" s="991"/>
      <c r="AW126" s="2755">
        <v>43224</v>
      </c>
      <c r="AX126" s="1011">
        <v>1912</v>
      </c>
      <c r="AY126" s="919">
        <v>109</v>
      </c>
      <c r="BI126" s="1010">
        <v>43223</v>
      </c>
      <c r="BJ126" s="919">
        <v>61.7</v>
      </c>
    </row>
    <row r="127" spans="1:62" ht="15.5">
      <c r="A127" s="995" t="s">
        <v>483</v>
      </c>
      <c r="C127" s="996">
        <v>41527</v>
      </c>
      <c r="D127" s="995">
        <v>59.7</v>
      </c>
      <c r="F127" s="995">
        <v>132</v>
      </c>
      <c r="G127" s="910">
        <f t="shared" si="22"/>
        <v>147.84</v>
      </c>
      <c r="I127" s="995">
        <v>6.8</v>
      </c>
      <c r="L127" s="995">
        <v>132</v>
      </c>
      <c r="M127" s="995">
        <v>6.8</v>
      </c>
      <c r="AF127" s="937">
        <v>42856</v>
      </c>
      <c r="AG127" s="939"/>
      <c r="AH127" s="939"/>
      <c r="AI127" s="939"/>
      <c r="AJ127" s="939"/>
      <c r="AK127" s="939"/>
      <c r="AL127" s="939"/>
      <c r="AM127" s="939"/>
      <c r="AO127" s="991"/>
      <c r="AW127" s="2755">
        <v>43225</v>
      </c>
      <c r="AX127" s="1011">
        <v>1895</v>
      </c>
      <c r="AY127" s="919">
        <v>108</v>
      </c>
      <c r="BI127" s="1010">
        <v>43224</v>
      </c>
      <c r="BJ127" s="919">
        <v>64.7</v>
      </c>
    </row>
    <row r="128" spans="1:62" ht="15.5">
      <c r="A128" s="995" t="s">
        <v>483</v>
      </c>
      <c r="C128" s="996">
        <v>41528</v>
      </c>
      <c r="D128" s="995">
        <v>60.5</v>
      </c>
      <c r="F128" s="995">
        <v>391</v>
      </c>
      <c r="G128" s="910">
        <f t="shared" si="22"/>
        <v>437.92</v>
      </c>
      <c r="I128" s="995">
        <v>7.34</v>
      </c>
      <c r="L128" s="995">
        <v>391</v>
      </c>
      <c r="M128" s="995">
        <v>7.34</v>
      </c>
      <c r="AF128" s="937">
        <v>42857</v>
      </c>
      <c r="AG128" s="939"/>
      <c r="AH128" s="939"/>
      <c r="AI128" s="939"/>
      <c r="AJ128" s="939"/>
      <c r="AK128" s="939"/>
      <c r="AL128" s="939"/>
      <c r="AM128" s="939"/>
      <c r="AO128" s="991"/>
      <c r="AW128" s="2755">
        <v>43226</v>
      </c>
      <c r="AX128" s="1011">
        <v>1893</v>
      </c>
      <c r="AY128" s="919">
        <v>108</v>
      </c>
      <c r="BI128" s="1010">
        <v>43225</v>
      </c>
      <c r="BJ128" s="919">
        <v>42.9</v>
      </c>
    </row>
    <row r="129" spans="1:62" ht="15.5">
      <c r="A129" s="995" t="s">
        <v>483</v>
      </c>
      <c r="C129" s="996">
        <v>41529</v>
      </c>
      <c r="D129" s="995">
        <v>59.5</v>
      </c>
      <c r="F129" s="995">
        <v>405</v>
      </c>
      <c r="G129" s="910">
        <f t="shared" si="22"/>
        <v>453.6</v>
      </c>
      <c r="I129" s="995">
        <v>7.68</v>
      </c>
      <c r="L129" s="995">
        <v>405</v>
      </c>
      <c r="M129" s="995">
        <v>7.68</v>
      </c>
      <c r="AF129" s="937">
        <v>42858</v>
      </c>
      <c r="AG129" s="939"/>
      <c r="AH129" s="939"/>
      <c r="AI129" s="939"/>
      <c r="AJ129" s="939"/>
      <c r="AK129" s="939"/>
      <c r="AL129" s="939"/>
      <c r="AM129" s="939"/>
      <c r="AO129" s="991"/>
      <c r="AW129" s="2755">
        <v>43227</v>
      </c>
      <c r="AX129" s="1011">
        <v>1890</v>
      </c>
      <c r="AY129" s="919">
        <v>108</v>
      </c>
      <c r="BI129" s="1010">
        <v>43226</v>
      </c>
      <c r="BJ129" s="919">
        <v>40.700000000000003</v>
      </c>
    </row>
    <row r="130" spans="1:62" ht="15.5">
      <c r="A130" s="995" t="s">
        <v>483</v>
      </c>
      <c r="C130" s="996">
        <v>41530</v>
      </c>
      <c r="D130" s="995">
        <v>61.9</v>
      </c>
      <c r="F130" s="995">
        <v>1100</v>
      </c>
      <c r="G130" s="910">
        <f t="shared" si="22"/>
        <v>1232</v>
      </c>
      <c r="I130" s="995">
        <v>8.6300000000000008</v>
      </c>
      <c r="L130" s="995">
        <v>845.3</v>
      </c>
      <c r="M130" s="995">
        <v>7.91</v>
      </c>
      <c r="AF130" s="937">
        <v>42859</v>
      </c>
      <c r="AG130" s="939"/>
      <c r="AH130" s="939"/>
      <c r="AI130" s="939"/>
      <c r="AJ130" s="939"/>
      <c r="AK130" s="939"/>
      <c r="AL130" s="939"/>
      <c r="AM130" s="939"/>
      <c r="AO130" s="991"/>
      <c r="AW130" s="2755">
        <v>43228</v>
      </c>
      <c r="AX130" s="1011">
        <v>1888</v>
      </c>
      <c r="AY130" s="919">
        <v>108</v>
      </c>
      <c r="BI130" s="1010">
        <v>43227</v>
      </c>
      <c r="BJ130" s="919">
        <v>38.799999999999997</v>
      </c>
    </row>
    <row r="131" spans="1:62" ht="15.5">
      <c r="A131" s="995" t="s">
        <v>483</v>
      </c>
      <c r="C131" s="996">
        <v>41531</v>
      </c>
      <c r="D131" s="995">
        <v>62.3</v>
      </c>
      <c r="F131" s="995">
        <v>900</v>
      </c>
      <c r="G131" s="910">
        <f t="shared" si="22"/>
        <v>1008</v>
      </c>
      <c r="I131" s="995">
        <v>8.17</v>
      </c>
      <c r="L131" s="995">
        <v>747</v>
      </c>
      <c r="M131" s="995">
        <v>7.75</v>
      </c>
      <c r="AF131" s="937">
        <v>42860</v>
      </c>
      <c r="AG131" s="939"/>
      <c r="AH131" s="939"/>
      <c r="AI131" s="939"/>
      <c r="AJ131" s="939"/>
      <c r="AK131" s="939"/>
      <c r="AL131" s="939"/>
      <c r="AM131" s="939"/>
      <c r="AO131" s="991"/>
      <c r="AW131" s="2755">
        <v>43229</v>
      </c>
      <c r="AX131" s="1011">
        <v>1885</v>
      </c>
      <c r="AY131" s="919">
        <v>108</v>
      </c>
      <c r="BI131" s="1010">
        <v>43228</v>
      </c>
      <c r="BJ131" s="919">
        <v>35.200000000000003</v>
      </c>
    </row>
    <row r="132" spans="1:62" ht="15.5">
      <c r="A132" s="995" t="s">
        <v>483</v>
      </c>
      <c r="C132" s="996">
        <v>41532</v>
      </c>
      <c r="D132" s="995">
        <v>56.5</v>
      </c>
      <c r="F132" s="995">
        <v>950</v>
      </c>
      <c r="G132" s="910">
        <f t="shared" si="22"/>
        <v>1064</v>
      </c>
      <c r="I132" s="995">
        <v>8.26</v>
      </c>
      <c r="L132" s="995">
        <v>551</v>
      </c>
      <c r="M132" s="995">
        <v>7.58</v>
      </c>
      <c r="AF132" s="937">
        <v>42861</v>
      </c>
      <c r="AG132" s="939"/>
      <c r="AH132" s="939"/>
      <c r="AI132" s="939"/>
      <c r="AJ132" s="939"/>
      <c r="AK132" s="939"/>
      <c r="AL132" s="939"/>
      <c r="AM132" s="939"/>
      <c r="AO132" s="991"/>
      <c r="AW132" s="2755">
        <v>43230</v>
      </c>
      <c r="AX132" s="1011">
        <v>1887</v>
      </c>
      <c r="AY132" s="919">
        <v>108</v>
      </c>
      <c r="BI132" s="1010">
        <v>43229</v>
      </c>
      <c r="BJ132" s="919">
        <v>31.9</v>
      </c>
    </row>
    <row r="133" spans="1:62" ht="15.5">
      <c r="A133" s="995" t="s">
        <v>483</v>
      </c>
      <c r="C133" s="996">
        <v>41530</v>
      </c>
      <c r="D133" s="995">
        <v>61.9</v>
      </c>
      <c r="F133" s="995">
        <v>1100</v>
      </c>
      <c r="G133" s="910">
        <f t="shared" si="22"/>
        <v>1232</v>
      </c>
      <c r="I133" s="995">
        <v>8.6300000000000008</v>
      </c>
      <c r="L133" s="995">
        <v>427</v>
      </c>
      <c r="M133" s="995">
        <v>7.44</v>
      </c>
      <c r="AF133" s="937">
        <v>42862</v>
      </c>
      <c r="AG133" s="939"/>
      <c r="AH133" s="939"/>
      <c r="AI133" s="939"/>
      <c r="AJ133" s="939"/>
      <c r="AK133" s="939"/>
      <c r="AL133" s="939"/>
      <c r="AM133" s="939"/>
      <c r="AO133" s="991"/>
      <c r="AW133" s="2755">
        <v>43231</v>
      </c>
      <c r="AX133" s="1011">
        <v>1885</v>
      </c>
      <c r="AY133" s="919">
        <v>108</v>
      </c>
      <c r="BI133" s="1010">
        <v>43230</v>
      </c>
      <c r="BJ133" s="919">
        <v>34.1</v>
      </c>
    </row>
    <row r="134" spans="1:62" ht="15.5">
      <c r="A134" s="995" t="s">
        <v>483</v>
      </c>
      <c r="C134" s="996">
        <v>41531</v>
      </c>
      <c r="D134" s="995">
        <v>62.3</v>
      </c>
      <c r="F134" s="995">
        <v>900</v>
      </c>
      <c r="G134" s="910">
        <f t="shared" si="22"/>
        <v>1008</v>
      </c>
      <c r="I134" s="995">
        <v>8.17</v>
      </c>
      <c r="L134" s="995">
        <v>345</v>
      </c>
      <c r="M134" s="995">
        <v>7.32</v>
      </c>
      <c r="AF134" s="937">
        <v>42863</v>
      </c>
      <c r="AG134" s="939"/>
      <c r="AH134" s="939"/>
      <c r="AI134" s="939"/>
      <c r="AJ134" s="939"/>
      <c r="AK134" s="939"/>
      <c r="AL134" s="939"/>
      <c r="AM134" s="939"/>
      <c r="AO134" s="991"/>
      <c r="AW134" s="2755">
        <v>43232</v>
      </c>
      <c r="AX134" s="1011">
        <v>1884</v>
      </c>
      <c r="AY134" s="919">
        <v>108</v>
      </c>
      <c r="BI134" s="1010">
        <v>43231</v>
      </c>
      <c r="BJ134" s="919">
        <v>32.5</v>
      </c>
    </row>
    <row r="135" spans="1:62" ht="15.5">
      <c r="A135" s="995" t="s">
        <v>483</v>
      </c>
      <c r="C135" s="996">
        <v>41532</v>
      </c>
      <c r="D135" s="995">
        <v>56.5</v>
      </c>
      <c r="F135" s="995">
        <v>950</v>
      </c>
      <c r="G135" s="910">
        <f t="shared" si="22"/>
        <v>1064</v>
      </c>
      <c r="I135" s="995">
        <v>8.26</v>
      </c>
      <c r="L135" s="995">
        <v>315</v>
      </c>
      <c r="M135" s="995">
        <v>7.27</v>
      </c>
      <c r="AF135" s="937">
        <v>42864</v>
      </c>
      <c r="AG135" s="939"/>
      <c r="AH135" s="939"/>
      <c r="AI135" s="939"/>
      <c r="AJ135" s="939"/>
      <c r="AK135" s="939"/>
      <c r="AL135" s="939"/>
      <c r="AM135" s="939"/>
      <c r="AO135" s="991"/>
      <c r="AW135" s="2755">
        <v>43233</v>
      </c>
      <c r="AX135" s="1011">
        <v>1882</v>
      </c>
      <c r="AY135" s="919">
        <v>108</v>
      </c>
      <c r="BI135" s="1010">
        <v>43232</v>
      </c>
      <c r="BJ135" s="919">
        <v>31.4</v>
      </c>
    </row>
    <row r="136" spans="1:62" ht="15.5">
      <c r="A136" s="995" t="s">
        <v>483</v>
      </c>
      <c r="C136" s="996">
        <v>41533</v>
      </c>
      <c r="D136" s="995">
        <v>60.2</v>
      </c>
      <c r="F136" s="995">
        <v>1100</v>
      </c>
      <c r="G136" s="910">
        <f t="shared" si="22"/>
        <v>1232</v>
      </c>
      <c r="I136" s="995">
        <v>8.56</v>
      </c>
      <c r="L136" s="995">
        <v>248</v>
      </c>
      <c r="M136" s="995">
        <v>7.15</v>
      </c>
      <c r="AF136" s="937">
        <v>42865</v>
      </c>
      <c r="AG136" s="939"/>
      <c r="AH136" s="939"/>
      <c r="AI136" s="939"/>
      <c r="AJ136" s="939"/>
      <c r="AK136" s="939"/>
      <c r="AL136" s="939"/>
      <c r="AM136" s="939"/>
      <c r="AO136" s="991"/>
      <c r="AW136" s="2755">
        <v>43234</v>
      </c>
      <c r="AX136" s="1011">
        <v>1892</v>
      </c>
      <c r="AY136" s="919">
        <v>108</v>
      </c>
      <c r="BI136" s="1010">
        <v>43233</v>
      </c>
      <c r="BJ136" s="919">
        <v>30.4</v>
      </c>
    </row>
    <row r="137" spans="1:62" ht="15.5">
      <c r="A137" s="995" t="s">
        <v>483</v>
      </c>
      <c r="C137" s="996">
        <v>41534</v>
      </c>
      <c r="D137" s="995">
        <v>66.900000000000006</v>
      </c>
      <c r="F137" s="995">
        <v>900</v>
      </c>
      <c r="G137" s="910">
        <f t="shared" si="22"/>
        <v>1008</v>
      </c>
      <c r="I137" s="995">
        <v>8.17</v>
      </c>
      <c r="L137" s="995">
        <v>216</v>
      </c>
      <c r="M137" s="995">
        <v>7.08</v>
      </c>
      <c r="AF137" s="937">
        <v>42866</v>
      </c>
      <c r="AG137" s="939"/>
      <c r="AH137" s="939"/>
      <c r="AI137" s="939"/>
      <c r="AJ137" s="939"/>
      <c r="AK137" s="939"/>
      <c r="AL137" s="939"/>
      <c r="AM137" s="939"/>
      <c r="AO137" s="991"/>
      <c r="AW137" s="2755">
        <v>43235</v>
      </c>
      <c r="AX137" s="1011">
        <v>1902</v>
      </c>
      <c r="AY137" s="919">
        <v>109</v>
      </c>
      <c r="BI137" s="1010">
        <v>43234</v>
      </c>
      <c r="BJ137" s="919">
        <v>42.3</v>
      </c>
    </row>
    <row r="138" spans="1:62" ht="15.5">
      <c r="A138" s="995" t="s">
        <v>483</v>
      </c>
      <c r="C138" s="996">
        <v>41535</v>
      </c>
      <c r="D138" s="995">
        <v>68.2</v>
      </c>
      <c r="F138" s="995">
        <v>845.3</v>
      </c>
      <c r="G138" s="910">
        <f t="shared" si="22"/>
        <v>946.73599999999999</v>
      </c>
      <c r="I138" s="995">
        <v>7.91</v>
      </c>
      <c r="L138" s="995">
        <v>191</v>
      </c>
      <c r="M138" s="995">
        <v>7.02</v>
      </c>
      <c r="AF138" s="937">
        <v>42867</v>
      </c>
      <c r="AG138" s="939"/>
      <c r="AH138" s="939"/>
      <c r="AI138" s="939"/>
      <c r="AJ138" s="939"/>
      <c r="AK138" s="939"/>
      <c r="AL138" s="939"/>
      <c r="AM138" s="939"/>
      <c r="AO138" s="991"/>
      <c r="AW138" s="2755">
        <v>43236</v>
      </c>
      <c r="AX138" s="1011">
        <v>1895</v>
      </c>
      <c r="AY138" s="919">
        <v>108</v>
      </c>
      <c r="BI138" s="1010">
        <v>43235</v>
      </c>
      <c r="BJ138" s="919">
        <v>54.8</v>
      </c>
    </row>
    <row r="139" spans="1:62" ht="15.5">
      <c r="A139" s="995" t="s">
        <v>483</v>
      </c>
      <c r="C139" s="996">
        <v>41536</v>
      </c>
      <c r="D139" s="995">
        <v>57.5</v>
      </c>
      <c r="F139" s="995">
        <v>747</v>
      </c>
      <c r="G139" s="910">
        <f t="shared" si="22"/>
        <v>836.64</v>
      </c>
      <c r="I139" s="995">
        <v>7.75</v>
      </c>
      <c r="L139" s="995">
        <v>188</v>
      </c>
      <c r="M139" s="995">
        <v>6.98</v>
      </c>
      <c r="AF139" s="937">
        <v>42868</v>
      </c>
      <c r="AG139" s="939"/>
      <c r="AH139" s="939"/>
      <c r="AI139" s="939"/>
      <c r="AJ139" s="939"/>
      <c r="AK139" s="939"/>
      <c r="AL139" s="939"/>
      <c r="AM139" s="939"/>
      <c r="AO139" s="991"/>
      <c r="AW139" s="2755">
        <v>43237</v>
      </c>
      <c r="AX139" s="1011">
        <v>1886</v>
      </c>
      <c r="AY139" s="919">
        <v>108</v>
      </c>
      <c r="BI139" s="1010">
        <v>43236</v>
      </c>
      <c r="BJ139" s="919">
        <v>46.1</v>
      </c>
    </row>
    <row r="140" spans="1:62" ht="15.5">
      <c r="A140" s="995" t="s">
        <v>483</v>
      </c>
      <c r="C140" s="996">
        <v>41537</v>
      </c>
      <c r="D140" s="995">
        <v>57.6</v>
      </c>
      <c r="F140" s="995">
        <v>551</v>
      </c>
      <c r="G140" s="910">
        <f t="shared" si="22"/>
        <v>617.12</v>
      </c>
      <c r="I140" s="995">
        <v>7.58</v>
      </c>
      <c r="L140" s="995">
        <v>183</v>
      </c>
      <c r="M140" s="995">
        <v>6.95</v>
      </c>
      <c r="AF140" s="937">
        <v>42869</v>
      </c>
      <c r="AG140" s="939"/>
      <c r="AH140" s="939"/>
      <c r="AI140" s="939"/>
      <c r="AJ140" s="939"/>
      <c r="AK140" s="939"/>
      <c r="AL140" s="939"/>
      <c r="AM140" s="939"/>
      <c r="AO140" s="991"/>
      <c r="AW140" s="2755">
        <v>43238</v>
      </c>
      <c r="AX140" s="1011">
        <v>1882</v>
      </c>
      <c r="AY140" s="919">
        <v>108</v>
      </c>
      <c r="BI140" s="1010">
        <v>43237</v>
      </c>
      <c r="BJ140" s="919">
        <v>37</v>
      </c>
    </row>
    <row r="141" spans="1:62" ht="15.5">
      <c r="A141" s="995" t="s">
        <v>483</v>
      </c>
      <c r="C141" s="996">
        <v>41538</v>
      </c>
      <c r="D141" s="995">
        <v>65.099999999999994</v>
      </c>
      <c r="F141" s="995">
        <v>427</v>
      </c>
      <c r="G141" s="910">
        <f t="shared" si="22"/>
        <v>478.24</v>
      </c>
      <c r="I141" s="995">
        <v>7.44</v>
      </c>
      <c r="L141" s="995">
        <v>160</v>
      </c>
      <c r="M141" s="995">
        <v>6.88</v>
      </c>
      <c r="AF141" s="937">
        <v>42870</v>
      </c>
      <c r="AG141" s="939"/>
      <c r="AH141" s="939"/>
      <c r="AI141" s="939"/>
      <c r="AJ141" s="939"/>
      <c r="AK141" s="939"/>
      <c r="AL141" s="939"/>
      <c r="AM141" s="939"/>
      <c r="AO141" s="991"/>
      <c r="AW141" s="2755">
        <v>43239</v>
      </c>
      <c r="AX141" s="1011">
        <v>1892</v>
      </c>
      <c r="AY141" s="919">
        <v>108</v>
      </c>
      <c r="BI141" s="1010">
        <v>43238</v>
      </c>
      <c r="BJ141" s="919">
        <v>33.1</v>
      </c>
    </row>
    <row r="142" spans="1:62" ht="15.5">
      <c r="A142" s="995" t="s">
        <v>483</v>
      </c>
      <c r="C142" s="996">
        <v>41539</v>
      </c>
      <c r="D142" s="995">
        <v>63.5</v>
      </c>
      <c r="F142" s="995">
        <v>345</v>
      </c>
      <c r="G142" s="910">
        <f t="shared" si="22"/>
        <v>386.4</v>
      </c>
      <c r="I142" s="995">
        <v>7.32</v>
      </c>
      <c r="L142" s="995">
        <v>146</v>
      </c>
      <c r="M142" s="995">
        <v>6.84</v>
      </c>
      <c r="AF142" s="937">
        <v>42871</v>
      </c>
      <c r="AG142" s="939"/>
      <c r="AH142" s="939"/>
      <c r="AI142" s="939"/>
      <c r="AJ142" s="939"/>
      <c r="AK142" s="939"/>
      <c r="AL142" s="939"/>
      <c r="AM142" s="939"/>
      <c r="AW142" s="2755">
        <v>43240</v>
      </c>
      <c r="AX142" s="1011">
        <v>1898</v>
      </c>
      <c r="AY142" s="919">
        <v>108</v>
      </c>
      <c r="BI142" s="1010">
        <v>43239</v>
      </c>
      <c r="BJ142" s="919">
        <v>43</v>
      </c>
    </row>
    <row r="143" spans="1:62" ht="15.5">
      <c r="A143" s="995" t="s">
        <v>483</v>
      </c>
      <c r="C143" s="996">
        <v>41540</v>
      </c>
      <c r="D143" s="995">
        <v>56.1</v>
      </c>
      <c r="F143" s="995">
        <v>315</v>
      </c>
      <c r="G143" s="910">
        <f t="shared" si="22"/>
        <v>352.8</v>
      </c>
      <c r="I143" s="995">
        <v>7.27</v>
      </c>
      <c r="L143" s="995">
        <v>1000</v>
      </c>
      <c r="M143" s="995">
        <v>8</v>
      </c>
      <c r="AF143" s="937">
        <v>42872</v>
      </c>
      <c r="AG143" s="939"/>
      <c r="AH143" s="939"/>
      <c r="AI143" s="939"/>
      <c r="AJ143" s="939"/>
      <c r="AK143" s="939"/>
      <c r="AL143" s="939"/>
      <c r="AM143" s="939"/>
      <c r="AW143" s="2755">
        <v>43241</v>
      </c>
      <c r="AX143" s="1011">
        <v>1909</v>
      </c>
      <c r="AY143" s="919">
        <v>109</v>
      </c>
      <c r="BI143" s="1010">
        <v>43240</v>
      </c>
      <c r="BJ143" s="919">
        <v>50</v>
      </c>
    </row>
    <row r="144" spans="1:62" ht="15.5">
      <c r="A144" s="995" t="s">
        <v>483</v>
      </c>
      <c r="C144" s="996">
        <v>41541</v>
      </c>
      <c r="D144" s="995">
        <v>58.4</v>
      </c>
      <c r="F144" s="995">
        <v>248</v>
      </c>
      <c r="G144" s="910">
        <f t="shared" si="22"/>
        <v>277.76</v>
      </c>
      <c r="I144" s="995">
        <v>7.15</v>
      </c>
      <c r="L144" s="995">
        <v>1800</v>
      </c>
      <c r="M144" s="995">
        <v>10</v>
      </c>
      <c r="P144" s="997" t="s">
        <v>484</v>
      </c>
      <c r="AF144" s="937">
        <v>42873</v>
      </c>
      <c r="AG144" s="939"/>
      <c r="AH144" s="939"/>
      <c r="AI144" s="939"/>
      <c r="AJ144" s="939"/>
      <c r="AK144" s="939"/>
      <c r="AL144" s="939"/>
      <c r="AM144" s="939"/>
      <c r="AN144" s="971"/>
      <c r="AW144" s="2755">
        <v>43242</v>
      </c>
      <c r="AX144" s="1011">
        <v>1897</v>
      </c>
      <c r="AY144" s="919">
        <v>108</v>
      </c>
      <c r="BI144" s="1010">
        <v>43241</v>
      </c>
      <c r="BJ144" s="919">
        <v>62.6</v>
      </c>
    </row>
    <row r="145" spans="1:62" ht="15.5">
      <c r="A145" s="995" t="s">
        <v>483</v>
      </c>
      <c r="C145" s="996">
        <v>41542</v>
      </c>
      <c r="D145" s="995">
        <v>63.5</v>
      </c>
      <c r="F145" s="995">
        <v>216</v>
      </c>
      <c r="G145" s="910">
        <f t="shared" si="22"/>
        <v>241.92</v>
      </c>
      <c r="I145" s="995">
        <v>7.08</v>
      </c>
      <c r="AF145" s="937">
        <v>42874</v>
      </c>
      <c r="AG145" s="939"/>
      <c r="AH145" s="939"/>
      <c r="AI145" s="939"/>
      <c r="AJ145" s="939"/>
      <c r="AK145" s="939"/>
      <c r="AL145" s="939"/>
      <c r="AM145" s="939"/>
      <c r="AN145" s="971"/>
      <c r="AW145" s="2755">
        <v>43243</v>
      </c>
      <c r="AX145" s="1011">
        <v>1889</v>
      </c>
      <c r="AY145" s="919">
        <v>108</v>
      </c>
      <c r="BI145" s="1010">
        <v>43242</v>
      </c>
      <c r="BJ145" s="919">
        <v>49.1</v>
      </c>
    </row>
    <row r="146" spans="1:62" ht="15.5">
      <c r="A146" s="995" t="s">
        <v>483</v>
      </c>
      <c r="C146" s="996">
        <v>41543</v>
      </c>
      <c r="D146" s="995">
        <v>55.3</v>
      </c>
      <c r="F146" s="995">
        <v>191</v>
      </c>
      <c r="G146" s="910">
        <f t="shared" si="22"/>
        <v>213.92</v>
      </c>
      <c r="I146" s="995">
        <v>7.02</v>
      </c>
      <c r="AF146" s="937">
        <v>42875</v>
      </c>
      <c r="AG146" s="939"/>
      <c r="AH146" s="939"/>
      <c r="AI146" s="939"/>
      <c r="AJ146" s="939"/>
      <c r="AK146" s="939"/>
      <c r="AL146" s="939"/>
      <c r="AM146" s="939"/>
      <c r="AN146" s="971"/>
      <c r="AW146" s="2755">
        <v>43244</v>
      </c>
      <c r="AX146" s="1011">
        <v>1886</v>
      </c>
      <c r="AY146" s="919">
        <v>108</v>
      </c>
      <c r="BI146" s="1010">
        <v>43243</v>
      </c>
      <c r="BJ146" s="919">
        <v>40.9</v>
      </c>
    </row>
    <row r="147" spans="1:62" ht="15.5">
      <c r="A147" s="995" t="s">
        <v>483</v>
      </c>
      <c r="C147" s="996">
        <v>41544</v>
      </c>
      <c r="D147" s="995">
        <v>46.9</v>
      </c>
      <c r="F147" s="995">
        <v>188</v>
      </c>
      <c r="G147" s="910">
        <f t="shared" si="22"/>
        <v>210.56</v>
      </c>
      <c r="I147" s="995">
        <v>6.98</v>
      </c>
      <c r="AF147" s="937">
        <v>42876</v>
      </c>
      <c r="AG147" s="939"/>
      <c r="AH147" s="939"/>
      <c r="AI147" s="939"/>
      <c r="AJ147" s="939"/>
      <c r="AK147" s="939"/>
      <c r="AL147" s="939"/>
      <c r="AM147" s="939"/>
      <c r="AN147" s="971"/>
      <c r="AW147" s="2755">
        <v>43245</v>
      </c>
      <c r="AX147" s="1011">
        <v>1880</v>
      </c>
      <c r="AY147" s="919">
        <v>108</v>
      </c>
      <c r="BI147" s="1010">
        <v>43244</v>
      </c>
      <c r="BJ147" s="919">
        <v>37</v>
      </c>
    </row>
    <row r="148" spans="1:62" ht="15.5">
      <c r="A148" s="995" t="s">
        <v>483</v>
      </c>
      <c r="C148" s="996">
        <v>41545</v>
      </c>
      <c r="D148" s="995">
        <v>48.8</v>
      </c>
      <c r="F148" s="995">
        <v>183</v>
      </c>
      <c r="G148" s="910">
        <f t="shared" si="22"/>
        <v>204.96</v>
      </c>
      <c r="I148" s="995">
        <v>6.95</v>
      </c>
      <c r="AF148" s="937">
        <v>42877</v>
      </c>
      <c r="AG148" s="939"/>
      <c r="AH148" s="939"/>
      <c r="AI148" s="939"/>
      <c r="AJ148" s="939"/>
      <c r="AK148" s="939"/>
      <c r="AL148" s="939"/>
      <c r="AM148" s="939"/>
      <c r="AN148" s="971"/>
      <c r="AW148" s="2755">
        <v>43246</v>
      </c>
      <c r="AX148" s="1011">
        <v>1876</v>
      </c>
      <c r="AY148" s="919">
        <v>108</v>
      </c>
      <c r="BI148" s="1010">
        <v>43245</v>
      </c>
      <c r="BJ148" s="919">
        <v>29.2</v>
      </c>
    </row>
    <row r="149" spans="1:62" ht="15.5">
      <c r="A149" s="995" t="s">
        <v>483</v>
      </c>
      <c r="C149" s="996">
        <v>41546</v>
      </c>
      <c r="D149" s="995">
        <v>57.3</v>
      </c>
      <c r="F149" s="995">
        <v>160</v>
      </c>
      <c r="G149" s="910">
        <f t="shared" si="22"/>
        <v>179.2</v>
      </c>
      <c r="I149" s="995">
        <v>6.88</v>
      </c>
      <c r="AF149" s="937">
        <v>42878</v>
      </c>
      <c r="AG149" s="939"/>
      <c r="AH149" s="939"/>
      <c r="AI149" s="939"/>
      <c r="AJ149" s="939"/>
      <c r="AK149" s="939"/>
      <c r="AL149" s="939"/>
      <c r="AM149" s="939"/>
      <c r="AN149" s="971"/>
      <c r="AW149" s="2755">
        <v>43247</v>
      </c>
      <c r="AX149" s="1011">
        <v>1874</v>
      </c>
      <c r="AY149" s="919">
        <v>108</v>
      </c>
      <c r="BI149" s="1010">
        <v>43246</v>
      </c>
      <c r="BJ149" s="919">
        <v>26</v>
      </c>
    </row>
    <row r="150" spans="1:62" ht="16" thickBot="1">
      <c r="A150" s="995" t="s">
        <v>483</v>
      </c>
      <c r="C150" s="996">
        <v>41547</v>
      </c>
      <c r="D150" s="995">
        <v>64</v>
      </c>
      <c r="F150" s="995">
        <v>146</v>
      </c>
      <c r="G150" s="910">
        <f t="shared" si="22"/>
        <v>163.52000000000001</v>
      </c>
      <c r="I150" s="995">
        <v>6.84</v>
      </c>
      <c r="AF150" s="937">
        <v>42879</v>
      </c>
      <c r="AG150" s="979"/>
      <c r="AH150" s="979"/>
      <c r="AI150" s="979"/>
      <c r="AJ150" s="979"/>
      <c r="AK150" s="979"/>
      <c r="AL150" s="979"/>
      <c r="AM150" s="979"/>
      <c r="AN150" s="971"/>
      <c r="AW150" s="2755">
        <v>43248</v>
      </c>
      <c r="AX150" s="1011">
        <v>1875</v>
      </c>
      <c r="AY150" s="919">
        <v>108</v>
      </c>
      <c r="BI150" s="1010">
        <v>43247</v>
      </c>
      <c r="BJ150" s="919">
        <v>23.4</v>
      </c>
    </row>
    <row r="151" spans="1:62" ht="14.5">
      <c r="F151" s="998">
        <f>AVERAGE(F118:F150)</f>
        <v>417.37575757575758</v>
      </c>
      <c r="G151" s="998">
        <f>AVERAGE(G118:G150)</f>
        <v>467.4608484848485</v>
      </c>
      <c r="AF151" s="937">
        <v>42880</v>
      </c>
      <c r="AG151" s="939"/>
      <c r="AH151" s="939"/>
      <c r="AI151" s="939"/>
      <c r="AJ151" s="939"/>
      <c r="AK151" s="939"/>
      <c r="AL151" s="939"/>
      <c r="AM151" s="939"/>
      <c r="AN151" s="999"/>
      <c r="AW151" s="2755">
        <v>43249</v>
      </c>
      <c r="AX151" s="1011">
        <v>1894</v>
      </c>
      <c r="AY151" s="919">
        <v>108</v>
      </c>
      <c r="BI151" s="1010">
        <v>43248</v>
      </c>
      <c r="BJ151" s="919">
        <v>24.8</v>
      </c>
    </row>
    <row r="152" spans="1:62" ht="14.5">
      <c r="AF152" s="937">
        <v>42881</v>
      </c>
      <c r="AG152" s="939"/>
      <c r="AH152" s="939"/>
      <c r="AI152" s="939"/>
      <c r="AJ152" s="939"/>
      <c r="AK152" s="939"/>
      <c r="AL152" s="939"/>
      <c r="AM152" s="939"/>
      <c r="AN152" s="971"/>
      <c r="AW152" s="2755">
        <v>43250</v>
      </c>
      <c r="AX152" s="1011">
        <v>1886</v>
      </c>
      <c r="AY152" s="919">
        <v>108</v>
      </c>
      <c r="BI152" s="1010">
        <v>43249</v>
      </c>
      <c r="BJ152" s="919">
        <v>41.9</v>
      </c>
    </row>
    <row r="153" spans="1:62" ht="14.5">
      <c r="AF153" s="937">
        <v>42882</v>
      </c>
      <c r="AG153" s="939"/>
      <c r="AH153" s="939"/>
      <c r="AI153" s="939"/>
      <c r="AJ153" s="939"/>
      <c r="AK153" s="939"/>
      <c r="AL153" s="939"/>
      <c r="AM153" s="939"/>
      <c r="AN153" s="971"/>
      <c r="AW153" s="2755">
        <v>43251</v>
      </c>
      <c r="AX153" s="1011">
        <v>1877</v>
      </c>
      <c r="AY153" s="919">
        <v>108</v>
      </c>
      <c r="BI153" s="1010">
        <v>43250</v>
      </c>
      <c r="BJ153" s="919">
        <v>35.299999999999997</v>
      </c>
    </row>
    <row r="154" spans="1:62" ht="14.5">
      <c r="A154" s="997"/>
      <c r="AF154" s="937">
        <v>42883</v>
      </c>
      <c r="AG154" s="939"/>
      <c r="AH154" s="939"/>
      <c r="AI154" s="939"/>
      <c r="AJ154" s="939"/>
      <c r="AK154" s="939"/>
      <c r="AL154" s="939"/>
      <c r="AM154" s="939"/>
      <c r="AN154" s="971"/>
      <c r="AW154" s="2755">
        <v>43252</v>
      </c>
      <c r="AX154" s="1011">
        <v>1873</v>
      </c>
      <c r="AY154" s="919">
        <v>108</v>
      </c>
      <c r="BI154" s="1010">
        <v>43251</v>
      </c>
      <c r="BJ154" s="919">
        <v>26.8</v>
      </c>
    </row>
    <row r="155" spans="1:62" ht="14.4" customHeight="1">
      <c r="A155" s="2940" t="s">
        <v>485</v>
      </c>
      <c r="B155" s="1000" t="s">
        <v>72</v>
      </c>
      <c r="C155" s="1000" t="s">
        <v>73</v>
      </c>
      <c r="D155" s="1000" t="s">
        <v>74</v>
      </c>
      <c r="H155" s="2950" t="s">
        <v>498</v>
      </c>
      <c r="I155" s="2950"/>
      <c r="J155" s="2950"/>
      <c r="K155" s="2950"/>
      <c r="L155" s="2950"/>
      <c r="M155" s="2950"/>
      <c r="N155" s="2950"/>
      <c r="O155" s="2950"/>
      <c r="P155" s="2950"/>
      <c r="Q155" s="2950"/>
      <c r="R155" s="2950"/>
      <c r="S155" s="2950"/>
      <c r="T155" s="2950"/>
      <c r="U155" s="2950"/>
      <c r="AF155" s="937">
        <v>42884</v>
      </c>
      <c r="AG155" s="939"/>
      <c r="AH155" s="939"/>
      <c r="AI155" s="939"/>
      <c r="AJ155" s="939"/>
      <c r="AK155" s="939"/>
      <c r="AL155" s="939"/>
      <c r="AM155" s="939"/>
      <c r="AN155" s="971"/>
      <c r="AW155" s="2755">
        <v>43253</v>
      </c>
      <c r="AX155" s="1011">
        <v>1867</v>
      </c>
      <c r="AY155" s="919">
        <v>107</v>
      </c>
      <c r="BI155" s="1010">
        <v>43252</v>
      </c>
      <c r="BJ155" s="919">
        <v>22.9</v>
      </c>
    </row>
    <row r="156" spans="1:62" ht="14.5">
      <c r="A156" s="2941"/>
      <c r="B156" s="1001">
        <v>2013</v>
      </c>
      <c r="C156" s="1001">
        <v>2013</v>
      </c>
      <c r="D156" s="1001">
        <v>2013</v>
      </c>
      <c r="H156" s="2947" t="s">
        <v>499</v>
      </c>
      <c r="I156" s="2948"/>
      <c r="J156" s="2948"/>
      <c r="K156" s="2948"/>
      <c r="L156" s="2948"/>
      <c r="M156" s="2948"/>
      <c r="N156" s="2948"/>
      <c r="O156" s="2948"/>
      <c r="P156" s="2948"/>
      <c r="Q156" s="2948"/>
      <c r="R156" s="2948"/>
      <c r="S156" s="2948"/>
      <c r="T156" s="2948"/>
      <c r="U156" s="2949"/>
      <c r="AF156" s="937">
        <v>42885</v>
      </c>
      <c r="AG156" s="939"/>
      <c r="AH156" s="939"/>
      <c r="AI156" s="939"/>
      <c r="AJ156" s="939"/>
      <c r="AK156" s="939"/>
      <c r="AL156" s="939"/>
      <c r="AM156" s="939"/>
      <c r="AN156" s="971"/>
      <c r="AW156" s="2755">
        <v>43254</v>
      </c>
      <c r="AX156" s="1011">
        <v>1865</v>
      </c>
      <c r="AY156" s="919">
        <v>107</v>
      </c>
      <c r="BI156" s="1010">
        <v>43253</v>
      </c>
      <c r="BJ156" s="919">
        <v>18.8</v>
      </c>
    </row>
    <row r="157" spans="1:62" ht="14.5">
      <c r="A157" s="1002">
        <v>1</v>
      </c>
      <c r="B157" s="1003"/>
      <c r="C157" s="1004">
        <v>48</v>
      </c>
      <c r="D157" s="1004">
        <v>142</v>
      </c>
      <c r="H157" s="2940" t="s">
        <v>485</v>
      </c>
      <c r="I157" s="1000" t="s">
        <v>75</v>
      </c>
      <c r="J157" s="1000" t="s">
        <v>76</v>
      </c>
      <c r="K157" s="1000" t="s">
        <v>65</v>
      </c>
      <c r="L157" s="1000" t="s">
        <v>66</v>
      </c>
      <c r="M157" s="1000" t="s">
        <v>67</v>
      </c>
      <c r="N157" s="1000" t="s">
        <v>68</v>
      </c>
      <c r="O157" s="1000" t="s">
        <v>69</v>
      </c>
      <c r="P157" s="1000" t="s">
        <v>70</v>
      </c>
      <c r="Q157" s="1000" t="s">
        <v>71</v>
      </c>
      <c r="R157" s="1000" t="s">
        <v>72</v>
      </c>
      <c r="S157" s="1000" t="s">
        <v>73</v>
      </c>
      <c r="T157" s="1000" t="s">
        <v>74</v>
      </c>
      <c r="U157" s="1000" t="s">
        <v>75</v>
      </c>
      <c r="AF157" s="937">
        <v>42886</v>
      </c>
      <c r="AG157" s="939"/>
      <c r="AH157" s="939"/>
      <c r="AI157" s="939"/>
      <c r="AJ157" s="939"/>
      <c r="AK157" s="939"/>
      <c r="AL157" s="939"/>
      <c r="AM157" s="939"/>
      <c r="AN157" s="971"/>
      <c r="AW157" s="2755">
        <v>43255</v>
      </c>
      <c r="AX157" s="1011">
        <v>1866</v>
      </c>
      <c r="AY157" s="919">
        <v>107</v>
      </c>
      <c r="BI157" s="1010">
        <v>43254</v>
      </c>
      <c r="BJ157" s="919">
        <v>17.399999999999999</v>
      </c>
    </row>
    <row r="158" spans="1:62" ht="15" thickBot="1">
      <c r="A158" s="1002">
        <v>2</v>
      </c>
      <c r="B158" s="1003"/>
      <c r="C158" s="1004">
        <v>48</v>
      </c>
      <c r="D158" s="1004">
        <v>133</v>
      </c>
      <c r="H158" s="2941"/>
      <c r="I158" s="1001">
        <v>2012</v>
      </c>
      <c r="J158" s="1001">
        <v>2012</v>
      </c>
      <c r="K158" s="1001">
        <v>2013</v>
      </c>
      <c r="L158" s="1001">
        <v>2013</v>
      </c>
      <c r="M158" s="1001">
        <v>2013</v>
      </c>
      <c r="N158" s="1001">
        <v>2013</v>
      </c>
      <c r="O158" s="1001">
        <v>2013</v>
      </c>
      <c r="P158" s="1001">
        <v>2013</v>
      </c>
      <c r="Q158" s="1001">
        <v>2013</v>
      </c>
      <c r="R158" s="1001">
        <v>2013</v>
      </c>
      <c r="S158" s="1001">
        <v>2013</v>
      </c>
      <c r="T158" s="1001">
        <v>2013</v>
      </c>
      <c r="U158" s="1001">
        <v>2013</v>
      </c>
      <c r="AF158" s="937">
        <v>42887</v>
      </c>
      <c r="AG158" s="939"/>
      <c r="AH158" s="939"/>
      <c r="AI158" s="939"/>
      <c r="AJ158" s="939"/>
      <c r="AK158" s="939"/>
      <c r="AL158" s="939"/>
      <c r="AM158" s="939"/>
      <c r="AN158" s="971"/>
      <c r="AW158" s="2755">
        <v>43256</v>
      </c>
      <c r="AX158" s="1011">
        <v>1862</v>
      </c>
      <c r="AY158" s="919">
        <v>107</v>
      </c>
      <c r="BI158" s="1010">
        <v>43255</v>
      </c>
      <c r="BJ158" s="919">
        <v>17.2</v>
      </c>
    </row>
    <row r="159" spans="1:62" ht="16">
      <c r="A159" s="1002">
        <v>3</v>
      </c>
      <c r="B159" s="1003"/>
      <c r="C159" s="1004">
        <v>46</v>
      </c>
      <c r="D159" s="1004">
        <v>124</v>
      </c>
      <c r="H159" s="1005">
        <v>1</v>
      </c>
      <c r="I159" s="1003"/>
      <c r="J159" s="1004" t="s">
        <v>1085</v>
      </c>
      <c r="K159" s="1004" t="s">
        <v>1086</v>
      </c>
      <c r="L159" s="1004" t="s">
        <v>1087</v>
      </c>
      <c r="M159" s="1004" t="s">
        <v>1088</v>
      </c>
      <c r="N159" s="1004" t="s">
        <v>1088</v>
      </c>
      <c r="O159" s="1004" t="s">
        <v>1089</v>
      </c>
      <c r="P159" s="1004" t="s">
        <v>1090</v>
      </c>
      <c r="Q159" s="1004" t="s">
        <v>1091</v>
      </c>
      <c r="R159" s="1004" t="s">
        <v>1092</v>
      </c>
      <c r="S159" s="1004" t="s">
        <v>1093</v>
      </c>
      <c r="T159" s="1004" t="s">
        <v>1094</v>
      </c>
      <c r="U159" s="1004" t="s">
        <v>1095</v>
      </c>
      <c r="AB159" s="1006"/>
      <c r="AC159" s="1007"/>
      <c r="AD159" s="1008"/>
      <c r="AF159" s="937">
        <v>42888</v>
      </c>
      <c r="AG159" s="939"/>
      <c r="AH159" s="939"/>
      <c r="AI159" s="939"/>
      <c r="AJ159" s="1009"/>
      <c r="AK159" s="939"/>
      <c r="AL159" s="939"/>
      <c r="AM159" s="939"/>
      <c r="AN159" s="971"/>
      <c r="AW159" s="2755">
        <v>43257</v>
      </c>
      <c r="AX159" s="1011">
        <v>1859</v>
      </c>
      <c r="AY159" s="919">
        <v>107</v>
      </c>
      <c r="BI159" s="1010">
        <v>43256</v>
      </c>
      <c r="BJ159" s="919">
        <v>14.6</v>
      </c>
    </row>
    <row r="160" spans="1:62" ht="16">
      <c r="A160" s="1002">
        <v>4</v>
      </c>
      <c r="B160" s="1003"/>
      <c r="C160" s="1004">
        <v>46</v>
      </c>
      <c r="D160" s="1004">
        <v>133</v>
      </c>
      <c r="H160" s="1005">
        <v>2</v>
      </c>
      <c r="I160" s="1003"/>
      <c r="J160" s="1004" t="s">
        <v>1096</v>
      </c>
      <c r="K160" s="1004" t="s">
        <v>1097</v>
      </c>
      <c r="L160" s="1004" t="s">
        <v>1098</v>
      </c>
      <c r="M160" s="1004" t="s">
        <v>1088</v>
      </c>
      <c r="N160" s="1004" t="s">
        <v>1099</v>
      </c>
      <c r="O160" s="1004" t="s">
        <v>1091</v>
      </c>
      <c r="P160" s="1004" t="s">
        <v>1100</v>
      </c>
      <c r="Q160" s="1004" t="s">
        <v>1101</v>
      </c>
      <c r="R160" s="1004" t="s">
        <v>1092</v>
      </c>
      <c r="S160" s="1004" t="s">
        <v>1093</v>
      </c>
      <c r="T160" s="1004" t="s">
        <v>1102</v>
      </c>
      <c r="U160" s="1004" t="s">
        <v>1103</v>
      </c>
      <c r="AB160" s="1010"/>
      <c r="AC160" s="1011"/>
      <c r="AD160" s="919"/>
      <c r="AF160" s="937">
        <v>42889</v>
      </c>
      <c r="AG160" s="939"/>
      <c r="AH160" s="939"/>
      <c r="AI160" s="939"/>
      <c r="AJ160" s="1012"/>
      <c r="AK160" s="939"/>
      <c r="AL160" s="939"/>
      <c r="AM160" s="939"/>
      <c r="AN160" s="971"/>
      <c r="AW160" s="2755">
        <v>43258</v>
      </c>
      <c r="AX160" s="1011">
        <v>1858</v>
      </c>
      <c r="AY160" s="919">
        <v>107</v>
      </c>
      <c r="BI160" s="1010">
        <v>43257</v>
      </c>
      <c r="BJ160" s="919">
        <v>12.9</v>
      </c>
    </row>
    <row r="161" spans="1:62" ht="16">
      <c r="A161" s="1002">
        <v>5</v>
      </c>
      <c r="B161" s="1003"/>
      <c r="C161" s="1004">
        <v>45</v>
      </c>
      <c r="D161" s="1004">
        <v>118</v>
      </c>
      <c r="H161" s="1005">
        <v>3</v>
      </c>
      <c r="I161" s="1003"/>
      <c r="J161" s="1004" t="s">
        <v>1104</v>
      </c>
      <c r="K161" s="1004" t="s">
        <v>1086</v>
      </c>
      <c r="L161" s="1004" t="s">
        <v>1098</v>
      </c>
      <c r="M161" s="1004" t="s">
        <v>1088</v>
      </c>
      <c r="N161" s="1004" t="s">
        <v>1099</v>
      </c>
      <c r="O161" s="1004" t="s">
        <v>1091</v>
      </c>
      <c r="P161" s="1004" t="s">
        <v>1093</v>
      </c>
      <c r="Q161" s="1004" t="s">
        <v>1092</v>
      </c>
      <c r="R161" s="1004" t="s">
        <v>1105</v>
      </c>
      <c r="S161" s="1004" t="s">
        <v>1095</v>
      </c>
      <c r="T161" s="1004" t="s">
        <v>1106</v>
      </c>
      <c r="U161" s="1004" t="s">
        <v>1103</v>
      </c>
      <c r="AB161" s="1010"/>
      <c r="AC161" s="1011"/>
      <c r="AD161" s="919"/>
      <c r="AF161" s="937">
        <v>42890</v>
      </c>
      <c r="AG161" s="939"/>
      <c r="AH161" s="939"/>
      <c r="AI161" s="939"/>
      <c r="AJ161" s="1012"/>
      <c r="AK161" s="939"/>
      <c r="AL161" s="939"/>
      <c r="AM161" s="939"/>
      <c r="AN161" s="971"/>
      <c r="AW161" s="2755">
        <v>43259</v>
      </c>
      <c r="AX161" s="1011">
        <v>1856</v>
      </c>
      <c r="AY161" s="919">
        <v>107</v>
      </c>
      <c r="BI161" s="1010">
        <v>43258</v>
      </c>
      <c r="BJ161" s="919">
        <v>12</v>
      </c>
    </row>
    <row r="162" spans="1:62" ht="16">
      <c r="A162" s="1002">
        <v>6</v>
      </c>
      <c r="B162" s="1003"/>
      <c r="C162" s="1004">
        <v>42</v>
      </c>
      <c r="D162" s="1004">
        <v>112</v>
      </c>
      <c r="H162" s="1005">
        <v>4</v>
      </c>
      <c r="I162" s="1003"/>
      <c r="J162" s="1004" t="s">
        <v>1107</v>
      </c>
      <c r="K162" s="1004" t="s">
        <v>1108</v>
      </c>
      <c r="L162" s="1004" t="s">
        <v>1109</v>
      </c>
      <c r="M162" s="1004" t="s">
        <v>1088</v>
      </c>
      <c r="N162" s="1004" t="s">
        <v>1110</v>
      </c>
      <c r="O162" s="1004" t="s">
        <v>1111</v>
      </c>
      <c r="P162" s="1004" t="s">
        <v>1112</v>
      </c>
      <c r="Q162" s="1004" t="s">
        <v>1113</v>
      </c>
      <c r="R162" s="1004" t="s">
        <v>1092</v>
      </c>
      <c r="S162" s="1004" t="s">
        <v>1095</v>
      </c>
      <c r="T162" s="1004" t="s">
        <v>1102</v>
      </c>
      <c r="U162" s="1004" t="s">
        <v>1114</v>
      </c>
      <c r="AB162" s="1010"/>
      <c r="AC162" s="1011"/>
      <c r="AD162" s="919"/>
      <c r="AF162" s="937">
        <v>42891</v>
      </c>
      <c r="AG162" s="939"/>
      <c r="AH162" s="939"/>
      <c r="AI162" s="939"/>
      <c r="AJ162" s="1012"/>
      <c r="AK162" s="939"/>
      <c r="AL162" s="939"/>
      <c r="AM162" s="939"/>
      <c r="AN162" s="971"/>
      <c r="AV162" s="945"/>
      <c r="AW162" s="2755">
        <v>43260</v>
      </c>
      <c r="AX162" s="1011">
        <v>1852</v>
      </c>
      <c r="AY162" s="919">
        <v>107</v>
      </c>
      <c r="BI162" s="1010">
        <v>43259</v>
      </c>
      <c r="BJ162" s="919">
        <v>10.3</v>
      </c>
    </row>
    <row r="163" spans="1:62" ht="16">
      <c r="A163" s="1002">
        <v>7</v>
      </c>
      <c r="B163" s="1003"/>
      <c r="C163" s="1004">
        <v>40</v>
      </c>
      <c r="D163" s="1004">
        <v>106</v>
      </c>
      <c r="H163" s="1005">
        <v>5</v>
      </c>
      <c r="I163" s="1003"/>
      <c r="J163" s="1004" t="s">
        <v>1107</v>
      </c>
      <c r="K163" s="1004" t="s">
        <v>1086</v>
      </c>
      <c r="L163" s="1004" t="s">
        <v>1087</v>
      </c>
      <c r="M163" s="1004" t="s">
        <v>1088</v>
      </c>
      <c r="N163" s="1004" t="s">
        <v>1115</v>
      </c>
      <c r="O163" s="1004" t="s">
        <v>1091</v>
      </c>
      <c r="P163" s="1004" t="s">
        <v>1116</v>
      </c>
      <c r="Q163" s="1004" t="s">
        <v>1091</v>
      </c>
      <c r="R163" s="1004" t="s">
        <v>1117</v>
      </c>
      <c r="S163" s="1004" t="s">
        <v>1103</v>
      </c>
      <c r="T163" s="1004" t="s">
        <v>1118</v>
      </c>
      <c r="U163" s="1004" t="s">
        <v>1090</v>
      </c>
      <c r="AB163" s="1010"/>
      <c r="AC163" s="1011"/>
      <c r="AD163" s="919"/>
      <c r="AF163" s="937">
        <v>42892</v>
      </c>
      <c r="AG163" s="939"/>
      <c r="AH163" s="939"/>
      <c r="AI163" s="939"/>
      <c r="AJ163" s="1012"/>
      <c r="AK163" s="939"/>
      <c r="AL163" s="939"/>
      <c r="AM163" s="939"/>
      <c r="AN163" s="971"/>
      <c r="AV163" s="945"/>
      <c r="AW163" s="2755">
        <v>43261</v>
      </c>
      <c r="AX163" s="1011">
        <v>1849</v>
      </c>
      <c r="AY163" s="919">
        <v>107</v>
      </c>
      <c r="BI163" s="1010">
        <v>43260</v>
      </c>
      <c r="BJ163" s="919">
        <v>8.3000000000000007</v>
      </c>
    </row>
    <row r="164" spans="1:62" ht="16">
      <c r="A164" s="1002">
        <v>8</v>
      </c>
      <c r="B164" s="1003"/>
      <c r="C164" s="1004">
        <v>39</v>
      </c>
      <c r="D164" s="1003"/>
      <c r="H164" s="1005">
        <v>6</v>
      </c>
      <c r="I164" s="1003"/>
      <c r="J164" s="1004" t="s">
        <v>1119</v>
      </c>
      <c r="K164" s="1004" t="s">
        <v>1120</v>
      </c>
      <c r="L164" s="1004" t="s">
        <v>1121</v>
      </c>
      <c r="M164" s="1004" t="s">
        <v>1088</v>
      </c>
      <c r="N164" s="1004" t="s">
        <v>1110</v>
      </c>
      <c r="O164" s="1004" t="s">
        <v>1105</v>
      </c>
      <c r="P164" s="1004" t="s">
        <v>1112</v>
      </c>
      <c r="Q164" s="1004" t="s">
        <v>1092</v>
      </c>
      <c r="R164" s="1004" t="s">
        <v>1122</v>
      </c>
      <c r="S164" s="1004" t="s">
        <v>1100</v>
      </c>
      <c r="T164" s="1004" t="s">
        <v>1123</v>
      </c>
      <c r="U164" s="1004" t="s">
        <v>1090</v>
      </c>
      <c r="AB164" s="1010"/>
      <c r="AC164" s="1011"/>
      <c r="AD164" s="919"/>
      <c r="AF164" s="937">
        <v>42893</v>
      </c>
      <c r="AG164" s="939"/>
      <c r="AH164" s="939"/>
      <c r="AI164" s="939"/>
      <c r="AJ164" s="1012"/>
      <c r="AK164" s="939"/>
      <c r="AL164" s="939"/>
      <c r="AM164" s="939"/>
      <c r="AN164" s="971"/>
      <c r="AV164" s="945"/>
      <c r="AW164" s="2755">
        <v>43262</v>
      </c>
      <c r="AX164" s="1011">
        <v>1847</v>
      </c>
      <c r="AY164" s="919">
        <v>107</v>
      </c>
      <c r="BI164" s="1010">
        <v>43261</v>
      </c>
      <c r="BJ164" s="919">
        <v>7.36</v>
      </c>
    </row>
    <row r="165" spans="1:62" ht="16">
      <c r="A165" s="1002">
        <v>9</v>
      </c>
      <c r="B165" s="1003"/>
      <c r="C165" s="1004">
        <v>44</v>
      </c>
      <c r="D165" s="1003"/>
      <c r="H165" s="1005">
        <v>7</v>
      </c>
      <c r="I165" s="1003"/>
      <c r="J165" s="1004" t="s">
        <v>1124</v>
      </c>
      <c r="K165" s="1004" t="s">
        <v>1125</v>
      </c>
      <c r="L165" s="1004" t="s">
        <v>1121</v>
      </c>
      <c r="M165" s="1004" t="s">
        <v>1088</v>
      </c>
      <c r="N165" s="1004">
        <v>0.5</v>
      </c>
      <c r="O165" s="1004" t="s">
        <v>1091</v>
      </c>
      <c r="P165" s="1004" t="s">
        <v>1095</v>
      </c>
      <c r="Q165" s="1004" t="s">
        <v>1105</v>
      </c>
      <c r="R165" s="1004" t="s">
        <v>1111</v>
      </c>
      <c r="S165" s="1004" t="s">
        <v>1090</v>
      </c>
      <c r="T165" s="1004" t="s">
        <v>1126</v>
      </c>
      <c r="U165" s="1004" t="s">
        <v>1114</v>
      </c>
      <c r="AB165" s="1010"/>
      <c r="AC165" s="1011"/>
      <c r="AD165" s="919"/>
      <c r="AF165" s="937">
        <v>42894</v>
      </c>
      <c r="AG165" s="939"/>
      <c r="AH165" s="939"/>
      <c r="AI165" s="939"/>
      <c r="AJ165" s="1012"/>
      <c r="AK165" s="939"/>
      <c r="AL165" s="939"/>
      <c r="AM165" s="939"/>
      <c r="AN165" s="971"/>
      <c r="AV165" s="945"/>
      <c r="AW165" s="2755">
        <v>43263</v>
      </c>
      <c r="AX165" s="1011">
        <v>1847</v>
      </c>
      <c r="AY165" s="919">
        <v>107</v>
      </c>
      <c r="BI165" s="1010">
        <v>43262</v>
      </c>
      <c r="BJ165" s="919">
        <v>6.42</v>
      </c>
    </row>
    <row r="166" spans="1:62" ht="16">
      <c r="A166" s="1002">
        <v>10</v>
      </c>
      <c r="B166" s="1003"/>
      <c r="C166" s="1004">
        <v>155</v>
      </c>
      <c r="D166" s="1003"/>
      <c r="H166" s="1005">
        <v>8</v>
      </c>
      <c r="I166" s="1003"/>
      <c r="J166" s="1004" t="s">
        <v>1127</v>
      </c>
      <c r="K166" s="1004" t="s">
        <v>1128</v>
      </c>
      <c r="L166" s="1004" t="s">
        <v>1109</v>
      </c>
      <c r="M166" s="1004" t="s">
        <v>1088</v>
      </c>
      <c r="N166" s="1004">
        <v>0.5</v>
      </c>
      <c r="O166" s="1004" t="s">
        <v>1129</v>
      </c>
      <c r="P166" s="1004" t="s">
        <v>1130</v>
      </c>
      <c r="Q166" s="1004" t="s">
        <v>1111</v>
      </c>
      <c r="R166" s="1004" t="s">
        <v>1101</v>
      </c>
      <c r="S166" s="1004" t="s">
        <v>1131</v>
      </c>
      <c r="T166" s="1004" t="s">
        <v>1132</v>
      </c>
      <c r="U166" s="1004" t="s">
        <v>1130</v>
      </c>
      <c r="AB166" s="1010"/>
      <c r="AC166" s="1011"/>
      <c r="AD166" s="919"/>
      <c r="AF166" s="937">
        <v>42895</v>
      </c>
      <c r="AG166" s="939"/>
      <c r="AH166" s="939"/>
      <c r="AI166" s="939"/>
      <c r="AJ166" s="1012"/>
      <c r="AK166" s="939"/>
      <c r="AL166" s="939"/>
      <c r="AM166" s="939"/>
      <c r="AN166" s="971"/>
      <c r="AV166" s="945"/>
      <c r="AW166" s="2755">
        <v>43264</v>
      </c>
      <c r="AX166" s="1011">
        <v>1847</v>
      </c>
      <c r="AY166" s="919">
        <v>107</v>
      </c>
      <c r="BI166" s="1010">
        <v>43263</v>
      </c>
      <c r="BJ166" s="919">
        <v>5.32</v>
      </c>
    </row>
    <row r="167" spans="1:62" ht="16.5" thickBot="1">
      <c r="A167" s="1002">
        <v>11</v>
      </c>
      <c r="B167" s="1003"/>
      <c r="C167" s="1004">
        <v>305</v>
      </c>
      <c r="D167" s="1003"/>
      <c r="H167" s="1005">
        <v>9</v>
      </c>
      <c r="I167" s="1003"/>
      <c r="J167" s="1004" t="s">
        <v>1133</v>
      </c>
      <c r="K167" s="1004" t="s">
        <v>1120</v>
      </c>
      <c r="L167" s="1004" t="s">
        <v>1087</v>
      </c>
      <c r="M167" s="1004" t="s">
        <v>1088</v>
      </c>
      <c r="N167" s="1004" t="s">
        <v>1134</v>
      </c>
      <c r="O167" s="1004" t="s">
        <v>1135</v>
      </c>
      <c r="P167" s="1004" t="s">
        <v>1100</v>
      </c>
      <c r="Q167" s="1004" t="s">
        <v>1091</v>
      </c>
      <c r="R167" s="1004" t="s">
        <v>1111</v>
      </c>
      <c r="S167" s="1004" t="s">
        <v>1130</v>
      </c>
      <c r="T167" s="1004" t="s">
        <v>1136</v>
      </c>
      <c r="U167" s="1004" t="s">
        <v>1137</v>
      </c>
      <c r="AB167" s="1010"/>
      <c r="AC167" s="1011"/>
      <c r="AD167" s="919"/>
      <c r="AF167" s="937">
        <v>42896</v>
      </c>
      <c r="AG167" s="939"/>
      <c r="AH167" s="939"/>
      <c r="AI167" s="939"/>
      <c r="AJ167" s="1012"/>
      <c r="AK167" s="939"/>
      <c r="AL167" s="939"/>
      <c r="AM167" s="939"/>
      <c r="AN167" s="971"/>
      <c r="AV167" s="945"/>
      <c r="AW167" s="2755">
        <v>43265</v>
      </c>
      <c r="AX167" s="1011">
        <v>1847</v>
      </c>
      <c r="AY167" s="919">
        <v>107</v>
      </c>
      <c r="BI167" s="1010">
        <v>43264</v>
      </c>
      <c r="BJ167" s="919">
        <v>5.45</v>
      </c>
    </row>
    <row r="168" spans="1:62" ht="16">
      <c r="A168" s="1002">
        <v>12</v>
      </c>
      <c r="B168" s="1003"/>
      <c r="C168" s="1004">
        <v>423</v>
      </c>
      <c r="D168" s="1003"/>
      <c r="H168" s="1005">
        <v>10</v>
      </c>
      <c r="I168" s="1003"/>
      <c r="J168" s="1004" t="s">
        <v>1138</v>
      </c>
      <c r="K168" s="1004" t="s">
        <v>1120</v>
      </c>
      <c r="L168" s="1004" t="s">
        <v>1098</v>
      </c>
      <c r="M168" s="1004" t="s">
        <v>1088</v>
      </c>
      <c r="N168" s="1004" t="s">
        <v>1134</v>
      </c>
      <c r="O168" s="1004" t="s">
        <v>1139</v>
      </c>
      <c r="P168" s="1004" t="s">
        <v>1137</v>
      </c>
      <c r="Q168" s="1004" t="s">
        <v>1091</v>
      </c>
      <c r="R168" s="1004" t="s">
        <v>1101</v>
      </c>
      <c r="S168" s="1004" t="s">
        <v>1140</v>
      </c>
      <c r="T168" s="1004" t="s">
        <v>1141</v>
      </c>
      <c r="U168" s="1004" t="s">
        <v>1131</v>
      </c>
      <c r="AB168" s="1010"/>
      <c r="AC168" s="1011"/>
      <c r="AD168" s="919"/>
      <c r="AF168" s="937">
        <v>42897</v>
      </c>
      <c r="AG168" s="939"/>
      <c r="AH168" s="939"/>
      <c r="AI168" s="939"/>
      <c r="AJ168" s="1012"/>
      <c r="AK168" s="939"/>
      <c r="AL168" s="939"/>
      <c r="AM168" s="939"/>
      <c r="AN168" s="971"/>
      <c r="AV168" s="945"/>
      <c r="AW168" s="2755">
        <v>43266</v>
      </c>
      <c r="AX168" s="1011">
        <v>1846</v>
      </c>
      <c r="AY168" s="919">
        <v>107</v>
      </c>
      <c r="AZ168" s="1006">
        <v>42533</v>
      </c>
      <c r="BA168" s="1007">
        <v>5559.13</v>
      </c>
      <c r="BB168" s="1007">
        <v>6.01</v>
      </c>
      <c r="BC168" s="1007">
        <v>2006</v>
      </c>
      <c r="BD168" s="1008">
        <v>110</v>
      </c>
      <c r="BI168" s="1010">
        <v>43265</v>
      </c>
      <c r="BJ168" s="919">
        <v>5.51</v>
      </c>
    </row>
    <row r="169" spans="1:62" ht="16">
      <c r="A169" s="1002">
        <v>13</v>
      </c>
      <c r="B169" s="1003"/>
      <c r="C169" s="1004">
        <v>1140</v>
      </c>
      <c r="D169" s="1003"/>
      <c r="H169" s="1005">
        <v>11</v>
      </c>
      <c r="I169" s="1003"/>
      <c r="J169" s="1004" t="s">
        <v>1142</v>
      </c>
      <c r="K169" s="1004" t="s">
        <v>1143</v>
      </c>
      <c r="L169" s="1004" t="s">
        <v>1087</v>
      </c>
      <c r="M169" s="1004" t="s">
        <v>1088</v>
      </c>
      <c r="N169" s="1004" t="s">
        <v>1144</v>
      </c>
      <c r="O169" s="1004" t="s">
        <v>1145</v>
      </c>
      <c r="P169" s="1004" t="s">
        <v>1131</v>
      </c>
      <c r="Q169" s="1004" t="s">
        <v>1092</v>
      </c>
      <c r="R169" s="1004" t="s">
        <v>1122</v>
      </c>
      <c r="S169" s="1004" t="s">
        <v>1146</v>
      </c>
      <c r="T169" s="1004" t="s">
        <v>1147</v>
      </c>
      <c r="U169" s="1004" t="s">
        <v>1148</v>
      </c>
      <c r="AB169" s="1010"/>
      <c r="AC169" s="1011"/>
      <c r="AD169" s="919"/>
      <c r="AF169" s="937">
        <v>42898</v>
      </c>
      <c r="AG169" s="939"/>
      <c r="AH169" s="939"/>
      <c r="AI169" s="939"/>
      <c r="AJ169" s="1012"/>
      <c r="AK169" s="939"/>
      <c r="AL169" s="939"/>
      <c r="AM169" s="939"/>
      <c r="AN169" s="971"/>
      <c r="AV169" s="945"/>
      <c r="AW169" s="2755">
        <v>43267</v>
      </c>
      <c r="AX169" s="1011">
        <v>1845</v>
      </c>
      <c r="AY169" s="919">
        <v>107</v>
      </c>
      <c r="AZ169" s="1010">
        <v>42534</v>
      </c>
      <c r="BA169" s="1011">
        <v>5559.22</v>
      </c>
      <c r="BB169" s="1011">
        <v>6.14</v>
      </c>
      <c r="BC169" s="1011">
        <v>2016</v>
      </c>
      <c r="BD169" s="919">
        <v>110</v>
      </c>
      <c r="BI169" s="1010">
        <v>43266</v>
      </c>
      <c r="BJ169" s="919">
        <v>5.39</v>
      </c>
    </row>
    <row r="170" spans="1:62" ht="16.5" thickBot="1">
      <c r="A170" s="1002">
        <v>14</v>
      </c>
      <c r="B170" s="1003"/>
      <c r="C170" s="1004">
        <v>844</v>
      </c>
      <c r="D170" s="1003"/>
      <c r="H170" s="1005">
        <v>12</v>
      </c>
      <c r="I170" s="1003"/>
      <c r="J170" s="1004" t="s">
        <v>1149</v>
      </c>
      <c r="K170" s="1004" t="s">
        <v>1125</v>
      </c>
      <c r="L170" s="1004" t="s">
        <v>1087</v>
      </c>
      <c r="M170" s="1004" t="s">
        <v>1088</v>
      </c>
      <c r="N170" s="1004" t="s">
        <v>1134</v>
      </c>
      <c r="O170" s="1004" t="s">
        <v>1150</v>
      </c>
      <c r="P170" s="1004" t="s">
        <v>1151</v>
      </c>
      <c r="Q170" s="1004" t="s">
        <v>1152</v>
      </c>
      <c r="R170" s="1004" t="s">
        <v>1153</v>
      </c>
      <c r="S170" s="1004" t="s">
        <v>1154</v>
      </c>
      <c r="T170" s="1004" t="s">
        <v>1155</v>
      </c>
      <c r="U170" s="1004" t="s">
        <v>1148</v>
      </c>
      <c r="AB170" s="1010"/>
      <c r="AC170" s="1011"/>
      <c r="AD170" s="919"/>
      <c r="AF170" s="937">
        <v>42899</v>
      </c>
      <c r="AG170" s="939"/>
      <c r="AH170" s="939"/>
      <c r="AI170" s="939"/>
      <c r="AJ170" s="1012"/>
      <c r="AK170" s="939"/>
      <c r="AL170" s="939"/>
      <c r="AM170" s="939"/>
      <c r="AN170" s="1013"/>
      <c r="AV170" s="945"/>
      <c r="AW170" s="2755">
        <v>43268</v>
      </c>
      <c r="AX170" s="1011">
        <v>1848</v>
      </c>
      <c r="AY170" s="919">
        <v>107</v>
      </c>
      <c r="AZ170" s="1010">
        <v>42535</v>
      </c>
      <c r="BA170" s="1011">
        <v>5559.49</v>
      </c>
      <c r="BB170" s="1011">
        <v>6.5</v>
      </c>
      <c r="BC170" s="1011">
        <v>2045</v>
      </c>
      <c r="BD170" s="919">
        <v>111</v>
      </c>
      <c r="BI170" s="1010">
        <v>43267</v>
      </c>
      <c r="BJ170" s="919">
        <v>4.87</v>
      </c>
    </row>
    <row r="171" spans="1:62" ht="16">
      <c r="A171" s="1002">
        <v>15</v>
      </c>
      <c r="B171" s="1003"/>
      <c r="C171" s="1004">
        <v>968</v>
      </c>
      <c r="D171" s="1003"/>
      <c r="H171" s="1005">
        <v>13</v>
      </c>
      <c r="I171" s="1003"/>
      <c r="J171" s="1004" t="s">
        <v>1156</v>
      </c>
      <c r="K171" s="1004" t="s">
        <v>1157</v>
      </c>
      <c r="L171" s="1004" t="s">
        <v>1088</v>
      </c>
      <c r="M171" s="1004" t="s">
        <v>1088</v>
      </c>
      <c r="N171" s="1004" t="s">
        <v>1134</v>
      </c>
      <c r="O171" s="1004" t="s">
        <v>1158</v>
      </c>
      <c r="P171" s="1004" t="s">
        <v>1159</v>
      </c>
      <c r="Q171" s="1004" t="s">
        <v>1151</v>
      </c>
      <c r="R171" s="1004" t="s">
        <v>1151</v>
      </c>
      <c r="S171" s="1004" t="s">
        <v>1160</v>
      </c>
      <c r="T171" s="1004" t="s">
        <v>1161</v>
      </c>
      <c r="U171" s="1004" t="s">
        <v>1159</v>
      </c>
      <c r="AB171" s="1010"/>
      <c r="AC171" s="1011"/>
      <c r="AD171" s="919"/>
      <c r="AF171" s="937">
        <v>42900</v>
      </c>
      <c r="AG171" s="1014"/>
      <c r="AH171" s="971"/>
      <c r="AI171" s="1009"/>
      <c r="AJ171" s="1012"/>
      <c r="AK171" s="1009"/>
      <c r="AL171" s="1009"/>
      <c r="AM171" s="1009"/>
      <c r="AN171" s="1006"/>
      <c r="AO171" s="1007"/>
      <c r="AP171" s="1007"/>
      <c r="AQ171" s="1008"/>
      <c r="AR171" s="1008"/>
      <c r="AS171" s="1015"/>
      <c r="AT171" s="1015"/>
      <c r="AU171" s="1015"/>
      <c r="AV171" s="1015"/>
      <c r="AW171" s="2755">
        <v>43269</v>
      </c>
      <c r="AX171" s="1011">
        <v>1885</v>
      </c>
      <c r="AY171" s="919">
        <v>108</v>
      </c>
      <c r="AZ171" s="1010">
        <v>42536</v>
      </c>
      <c r="BA171" s="1011">
        <v>5559.2</v>
      </c>
      <c r="BB171" s="1011">
        <v>6.5</v>
      </c>
      <c r="BC171" s="1011">
        <v>2013</v>
      </c>
      <c r="BD171" s="919">
        <v>110</v>
      </c>
      <c r="BE171" s="1015"/>
      <c r="BI171" s="1010">
        <v>43268</v>
      </c>
      <c r="BJ171" s="919">
        <v>5.71</v>
      </c>
    </row>
    <row r="172" spans="1:62" ht="16">
      <c r="A172" s="1002">
        <v>16</v>
      </c>
      <c r="B172" s="1003"/>
      <c r="C172" s="1004">
        <v>1020</v>
      </c>
      <c r="D172" s="1003"/>
      <c r="H172" s="1005">
        <v>14</v>
      </c>
      <c r="I172" s="1004" t="s">
        <v>1096</v>
      </c>
      <c r="J172" s="1004" t="s">
        <v>1162</v>
      </c>
      <c r="K172" s="1004" t="s">
        <v>1163</v>
      </c>
      <c r="L172" s="1004" t="s">
        <v>1088</v>
      </c>
      <c r="M172" s="1004" t="s">
        <v>1088</v>
      </c>
      <c r="N172" s="1004" t="s">
        <v>1164</v>
      </c>
      <c r="O172" s="1004" t="s">
        <v>1165</v>
      </c>
      <c r="P172" s="1004" t="s">
        <v>1166</v>
      </c>
      <c r="Q172" s="1004" t="s">
        <v>1167</v>
      </c>
      <c r="R172" s="1004" t="s">
        <v>1159</v>
      </c>
      <c r="S172" s="1004" t="s">
        <v>1168</v>
      </c>
      <c r="T172" s="1004" t="s">
        <v>1169</v>
      </c>
      <c r="U172" s="1004" t="s">
        <v>1148</v>
      </c>
      <c r="AB172" s="1010"/>
      <c r="AC172" s="1011"/>
      <c r="AD172" s="919"/>
      <c r="AF172" s="937">
        <v>42901</v>
      </c>
      <c r="AG172" s="939"/>
      <c r="AH172" s="939"/>
      <c r="AI172" s="1012"/>
      <c r="AJ172" s="1012"/>
      <c r="AK172" s="1012"/>
      <c r="AL172" s="1012"/>
      <c r="AM172" s="1012"/>
      <c r="AN172" s="1010"/>
      <c r="AO172" s="1011"/>
      <c r="AP172" s="1011"/>
      <c r="AQ172" s="919"/>
      <c r="AR172" s="919"/>
      <c r="AS172" s="971"/>
      <c r="AT172" s="971"/>
      <c r="AU172" s="971"/>
      <c r="AV172" s="971"/>
      <c r="AW172" s="2755">
        <v>43270</v>
      </c>
      <c r="AX172" s="1011">
        <v>1879</v>
      </c>
      <c r="AY172" s="919">
        <v>108</v>
      </c>
      <c r="AZ172" s="1010">
        <v>42537</v>
      </c>
      <c r="BA172" s="1011">
        <v>5559.09</v>
      </c>
      <c r="BB172" s="1011">
        <v>6.5</v>
      </c>
      <c r="BC172" s="1011">
        <v>2001</v>
      </c>
      <c r="BD172" s="919">
        <v>110</v>
      </c>
      <c r="BE172" s="971"/>
      <c r="BI172" s="1010">
        <v>43269</v>
      </c>
      <c r="BJ172" s="919">
        <v>31.8</v>
      </c>
    </row>
    <row r="173" spans="1:62" ht="16">
      <c r="A173" s="1002">
        <v>17</v>
      </c>
      <c r="B173" s="1003"/>
      <c r="C173" s="1004">
        <v>781</v>
      </c>
      <c r="D173" s="1003"/>
      <c r="H173" s="1005">
        <v>15</v>
      </c>
      <c r="I173" s="1004" t="s">
        <v>1170</v>
      </c>
      <c r="J173" s="1004" t="s">
        <v>1171</v>
      </c>
      <c r="K173" s="1004" t="s">
        <v>1109</v>
      </c>
      <c r="L173" s="1004" t="s">
        <v>1088</v>
      </c>
      <c r="M173" s="1004" t="s">
        <v>1088</v>
      </c>
      <c r="N173" s="1004" t="s">
        <v>1172</v>
      </c>
      <c r="O173" s="1004" t="s">
        <v>1173</v>
      </c>
      <c r="P173" s="1004" t="s">
        <v>1166</v>
      </c>
      <c r="Q173" s="1004" t="s">
        <v>1090</v>
      </c>
      <c r="R173" s="1004" t="s">
        <v>1117</v>
      </c>
      <c r="S173" s="1004" t="s">
        <v>1174</v>
      </c>
      <c r="T173" s="1004" t="s">
        <v>1175</v>
      </c>
      <c r="U173" s="1003"/>
      <c r="AB173" s="1010"/>
      <c r="AC173" s="1011"/>
      <c r="AD173" s="919"/>
      <c r="AF173" s="937">
        <v>42902</v>
      </c>
      <c r="AG173" s="939"/>
      <c r="AH173" s="939"/>
      <c r="AI173" s="1012"/>
      <c r="AJ173" s="1012"/>
      <c r="AK173" s="1012"/>
      <c r="AL173" s="1012"/>
      <c r="AM173" s="1012"/>
      <c r="AN173" s="1010"/>
      <c r="AO173" s="1011"/>
      <c r="AP173" s="1011"/>
      <c r="AQ173" s="919"/>
      <c r="AR173" s="919"/>
      <c r="AS173" s="971"/>
      <c r="AT173" s="971"/>
      <c r="AU173" s="971"/>
      <c r="AV173" s="945"/>
      <c r="AW173" s="2755">
        <v>43271</v>
      </c>
      <c r="AX173" s="1011">
        <v>1870</v>
      </c>
      <c r="AY173" s="919">
        <v>107</v>
      </c>
      <c r="AZ173" s="1010">
        <v>42538</v>
      </c>
      <c r="BA173" s="1011">
        <v>5559</v>
      </c>
      <c r="BB173" s="1011">
        <v>6.5</v>
      </c>
      <c r="BC173" s="1011">
        <v>1992</v>
      </c>
      <c r="BD173" s="919">
        <v>110</v>
      </c>
      <c r="BI173" s="1010">
        <v>43270</v>
      </c>
      <c r="BJ173" s="919">
        <v>26.8</v>
      </c>
    </row>
    <row r="174" spans="1:62" ht="16">
      <c r="A174" s="1002">
        <v>18</v>
      </c>
      <c r="B174" s="1003"/>
      <c r="C174" s="1004">
        <v>618</v>
      </c>
      <c r="D174" s="1003"/>
      <c r="H174" s="1005">
        <v>16</v>
      </c>
      <c r="I174" s="1004" t="s">
        <v>1176</v>
      </c>
      <c r="J174" s="1004" t="s">
        <v>1177</v>
      </c>
      <c r="K174" s="1004" t="s">
        <v>1157</v>
      </c>
      <c r="L174" s="1004" t="s">
        <v>1088</v>
      </c>
      <c r="M174" s="1004" t="s">
        <v>1088</v>
      </c>
      <c r="N174" s="1004" t="s">
        <v>1178</v>
      </c>
      <c r="O174" s="1004" t="s">
        <v>1173</v>
      </c>
      <c r="P174" s="1004" t="s">
        <v>1179</v>
      </c>
      <c r="Q174" s="1004" t="s">
        <v>1159</v>
      </c>
      <c r="R174" s="1004" t="s">
        <v>1111</v>
      </c>
      <c r="S174" s="1004" t="s">
        <v>1180</v>
      </c>
      <c r="T174" s="1004" t="s">
        <v>1181</v>
      </c>
      <c r="U174" s="1003"/>
      <c r="AB174" s="1010"/>
      <c r="AC174" s="1011"/>
      <c r="AD174" s="919"/>
      <c r="AF174" s="937">
        <v>42903</v>
      </c>
      <c r="AG174" s="939"/>
      <c r="AH174" s="939"/>
      <c r="AI174" s="1012"/>
      <c r="AJ174" s="1012"/>
      <c r="AK174" s="1012"/>
      <c r="AL174" s="1012"/>
      <c r="AM174" s="1012"/>
      <c r="AN174" s="1010"/>
      <c r="AO174" s="1011"/>
      <c r="AP174" s="1011"/>
      <c r="AQ174" s="919"/>
      <c r="AR174" s="919"/>
      <c r="AS174" s="971"/>
      <c r="AT174" s="971"/>
      <c r="AU174" s="971"/>
      <c r="AV174" s="945"/>
      <c r="AW174" s="2755">
        <v>43272</v>
      </c>
      <c r="AX174" s="1011">
        <v>1860</v>
      </c>
      <c r="AY174" s="919">
        <v>107</v>
      </c>
      <c r="AZ174" s="1010">
        <v>42539</v>
      </c>
      <c r="BA174" s="1011">
        <v>5558.94</v>
      </c>
      <c r="BB174" s="1011">
        <v>6.5</v>
      </c>
      <c r="BC174" s="1011">
        <v>1985</v>
      </c>
      <c r="BD174" s="919">
        <v>109</v>
      </c>
      <c r="BI174" s="1010">
        <v>43271</v>
      </c>
      <c r="BJ174" s="919">
        <v>19.2</v>
      </c>
    </row>
    <row r="175" spans="1:62" ht="16">
      <c r="A175" s="1002">
        <v>19</v>
      </c>
      <c r="B175" s="1003"/>
      <c r="C175" s="1004">
        <v>506</v>
      </c>
      <c r="D175" s="1003"/>
      <c r="H175" s="1005">
        <v>17</v>
      </c>
      <c r="I175" s="1004" t="s">
        <v>1096</v>
      </c>
      <c r="J175" s="1004" t="s">
        <v>1182</v>
      </c>
      <c r="K175" s="1004" t="s">
        <v>1109</v>
      </c>
      <c r="L175" s="1004" t="s">
        <v>1088</v>
      </c>
      <c r="M175" s="1004" t="s">
        <v>1088</v>
      </c>
      <c r="N175" s="1004" t="s">
        <v>1134</v>
      </c>
      <c r="O175" s="1004" t="s">
        <v>1183</v>
      </c>
      <c r="P175" s="1004" t="s">
        <v>1129</v>
      </c>
      <c r="Q175" s="1004" t="s">
        <v>1129</v>
      </c>
      <c r="R175" s="1004" t="s">
        <v>1092</v>
      </c>
      <c r="S175" s="1004" t="s">
        <v>1184</v>
      </c>
      <c r="T175" s="1004" t="s">
        <v>1185</v>
      </c>
      <c r="U175" s="1003"/>
      <c r="AB175" s="1010"/>
      <c r="AC175" s="1011"/>
      <c r="AD175" s="919"/>
      <c r="AF175" s="937">
        <v>42904</v>
      </c>
      <c r="AG175" s="939"/>
      <c r="AH175" s="939"/>
      <c r="AI175" s="1012"/>
      <c r="AJ175" s="1012"/>
      <c r="AK175" s="1012"/>
      <c r="AL175" s="1012"/>
      <c r="AM175" s="1012"/>
      <c r="AN175" s="1010"/>
      <c r="AO175" s="1011"/>
      <c r="AP175" s="1011"/>
      <c r="AQ175" s="919"/>
      <c r="AR175" s="919"/>
      <c r="AS175" s="971"/>
      <c r="AT175" s="971"/>
      <c r="AU175" s="971"/>
      <c r="AV175" s="945"/>
      <c r="AW175" s="2755">
        <v>43273</v>
      </c>
      <c r="AX175" s="1011">
        <v>1855</v>
      </c>
      <c r="AY175" s="919">
        <v>107</v>
      </c>
      <c r="AZ175" s="1010">
        <v>42540</v>
      </c>
      <c r="BA175" s="1011">
        <v>5558.92</v>
      </c>
      <c r="BB175" s="1011">
        <v>6.5</v>
      </c>
      <c r="BC175" s="1011">
        <v>1983</v>
      </c>
      <c r="BD175" s="919">
        <v>109</v>
      </c>
      <c r="BI175" s="1010">
        <v>43272</v>
      </c>
      <c r="BJ175" s="919">
        <v>12.4</v>
      </c>
    </row>
    <row r="176" spans="1:62" ht="16">
      <c r="A176" s="1002">
        <v>20</v>
      </c>
      <c r="B176" s="1003"/>
      <c r="C176" s="1004">
        <v>438</v>
      </c>
      <c r="D176" s="1003"/>
      <c r="H176" s="1005">
        <v>18</v>
      </c>
      <c r="I176" s="1004" t="s">
        <v>1096</v>
      </c>
      <c r="J176" s="1004" t="s">
        <v>1186</v>
      </c>
      <c r="K176" s="1004" t="s">
        <v>1121</v>
      </c>
      <c r="L176" s="1004" t="s">
        <v>1088</v>
      </c>
      <c r="M176" s="1004" t="s">
        <v>1088</v>
      </c>
      <c r="N176" s="1004" t="s">
        <v>1134</v>
      </c>
      <c r="O176" s="1004" t="s">
        <v>1187</v>
      </c>
      <c r="P176" s="1004" t="s">
        <v>1089</v>
      </c>
      <c r="Q176" s="1004" t="s">
        <v>1101</v>
      </c>
      <c r="R176" s="1004" t="s">
        <v>1092</v>
      </c>
      <c r="S176" s="1004" t="s">
        <v>1188</v>
      </c>
      <c r="T176" s="1004" t="s">
        <v>1185</v>
      </c>
      <c r="U176" s="1003"/>
      <c r="AB176" s="1010"/>
      <c r="AC176" s="1011"/>
      <c r="AD176" s="919"/>
      <c r="AF176" s="937">
        <v>42905</v>
      </c>
      <c r="AG176" s="939"/>
      <c r="AH176" s="939"/>
      <c r="AI176" s="1012"/>
      <c r="AJ176" s="1012"/>
      <c r="AK176" s="1012"/>
      <c r="AL176" s="1012"/>
      <c r="AM176" s="1012"/>
      <c r="AN176" s="1010"/>
      <c r="AO176" s="1011"/>
      <c r="AP176" s="1011"/>
      <c r="AQ176" s="919"/>
      <c r="AR176" s="919"/>
      <c r="AS176" s="971"/>
      <c r="AT176" s="971"/>
      <c r="AU176" s="971"/>
      <c r="AV176" s="945"/>
      <c r="AW176" s="2755">
        <v>43274</v>
      </c>
      <c r="AX176" s="1011">
        <v>1853</v>
      </c>
      <c r="AY176" s="919">
        <v>107</v>
      </c>
      <c r="AZ176" s="1010">
        <v>42541</v>
      </c>
      <c r="BA176" s="1011">
        <v>5558.88</v>
      </c>
      <c r="BB176" s="1011">
        <v>6.5</v>
      </c>
      <c r="BC176" s="1011">
        <v>1978</v>
      </c>
      <c r="BD176" s="919">
        <v>109</v>
      </c>
      <c r="BI176" s="1010">
        <v>43273</v>
      </c>
      <c r="BJ176" s="919">
        <v>9.83</v>
      </c>
    </row>
    <row r="177" spans="1:62" ht="16">
      <c r="A177" s="1002">
        <v>21</v>
      </c>
      <c r="B177" s="1003"/>
      <c r="C177" s="1004">
        <v>385</v>
      </c>
      <c r="D177" s="1003"/>
      <c r="H177" s="1005">
        <v>19</v>
      </c>
      <c r="I177" s="1004" t="s">
        <v>1189</v>
      </c>
      <c r="J177" s="1004" t="s">
        <v>1190</v>
      </c>
      <c r="K177" s="1004" t="s">
        <v>1109</v>
      </c>
      <c r="L177" s="1004" t="s">
        <v>1088</v>
      </c>
      <c r="M177" s="1004" t="s">
        <v>1088</v>
      </c>
      <c r="N177" s="1004" t="s">
        <v>1110</v>
      </c>
      <c r="O177" s="1004" t="s">
        <v>1191</v>
      </c>
      <c r="P177" s="1004" t="s">
        <v>1101</v>
      </c>
      <c r="Q177" s="1004" t="s">
        <v>1101</v>
      </c>
      <c r="R177" s="1004" t="s">
        <v>1092</v>
      </c>
      <c r="S177" s="1004" t="s">
        <v>1192</v>
      </c>
      <c r="T177" s="1004" t="s">
        <v>1150</v>
      </c>
      <c r="U177" s="1003"/>
      <c r="AB177" s="1010"/>
      <c r="AC177" s="1011"/>
      <c r="AD177" s="919"/>
      <c r="AF177" s="937">
        <v>42906</v>
      </c>
      <c r="AG177" s="939"/>
      <c r="AH177" s="939"/>
      <c r="AI177" s="1012"/>
      <c r="AJ177" s="1012"/>
      <c r="AK177" s="1012"/>
      <c r="AL177" s="1012"/>
      <c r="AM177" s="1012"/>
      <c r="AN177" s="1010"/>
      <c r="AO177" s="1011"/>
      <c r="AP177" s="1011"/>
      <c r="AQ177" s="919"/>
      <c r="AR177" s="919"/>
      <c r="AS177" s="971"/>
      <c r="AT177" s="971"/>
      <c r="AU177" s="971"/>
      <c r="AV177" s="945"/>
      <c r="AW177" s="2755">
        <v>43275</v>
      </c>
      <c r="AX177" s="1011">
        <v>1851</v>
      </c>
      <c r="AY177" s="919">
        <v>107</v>
      </c>
      <c r="AZ177" s="1010">
        <v>42542</v>
      </c>
      <c r="BA177" s="1011">
        <v>5559.05</v>
      </c>
      <c r="BB177" s="1011">
        <v>6.51</v>
      </c>
      <c r="BC177" s="1011">
        <v>1997</v>
      </c>
      <c r="BD177" s="919">
        <v>110</v>
      </c>
      <c r="BI177" s="1010">
        <v>43274</v>
      </c>
      <c r="BJ177" s="919">
        <v>8.1300000000000008</v>
      </c>
    </row>
    <row r="178" spans="1:62" ht="16">
      <c r="A178" s="1002">
        <v>22</v>
      </c>
      <c r="B178" s="1003"/>
      <c r="C178" s="1004">
        <v>342</v>
      </c>
      <c r="D178" s="1003"/>
      <c r="H178" s="1005">
        <v>20</v>
      </c>
      <c r="I178" s="1004" t="s">
        <v>1096</v>
      </c>
      <c r="J178" s="1004" t="s">
        <v>1193</v>
      </c>
      <c r="K178" s="1004" t="s">
        <v>1109</v>
      </c>
      <c r="L178" s="1004" t="s">
        <v>1088</v>
      </c>
      <c r="M178" s="1004" t="s">
        <v>1088</v>
      </c>
      <c r="N178" s="1004" t="s">
        <v>1144</v>
      </c>
      <c r="O178" s="1004" t="s">
        <v>1194</v>
      </c>
      <c r="P178" s="1004" t="s">
        <v>1122</v>
      </c>
      <c r="Q178" s="1004" t="s">
        <v>1122</v>
      </c>
      <c r="R178" s="1004" t="s">
        <v>1091</v>
      </c>
      <c r="S178" s="1004" t="s">
        <v>1195</v>
      </c>
      <c r="T178" s="1004" t="s">
        <v>1150</v>
      </c>
      <c r="U178" s="1003"/>
      <c r="AB178" s="1010"/>
      <c r="AC178" s="1011"/>
      <c r="AD178" s="919"/>
      <c r="AF178" s="937">
        <v>42907</v>
      </c>
      <c r="AG178" s="939"/>
      <c r="AH178" s="939"/>
      <c r="AI178" s="1012"/>
      <c r="AJ178" s="1012"/>
      <c r="AK178" s="1012"/>
      <c r="AL178" s="1012"/>
      <c r="AM178" s="1012"/>
      <c r="AN178" s="1010"/>
      <c r="AO178" s="1011"/>
      <c r="AP178" s="1011"/>
      <c r="AQ178" s="919"/>
      <c r="AR178" s="919"/>
      <c r="AS178" s="971"/>
      <c r="AT178" s="971"/>
      <c r="AU178" s="971"/>
      <c r="AV178" s="945"/>
      <c r="AW178" s="2755">
        <v>43276</v>
      </c>
      <c r="AX178" s="1011">
        <v>1854</v>
      </c>
      <c r="AY178" s="919">
        <v>107</v>
      </c>
      <c r="AZ178" s="1010">
        <v>42543</v>
      </c>
      <c r="BA178" s="1011">
        <v>5558.98</v>
      </c>
      <c r="BB178" s="1011">
        <v>6.51</v>
      </c>
      <c r="BC178" s="1011">
        <v>1990</v>
      </c>
      <c r="BD178" s="919">
        <v>109</v>
      </c>
      <c r="BI178" s="1010">
        <v>43275</v>
      </c>
      <c r="BJ178" s="919">
        <v>7.79</v>
      </c>
    </row>
    <row r="179" spans="1:62" ht="16">
      <c r="A179" s="1002">
        <v>23</v>
      </c>
      <c r="B179" s="1003"/>
      <c r="C179" s="1004">
        <v>313</v>
      </c>
      <c r="D179" s="1003"/>
      <c r="H179" s="1005">
        <v>21</v>
      </c>
      <c r="I179" s="1004" t="s">
        <v>1107</v>
      </c>
      <c r="J179" s="1004" t="s">
        <v>1196</v>
      </c>
      <c r="K179" s="1004" t="s">
        <v>1098</v>
      </c>
      <c r="L179" s="1004" t="s">
        <v>1088</v>
      </c>
      <c r="M179" s="1004" t="s">
        <v>1088</v>
      </c>
      <c r="N179" s="1004" t="s">
        <v>1115</v>
      </c>
      <c r="O179" s="1004" t="s">
        <v>1197</v>
      </c>
      <c r="P179" s="1004" t="s">
        <v>1111</v>
      </c>
      <c r="Q179" s="1004" t="s">
        <v>1113</v>
      </c>
      <c r="R179" s="1004" t="s">
        <v>1091</v>
      </c>
      <c r="S179" s="1004" t="s">
        <v>1198</v>
      </c>
      <c r="T179" s="1004" t="s">
        <v>1199</v>
      </c>
      <c r="U179" s="1003"/>
      <c r="AB179" s="1010"/>
      <c r="AC179" s="1011"/>
      <c r="AD179" s="919"/>
      <c r="AF179" s="937">
        <v>42908</v>
      </c>
      <c r="AG179" s="939"/>
      <c r="AH179" s="939"/>
      <c r="AI179" s="1012"/>
      <c r="AJ179" s="1012"/>
      <c r="AK179" s="1012"/>
      <c r="AL179" s="1012"/>
      <c r="AM179" s="1012"/>
      <c r="AN179" s="1010"/>
      <c r="AO179" s="1011"/>
      <c r="AP179" s="1011"/>
      <c r="AQ179" s="919"/>
      <c r="AR179" s="919"/>
      <c r="AS179" s="971"/>
      <c r="AT179" s="971"/>
      <c r="AU179" s="971"/>
      <c r="AV179" s="945"/>
      <c r="AW179" s="2755">
        <v>43277</v>
      </c>
      <c r="AX179" s="1011">
        <v>1852</v>
      </c>
      <c r="AY179" s="919">
        <v>107</v>
      </c>
      <c r="AZ179" s="1010">
        <v>42544</v>
      </c>
      <c r="BA179" s="1011">
        <v>5559</v>
      </c>
      <c r="BB179" s="1011">
        <v>6.55</v>
      </c>
      <c r="BC179" s="1011">
        <v>1992</v>
      </c>
      <c r="BD179" s="919">
        <v>110</v>
      </c>
      <c r="BI179" s="1010">
        <v>43276</v>
      </c>
      <c r="BJ179" s="919">
        <v>9.32</v>
      </c>
    </row>
    <row r="180" spans="1:62" ht="16">
      <c r="A180" s="1002">
        <v>24</v>
      </c>
      <c r="B180" s="1003"/>
      <c r="C180" s="1004">
        <v>264</v>
      </c>
      <c r="D180" s="1003"/>
      <c r="H180" s="1005">
        <v>22</v>
      </c>
      <c r="I180" s="1004" t="s">
        <v>1107</v>
      </c>
      <c r="J180" s="1004" t="s">
        <v>1200</v>
      </c>
      <c r="K180" s="1004" t="s">
        <v>1201</v>
      </c>
      <c r="L180" s="1004" t="s">
        <v>1088</v>
      </c>
      <c r="M180" s="1004" t="s">
        <v>1088</v>
      </c>
      <c r="N180" s="1004" t="s">
        <v>1202</v>
      </c>
      <c r="O180" s="1004" t="s">
        <v>1203</v>
      </c>
      <c r="P180" s="1004" t="s">
        <v>1111</v>
      </c>
      <c r="Q180" s="1004" t="s">
        <v>1105</v>
      </c>
      <c r="R180" s="1004" t="s">
        <v>1122</v>
      </c>
      <c r="S180" s="1004" t="s">
        <v>1204</v>
      </c>
      <c r="T180" s="1004" t="s">
        <v>1205</v>
      </c>
      <c r="U180" s="1003"/>
      <c r="AB180" s="1010"/>
      <c r="AC180" s="1011"/>
      <c r="AD180" s="919"/>
      <c r="AF180" s="937">
        <v>42909</v>
      </c>
      <c r="AG180" s="939"/>
      <c r="AH180" s="939"/>
      <c r="AI180" s="1012"/>
      <c r="AJ180" s="1012"/>
      <c r="AK180" s="1012"/>
      <c r="AL180" s="1012"/>
      <c r="AM180" s="1012"/>
      <c r="AN180" s="1010"/>
      <c r="AO180" s="1011"/>
      <c r="AP180" s="1011"/>
      <c r="AQ180" s="919"/>
      <c r="AR180" s="919"/>
      <c r="AS180" s="971"/>
      <c r="AT180" s="971"/>
      <c r="AU180" s="971"/>
      <c r="AV180" s="945"/>
      <c r="AW180" s="2755">
        <v>43278</v>
      </c>
      <c r="AX180" s="1011">
        <v>1848</v>
      </c>
      <c r="AY180" s="919">
        <v>107</v>
      </c>
      <c r="AZ180" s="1010">
        <v>42545</v>
      </c>
      <c r="BA180" s="1011">
        <v>5558.94</v>
      </c>
      <c r="BB180" s="1011">
        <v>6.61</v>
      </c>
      <c r="BC180" s="1011">
        <v>1985</v>
      </c>
      <c r="BD180" s="919">
        <v>109</v>
      </c>
      <c r="BI180" s="1010">
        <v>43277</v>
      </c>
      <c r="BJ180" s="919">
        <v>8.6300000000000008</v>
      </c>
    </row>
    <row r="181" spans="1:62" ht="16">
      <c r="A181" s="1002">
        <v>25</v>
      </c>
      <c r="B181" s="1003"/>
      <c r="C181" s="1004">
        <v>238</v>
      </c>
      <c r="D181" s="1003"/>
      <c r="H181" s="1005">
        <v>23</v>
      </c>
      <c r="I181" s="1004" t="s">
        <v>1206</v>
      </c>
      <c r="J181" s="1004" t="s">
        <v>1207</v>
      </c>
      <c r="K181" s="1004" t="s">
        <v>1121</v>
      </c>
      <c r="L181" s="1004" t="s">
        <v>1088</v>
      </c>
      <c r="M181" s="1004" t="s">
        <v>1088</v>
      </c>
      <c r="N181" s="1004" t="s">
        <v>1208</v>
      </c>
      <c r="O181" s="1004" t="s">
        <v>1194</v>
      </c>
      <c r="P181" s="1004" t="s">
        <v>1113</v>
      </c>
      <c r="Q181" s="1004" t="s">
        <v>1209</v>
      </c>
      <c r="R181" s="1004" t="s">
        <v>1130</v>
      </c>
      <c r="S181" s="1004" t="s">
        <v>1210</v>
      </c>
      <c r="T181" s="1004" t="s">
        <v>1145</v>
      </c>
      <c r="U181" s="1003"/>
      <c r="AB181" s="1010"/>
      <c r="AC181" s="1011"/>
      <c r="AD181" s="919"/>
      <c r="AF181" s="937">
        <v>42910</v>
      </c>
      <c r="AG181" s="939"/>
      <c r="AH181" s="939"/>
      <c r="AI181" s="1012"/>
      <c r="AJ181" s="1012"/>
      <c r="AK181" s="1012"/>
      <c r="AL181" s="1012"/>
      <c r="AM181" s="1012"/>
      <c r="AN181" s="1010"/>
      <c r="AO181" s="1011"/>
      <c r="AP181" s="1011"/>
      <c r="AQ181" s="919"/>
      <c r="AR181" s="919"/>
      <c r="AS181" s="971"/>
      <c r="AT181" s="971"/>
      <c r="AU181" s="971"/>
      <c r="AV181" s="945"/>
      <c r="AW181" s="2755">
        <v>43279</v>
      </c>
      <c r="AX181" s="1011">
        <v>1846</v>
      </c>
      <c r="AY181" s="919">
        <v>107</v>
      </c>
      <c r="AZ181" s="1010">
        <v>42546</v>
      </c>
      <c r="BA181" s="1011">
        <v>5558.82</v>
      </c>
      <c r="BB181" s="1011">
        <v>6.63</v>
      </c>
      <c r="BC181" s="1011">
        <v>1972</v>
      </c>
      <c r="BD181" s="919">
        <v>109</v>
      </c>
      <c r="BI181" s="1010">
        <v>43278</v>
      </c>
      <c r="BJ181" s="919">
        <v>6.45</v>
      </c>
    </row>
    <row r="182" spans="1:62" ht="16">
      <c r="A182" s="1002">
        <v>26</v>
      </c>
      <c r="B182" s="1003"/>
      <c r="C182" s="1004">
        <v>214</v>
      </c>
      <c r="D182" s="1003"/>
      <c r="H182" s="1005">
        <v>24</v>
      </c>
      <c r="I182" s="1004" t="s">
        <v>1206</v>
      </c>
      <c r="J182" s="1004" t="s">
        <v>1086</v>
      </c>
      <c r="K182" s="1004" t="s">
        <v>1086</v>
      </c>
      <c r="L182" s="1004" t="s">
        <v>1088</v>
      </c>
      <c r="M182" s="1004" t="s">
        <v>1088</v>
      </c>
      <c r="N182" s="1004" t="s">
        <v>1211</v>
      </c>
      <c r="O182" s="1004" t="s">
        <v>1212</v>
      </c>
      <c r="P182" s="1004" t="s">
        <v>1111</v>
      </c>
      <c r="Q182" s="1004" t="s">
        <v>1209</v>
      </c>
      <c r="R182" s="1004" t="s">
        <v>1095</v>
      </c>
      <c r="S182" s="1004" t="s">
        <v>1213</v>
      </c>
      <c r="T182" s="1004" t="s">
        <v>1116</v>
      </c>
      <c r="U182" s="1003"/>
      <c r="AB182" s="1010"/>
      <c r="AC182" s="1011"/>
      <c r="AD182" s="919"/>
      <c r="AF182" s="937">
        <v>42911</v>
      </c>
      <c r="AG182" s="939"/>
      <c r="AH182" s="939"/>
      <c r="AI182" s="1012"/>
      <c r="AJ182" s="1012"/>
      <c r="AK182" s="1012"/>
      <c r="AL182" s="1012"/>
      <c r="AM182" s="1012"/>
      <c r="AN182" s="1010"/>
      <c r="AO182" s="1011"/>
      <c r="AP182" s="1011"/>
      <c r="AQ182" s="919"/>
      <c r="AR182" s="919"/>
      <c r="AS182" s="971"/>
      <c r="AT182" s="971"/>
      <c r="AU182" s="971"/>
      <c r="AV182" s="945"/>
      <c r="AW182" s="2755">
        <v>43280</v>
      </c>
      <c r="AX182" s="1011">
        <v>1843</v>
      </c>
      <c r="AY182" s="919">
        <v>107</v>
      </c>
      <c r="AZ182" s="1010">
        <v>42547</v>
      </c>
      <c r="BA182" s="1011">
        <v>5558.81</v>
      </c>
      <c r="BB182" s="1011">
        <v>6.67</v>
      </c>
      <c r="BC182" s="1011">
        <v>1971</v>
      </c>
      <c r="BD182" s="919">
        <v>109</v>
      </c>
      <c r="BI182" s="1010">
        <v>43279</v>
      </c>
      <c r="BJ182" s="919">
        <v>5.07</v>
      </c>
    </row>
    <row r="183" spans="1:62" ht="16">
      <c r="A183" s="1002">
        <v>27</v>
      </c>
      <c r="B183" s="1003"/>
      <c r="C183" s="1004">
        <v>203</v>
      </c>
      <c r="D183" s="1003"/>
      <c r="H183" s="1005">
        <v>25</v>
      </c>
      <c r="I183" s="1004" t="s">
        <v>1189</v>
      </c>
      <c r="J183" s="1004" t="s">
        <v>1087</v>
      </c>
      <c r="K183" s="1004" t="s">
        <v>1214</v>
      </c>
      <c r="L183" s="1004" t="s">
        <v>1088</v>
      </c>
      <c r="M183" s="1004" t="s">
        <v>1088</v>
      </c>
      <c r="N183" s="1004" t="s">
        <v>1099</v>
      </c>
      <c r="O183" s="1004" t="s">
        <v>1155</v>
      </c>
      <c r="P183" s="1004" t="s">
        <v>1092</v>
      </c>
      <c r="Q183" s="1004" t="s">
        <v>1092</v>
      </c>
      <c r="R183" s="1004" t="s">
        <v>1151</v>
      </c>
      <c r="S183" s="1004" t="s">
        <v>1215</v>
      </c>
      <c r="T183" s="1004" t="s">
        <v>1112</v>
      </c>
      <c r="U183" s="1003"/>
      <c r="AB183" s="1010"/>
      <c r="AC183" s="1011"/>
      <c r="AD183" s="919"/>
      <c r="AF183" s="937">
        <v>42912</v>
      </c>
      <c r="AG183" s="939"/>
      <c r="AH183" s="939"/>
      <c r="AI183" s="1012"/>
      <c r="AJ183" s="1012"/>
      <c r="AK183" s="1012"/>
      <c r="AL183" s="1012"/>
      <c r="AM183" s="1012"/>
      <c r="AN183" s="1010"/>
      <c r="AO183" s="1011"/>
      <c r="AP183" s="1011"/>
      <c r="AQ183" s="919"/>
      <c r="AR183" s="919"/>
      <c r="AS183" s="971"/>
      <c r="AT183" s="971"/>
      <c r="AU183" s="971"/>
      <c r="AV183" s="945"/>
      <c r="AW183" s="2755">
        <v>43281</v>
      </c>
      <c r="AX183" s="1011">
        <v>1839</v>
      </c>
      <c r="AY183" s="919">
        <v>106</v>
      </c>
      <c r="AZ183" s="1010">
        <v>42548</v>
      </c>
      <c r="BA183" s="1011">
        <v>5558.74</v>
      </c>
      <c r="BB183" s="1011">
        <v>6.67</v>
      </c>
      <c r="BC183" s="1011">
        <v>1963</v>
      </c>
      <c r="BD183" s="919">
        <v>109</v>
      </c>
      <c r="BI183" s="1010">
        <v>43280</v>
      </c>
      <c r="BJ183" s="919">
        <v>3.61</v>
      </c>
    </row>
    <row r="184" spans="1:62" ht="16">
      <c r="A184" s="1002">
        <v>28</v>
      </c>
      <c r="B184" s="1003"/>
      <c r="C184" s="1004">
        <v>186</v>
      </c>
      <c r="D184" s="1003"/>
      <c r="H184" s="1005">
        <v>26</v>
      </c>
      <c r="I184" s="1004" t="s">
        <v>1096</v>
      </c>
      <c r="J184" s="1004" t="s">
        <v>1109</v>
      </c>
      <c r="K184" s="1004" t="s">
        <v>1121</v>
      </c>
      <c r="L184" s="1004" t="s">
        <v>1088</v>
      </c>
      <c r="M184" s="1004" t="s">
        <v>1088</v>
      </c>
      <c r="N184" s="1004" t="s">
        <v>1216</v>
      </c>
      <c r="O184" s="1004" t="s">
        <v>1169</v>
      </c>
      <c r="P184" s="1004" t="s">
        <v>1105</v>
      </c>
      <c r="Q184" s="1004" t="s">
        <v>1122</v>
      </c>
      <c r="R184" s="1004" t="s">
        <v>1148</v>
      </c>
      <c r="S184" s="1004" t="s">
        <v>1217</v>
      </c>
      <c r="T184" s="1004" t="s">
        <v>1135</v>
      </c>
      <c r="U184" s="1003"/>
      <c r="AB184" s="1010"/>
      <c r="AC184" s="1011"/>
      <c r="AD184" s="919"/>
      <c r="AF184" s="937">
        <v>42913</v>
      </c>
      <c r="AG184" s="939"/>
      <c r="AH184" s="939"/>
      <c r="AI184" s="1012"/>
      <c r="AJ184" s="1012"/>
      <c r="AK184" s="1012"/>
      <c r="AL184" s="1012"/>
      <c r="AM184" s="1012"/>
      <c r="AN184" s="1010"/>
      <c r="AO184" s="1011"/>
      <c r="AP184" s="1011"/>
      <c r="AQ184" s="919"/>
      <c r="AR184" s="919"/>
      <c r="AS184" s="971"/>
      <c r="AT184" s="971"/>
      <c r="AU184" s="971"/>
      <c r="AV184" s="945"/>
      <c r="AW184" s="2755">
        <v>43282</v>
      </c>
      <c r="AX184" s="1011">
        <v>1839</v>
      </c>
      <c r="AY184" s="919">
        <v>106</v>
      </c>
      <c r="AZ184" s="1010">
        <v>42549</v>
      </c>
      <c r="BA184" s="1011">
        <v>5558.69</v>
      </c>
      <c r="BB184" s="1011">
        <v>6.67</v>
      </c>
      <c r="BC184" s="1011">
        <v>1957</v>
      </c>
      <c r="BD184" s="919">
        <v>108</v>
      </c>
      <c r="BI184" s="1010">
        <v>43281</v>
      </c>
      <c r="BJ184" s="919">
        <v>2.2599999999999998</v>
      </c>
    </row>
    <row r="185" spans="1:62" ht="16">
      <c r="A185" s="1002">
        <v>29</v>
      </c>
      <c r="B185" s="1004">
        <v>40</v>
      </c>
      <c r="C185" s="1004">
        <v>169</v>
      </c>
      <c r="D185" s="1003"/>
      <c r="H185" s="1005">
        <v>27</v>
      </c>
      <c r="I185" s="1004" t="s">
        <v>1218</v>
      </c>
      <c r="J185" s="1004" t="s">
        <v>1214</v>
      </c>
      <c r="K185" s="1004" t="s">
        <v>1121</v>
      </c>
      <c r="L185" s="1004" t="s">
        <v>1088</v>
      </c>
      <c r="M185" s="1004" t="s">
        <v>1088</v>
      </c>
      <c r="N185" s="1004" t="s">
        <v>1211</v>
      </c>
      <c r="O185" s="1004" t="s">
        <v>1219</v>
      </c>
      <c r="P185" s="1004" t="s">
        <v>1105</v>
      </c>
      <c r="Q185" s="1004" t="s">
        <v>1092</v>
      </c>
      <c r="R185" s="1004" t="s">
        <v>1220</v>
      </c>
      <c r="S185" s="1004" t="s">
        <v>1221</v>
      </c>
      <c r="T185" s="1004" t="s">
        <v>1220</v>
      </c>
      <c r="U185" s="1003"/>
      <c r="AB185" s="1010"/>
      <c r="AC185" s="1011"/>
      <c r="AD185" s="919"/>
      <c r="AF185" s="937">
        <v>42914</v>
      </c>
      <c r="AG185" s="939"/>
      <c r="AH185" s="939"/>
      <c r="AI185" s="1012"/>
      <c r="AJ185" s="1012"/>
      <c r="AK185" s="1012"/>
      <c r="AL185" s="1012"/>
      <c r="AM185" s="1012"/>
      <c r="AN185" s="1010"/>
      <c r="AO185" s="1011"/>
      <c r="AP185" s="1011"/>
      <c r="AQ185" s="919"/>
      <c r="AR185" s="919"/>
      <c r="AS185" s="971"/>
      <c r="AT185" s="971"/>
      <c r="AU185" s="971"/>
      <c r="AV185" s="945"/>
      <c r="AW185" s="2755">
        <v>43283</v>
      </c>
      <c r="AX185" s="1011">
        <v>1839</v>
      </c>
      <c r="AY185" s="919">
        <v>106</v>
      </c>
      <c r="AZ185" s="1010">
        <v>42550</v>
      </c>
      <c r="BA185" s="1011">
        <v>5558.64</v>
      </c>
      <c r="BB185" s="1011">
        <v>6.67</v>
      </c>
      <c r="BC185" s="1011">
        <v>1952</v>
      </c>
      <c r="BD185" s="919">
        <v>108</v>
      </c>
      <c r="BI185" s="1010">
        <v>43282</v>
      </c>
      <c r="BJ185" s="919">
        <v>1.96</v>
      </c>
    </row>
    <row r="186" spans="1:62" ht="16">
      <c r="A186" s="1002">
        <v>30</v>
      </c>
      <c r="B186" s="1004">
        <v>48</v>
      </c>
      <c r="C186" s="1004">
        <v>155</v>
      </c>
      <c r="D186" s="1003"/>
      <c r="H186" s="1005">
        <v>28</v>
      </c>
      <c r="I186" s="1004" t="s">
        <v>1085</v>
      </c>
      <c r="J186" s="1004" t="s">
        <v>1222</v>
      </c>
      <c r="K186" s="1004" t="s">
        <v>1121</v>
      </c>
      <c r="L186" s="1004" t="s">
        <v>1088</v>
      </c>
      <c r="M186" s="1004" t="s">
        <v>1088</v>
      </c>
      <c r="N186" s="1004" t="s">
        <v>1105</v>
      </c>
      <c r="O186" s="1004" t="s">
        <v>1152</v>
      </c>
      <c r="P186" s="1004" t="s">
        <v>1209</v>
      </c>
      <c r="Q186" s="1004" t="s">
        <v>1111</v>
      </c>
      <c r="R186" s="1004" t="s">
        <v>1137</v>
      </c>
      <c r="S186" s="1004" t="s">
        <v>1223</v>
      </c>
      <c r="T186" s="1004" t="s">
        <v>1224</v>
      </c>
      <c r="U186" s="1003"/>
      <c r="AB186" s="1010"/>
      <c r="AC186" s="1011"/>
      <c r="AD186" s="919"/>
      <c r="AF186" s="937">
        <v>42915</v>
      </c>
      <c r="AG186" s="939"/>
      <c r="AH186" s="939"/>
      <c r="AI186" s="1012"/>
      <c r="AJ186" s="1012"/>
      <c r="AK186" s="1012"/>
      <c r="AL186" s="1012"/>
      <c r="AM186" s="1012"/>
      <c r="AN186" s="1010"/>
      <c r="AO186" s="1011"/>
      <c r="AP186" s="1011"/>
      <c r="AQ186" s="919"/>
      <c r="AR186" s="919"/>
      <c r="AS186" s="971"/>
      <c r="AT186" s="971"/>
      <c r="AU186" s="971"/>
      <c r="AV186" s="945"/>
      <c r="AW186" s="2755">
        <v>43284</v>
      </c>
      <c r="AX186" s="1011">
        <v>1837</v>
      </c>
      <c r="AY186" s="919">
        <v>106</v>
      </c>
      <c r="AZ186" s="1010">
        <v>42551</v>
      </c>
      <c r="BA186" s="1011">
        <v>5558.63</v>
      </c>
      <c r="BB186" s="1011">
        <v>6.67</v>
      </c>
      <c r="BC186" s="1011">
        <v>1951</v>
      </c>
      <c r="BD186" s="919">
        <v>108</v>
      </c>
      <c r="BI186" s="1010">
        <v>43283</v>
      </c>
      <c r="BJ186" s="919">
        <v>2.11</v>
      </c>
    </row>
    <row r="187" spans="1:62" ht="16">
      <c r="A187" s="1002">
        <v>31</v>
      </c>
      <c r="B187" s="1004">
        <v>51</v>
      </c>
      <c r="C187" s="1003"/>
      <c r="D187" s="1003"/>
      <c r="H187" s="1005">
        <v>29</v>
      </c>
      <c r="I187" s="1004" t="s">
        <v>1085</v>
      </c>
      <c r="J187" s="1004" t="s">
        <v>1109</v>
      </c>
      <c r="K187" s="1004" t="s">
        <v>1098</v>
      </c>
      <c r="L187" s="1003"/>
      <c r="M187" s="1004" t="s">
        <v>1088</v>
      </c>
      <c r="N187" s="1004" t="s">
        <v>1122</v>
      </c>
      <c r="O187" s="1004" t="s">
        <v>1145</v>
      </c>
      <c r="P187" s="1004" t="s">
        <v>1105</v>
      </c>
      <c r="Q187" s="1004" t="s">
        <v>1129</v>
      </c>
      <c r="R187" s="1004" t="s">
        <v>1090</v>
      </c>
      <c r="S187" s="1004" t="s">
        <v>1225</v>
      </c>
      <c r="T187" s="1004" t="s">
        <v>1167</v>
      </c>
      <c r="U187" s="1003"/>
      <c r="AB187" s="1010"/>
      <c r="AC187" s="1011"/>
      <c r="AD187" s="919"/>
      <c r="AF187" s="937">
        <v>42916</v>
      </c>
      <c r="AG187" s="939"/>
      <c r="AH187" s="939"/>
      <c r="AI187" s="1012"/>
      <c r="AJ187" s="1012"/>
      <c r="AK187" s="1012"/>
      <c r="AL187" s="1012"/>
      <c r="AM187" s="1012"/>
      <c r="AN187" s="1010"/>
      <c r="AO187" s="1011"/>
      <c r="AP187" s="1011"/>
      <c r="AQ187" s="919"/>
      <c r="AR187" s="919"/>
      <c r="AS187" s="971"/>
      <c r="AT187" s="971"/>
      <c r="AU187" s="971"/>
      <c r="AV187" s="945"/>
      <c r="AW187" s="2755">
        <v>43285</v>
      </c>
      <c r="AX187" s="1011">
        <v>1830</v>
      </c>
      <c r="AY187" s="919">
        <v>106</v>
      </c>
      <c r="AZ187" s="1010">
        <v>42552</v>
      </c>
      <c r="BA187" s="1011">
        <v>5558.86</v>
      </c>
      <c r="BB187" s="1011">
        <v>6.82</v>
      </c>
      <c r="BC187" s="1011">
        <v>1977</v>
      </c>
      <c r="BD187" s="919">
        <v>109</v>
      </c>
      <c r="BI187" s="1010">
        <v>43284</v>
      </c>
      <c r="BJ187" s="919">
        <v>2.52</v>
      </c>
    </row>
    <row r="188" spans="1:62" ht="16.5" thickBot="1">
      <c r="A188" s="1005"/>
      <c r="B188" s="1003"/>
      <c r="D188" s="1016"/>
      <c r="H188" s="1005">
        <v>30</v>
      </c>
      <c r="I188" s="1004" t="s">
        <v>1085</v>
      </c>
      <c r="J188" s="1004" t="s">
        <v>1109</v>
      </c>
      <c r="K188" s="1004" t="s">
        <v>1109</v>
      </c>
      <c r="L188" s="1003"/>
      <c r="M188" s="1004" t="s">
        <v>1088</v>
      </c>
      <c r="N188" s="1004" t="s">
        <v>1089</v>
      </c>
      <c r="O188" s="1004" t="s">
        <v>1220</v>
      </c>
      <c r="P188" s="1004" t="s">
        <v>1105</v>
      </c>
      <c r="Q188" s="1004" t="s">
        <v>1153</v>
      </c>
      <c r="R188" s="1004" t="s">
        <v>1093</v>
      </c>
      <c r="S188" s="1004" t="s">
        <v>1140</v>
      </c>
      <c r="T188" s="1004" t="s">
        <v>1224</v>
      </c>
      <c r="U188" s="1003"/>
      <c r="AB188" s="1010"/>
      <c r="AC188" s="1011"/>
      <c r="AD188" s="919"/>
      <c r="AF188" s="937">
        <v>42917</v>
      </c>
      <c r="AG188" s="939"/>
      <c r="AH188" s="939"/>
      <c r="AI188" s="1017"/>
      <c r="AJ188" s="1012"/>
      <c r="AK188" s="1017"/>
      <c r="AL188" s="1017"/>
      <c r="AM188" s="1017"/>
      <c r="AN188" s="1018"/>
      <c r="AO188" s="1019"/>
      <c r="AP188" s="1020"/>
      <c r="AQ188" s="1021"/>
      <c r="AR188" s="951"/>
      <c r="AS188" s="971"/>
      <c r="AT188" s="971"/>
      <c r="AU188" s="971"/>
      <c r="AV188" s="945"/>
      <c r="AW188" s="2755">
        <v>43286</v>
      </c>
      <c r="AX188" s="1011">
        <v>1821</v>
      </c>
      <c r="AY188" s="919">
        <v>106</v>
      </c>
      <c r="AZ188" s="1010">
        <v>42553</v>
      </c>
      <c r="BA188" s="1011">
        <v>5559.06</v>
      </c>
      <c r="BB188" s="1011">
        <v>6.9</v>
      </c>
      <c r="BC188" s="1011">
        <v>1998</v>
      </c>
      <c r="BD188" s="919">
        <v>110</v>
      </c>
      <c r="BI188" s="1010">
        <v>43285</v>
      </c>
      <c r="BJ188" s="919">
        <v>3.58</v>
      </c>
    </row>
    <row r="189" spans="1:62" ht="16">
      <c r="A189" s="1005" t="s">
        <v>486</v>
      </c>
      <c r="B189" s="1005">
        <v>3</v>
      </c>
      <c r="C189" s="1005">
        <v>30</v>
      </c>
      <c r="D189" s="1005">
        <v>7</v>
      </c>
      <c r="H189" s="1005">
        <v>31</v>
      </c>
      <c r="I189" s="1003"/>
      <c r="J189" s="1004" t="s">
        <v>1201</v>
      </c>
      <c r="K189" s="1004" t="s">
        <v>1098</v>
      </c>
      <c r="L189" s="1003"/>
      <c r="M189" s="1004" t="s">
        <v>1088</v>
      </c>
      <c r="N189" s="1003"/>
      <c r="O189" s="1004" t="s">
        <v>1130</v>
      </c>
      <c r="P189" s="1003"/>
      <c r="Q189" s="1004" t="s">
        <v>1111</v>
      </c>
      <c r="R189" s="1004" t="s">
        <v>1220</v>
      </c>
      <c r="S189" s="1003"/>
      <c r="T189" s="1004" t="s">
        <v>1226</v>
      </c>
      <c r="U189" s="1003"/>
      <c r="AB189" s="1010"/>
      <c r="AC189" s="1011"/>
      <c r="AD189" s="919"/>
      <c r="AF189" s="937">
        <v>42918</v>
      </c>
      <c r="AG189" s="1022"/>
      <c r="AH189" s="1022"/>
      <c r="AI189" s="1022"/>
      <c r="AJ189" s="1012"/>
      <c r="AK189" s="1022"/>
      <c r="AL189" s="1022"/>
      <c r="AM189" s="999"/>
      <c r="AN189" s="1023"/>
      <c r="AO189" s="999"/>
      <c r="AQ189" s="999"/>
      <c r="AR189" s="999"/>
      <c r="AS189" s="999"/>
      <c r="AT189" s="999"/>
      <c r="AU189" s="1024"/>
      <c r="AV189" s="945"/>
      <c r="AW189" s="2755">
        <v>43287</v>
      </c>
      <c r="AX189" s="1011">
        <v>1819</v>
      </c>
      <c r="AY189" s="919">
        <v>106</v>
      </c>
      <c r="AZ189" s="1010">
        <v>42554</v>
      </c>
      <c r="BA189" s="1011">
        <v>5558.99</v>
      </c>
      <c r="BB189" s="1011">
        <v>6.91</v>
      </c>
      <c r="BC189" s="1011">
        <v>1991</v>
      </c>
      <c r="BD189" s="919">
        <v>110</v>
      </c>
      <c r="BI189" s="1010">
        <v>43286</v>
      </c>
      <c r="BJ189" s="919">
        <v>3.52</v>
      </c>
    </row>
    <row r="190" spans="1:62" ht="14.5">
      <c r="A190" s="1005" t="s">
        <v>263</v>
      </c>
      <c r="B190" s="1005">
        <v>51</v>
      </c>
      <c r="C190" s="1005">
        <v>1140</v>
      </c>
      <c r="D190" s="1005">
        <v>142</v>
      </c>
      <c r="H190" s="1005"/>
      <c r="I190" s="1003"/>
      <c r="U190" s="1016"/>
      <c r="AB190" s="1010"/>
      <c r="AC190" s="1011"/>
      <c r="AD190" s="919"/>
      <c r="AF190" s="937">
        <v>42919</v>
      </c>
      <c r="AG190" s="1022"/>
      <c r="AH190" s="1022"/>
      <c r="AI190" s="1022"/>
      <c r="AJ190" s="1012"/>
      <c r="AK190" s="1022"/>
      <c r="AL190" s="1022"/>
      <c r="AM190" s="981"/>
      <c r="AN190" s="1025"/>
      <c r="AO190" s="981"/>
      <c r="AQ190" s="981"/>
      <c r="AR190" s="981"/>
      <c r="AS190" s="981"/>
      <c r="AT190" s="981"/>
      <c r="AU190" s="1026"/>
      <c r="AV190" s="945"/>
      <c r="AW190" s="2755">
        <v>43288</v>
      </c>
      <c r="AX190" s="1011">
        <v>1816</v>
      </c>
      <c r="AY190" s="919">
        <v>106</v>
      </c>
      <c r="AZ190" s="1010">
        <v>42555</v>
      </c>
      <c r="BA190" s="1011">
        <v>5558.84</v>
      </c>
      <c r="BB190" s="1011">
        <v>6.91</v>
      </c>
      <c r="BC190" s="1011">
        <v>1974</v>
      </c>
      <c r="BD190" s="919">
        <v>109</v>
      </c>
      <c r="BI190" s="1010">
        <v>43287</v>
      </c>
      <c r="BJ190" s="919">
        <v>2.97</v>
      </c>
    </row>
    <row r="191" spans="1:62" ht="14.5">
      <c r="A191" s="1005" t="s">
        <v>264</v>
      </c>
      <c r="B191" s="1005">
        <v>40</v>
      </c>
      <c r="C191" s="1005">
        <v>39</v>
      </c>
      <c r="D191" s="1005">
        <v>106</v>
      </c>
      <c r="H191" s="1005" t="s">
        <v>486</v>
      </c>
      <c r="I191" s="1005">
        <v>17</v>
      </c>
      <c r="J191" s="1005">
        <v>31</v>
      </c>
      <c r="K191" s="1005">
        <v>31</v>
      </c>
      <c r="L191" s="1005">
        <v>28</v>
      </c>
      <c r="M191" s="1005"/>
      <c r="N191" s="1005">
        <v>30</v>
      </c>
      <c r="O191" s="1005">
        <v>31</v>
      </c>
      <c r="P191" s="1005">
        <v>30</v>
      </c>
      <c r="Q191" s="1005">
        <v>31</v>
      </c>
      <c r="R191" s="1005">
        <v>31</v>
      </c>
      <c r="S191" s="1005">
        <v>30</v>
      </c>
      <c r="T191" s="1005">
        <v>31</v>
      </c>
      <c r="U191" s="1005">
        <v>14</v>
      </c>
      <c r="AB191" s="1010"/>
      <c r="AC191" s="1011"/>
      <c r="AD191" s="919"/>
      <c r="AF191" s="937">
        <v>42920</v>
      </c>
      <c r="AG191" s="1022"/>
      <c r="AH191" s="1022"/>
      <c r="AI191" s="1022"/>
      <c r="AJ191" s="1012"/>
      <c r="AK191" s="1022"/>
      <c r="AL191" s="1022"/>
      <c r="AM191" s="981"/>
      <c r="AN191" s="1025"/>
      <c r="AO191" s="981"/>
      <c r="AQ191" s="981"/>
      <c r="AR191" s="981"/>
      <c r="AS191" s="981"/>
      <c r="AT191" s="981"/>
      <c r="AU191" s="1026"/>
      <c r="AV191" s="945"/>
      <c r="AW191" s="2755">
        <v>43289</v>
      </c>
      <c r="AX191" s="1011">
        <v>1813</v>
      </c>
      <c r="AY191" s="919">
        <v>106</v>
      </c>
      <c r="AZ191" s="1010">
        <v>42556</v>
      </c>
      <c r="BA191" s="1011">
        <v>5558.82</v>
      </c>
      <c r="BB191" s="1011">
        <v>6.91</v>
      </c>
      <c r="BC191" s="1011">
        <v>1971</v>
      </c>
      <c r="BD191" s="919">
        <v>109</v>
      </c>
      <c r="BI191" s="1010">
        <v>43288</v>
      </c>
      <c r="BJ191" s="919">
        <v>2.99</v>
      </c>
    </row>
    <row r="192" spans="1:62" ht="15.5">
      <c r="A192" s="913" t="s">
        <v>265</v>
      </c>
      <c r="C192" s="1027">
        <f>AVERAGE(C157:C186)</f>
        <v>335.5</v>
      </c>
      <c r="H192" s="1005" t="s">
        <v>263</v>
      </c>
      <c r="I192" s="1005">
        <v>23</v>
      </c>
      <c r="J192" s="1005">
        <v>20</v>
      </c>
      <c r="K192" s="1005">
        <v>6.7</v>
      </c>
      <c r="L192" s="1005">
        <v>6</v>
      </c>
      <c r="M192" s="1005"/>
      <c r="N192" s="1005">
        <v>30</v>
      </c>
      <c r="O192" s="1005">
        <v>108</v>
      </c>
      <c r="P192" s="1005">
        <v>56</v>
      </c>
      <c r="Q192" s="1005">
        <v>66</v>
      </c>
      <c r="R192" s="1005">
        <v>51</v>
      </c>
      <c r="S192" s="1005">
        <v>1140</v>
      </c>
      <c r="T192" s="1005">
        <v>142</v>
      </c>
      <c r="U192" s="1005">
        <v>46</v>
      </c>
      <c r="AB192" s="1010"/>
      <c r="AC192" s="1011"/>
      <c r="AD192" s="919"/>
      <c r="AF192" s="937">
        <v>42921</v>
      </c>
      <c r="AG192" s="1022"/>
      <c r="AH192" s="1022"/>
      <c r="AI192" s="1022"/>
      <c r="AJ192" s="1012"/>
      <c r="AK192" s="1022"/>
      <c r="AL192" s="1022"/>
      <c r="AM192" s="981"/>
      <c r="AN192" s="1025"/>
      <c r="AO192" s="981"/>
      <c r="AQ192" s="981"/>
      <c r="AR192" s="981"/>
      <c r="AS192" s="981"/>
      <c r="AT192" s="981"/>
      <c r="AU192" s="1026"/>
      <c r="AV192" s="945"/>
      <c r="AW192" s="2755">
        <v>43290</v>
      </c>
      <c r="AX192" s="1011">
        <v>1806</v>
      </c>
      <c r="AY192" s="919">
        <v>106</v>
      </c>
      <c r="AZ192" s="1010">
        <v>42557</v>
      </c>
      <c r="BA192" s="1011">
        <v>5558.8</v>
      </c>
      <c r="BB192" s="1011">
        <v>6.91</v>
      </c>
      <c r="BC192" s="1011">
        <v>1969</v>
      </c>
      <c r="BD192" s="919">
        <v>109</v>
      </c>
      <c r="BI192" s="1010">
        <v>43289</v>
      </c>
      <c r="BJ192" s="919">
        <v>3.04</v>
      </c>
    </row>
    <row r="193" spans="1:62" ht="14.5">
      <c r="H193" s="1005" t="s">
        <v>264</v>
      </c>
      <c r="I193" s="1005">
        <v>13</v>
      </c>
      <c r="J193" s="1005">
        <v>5</v>
      </c>
      <c r="K193" s="1005">
        <v>4.9000000000000004</v>
      </c>
      <c r="L193" s="1005" t="s">
        <v>500</v>
      </c>
      <c r="M193" s="1005"/>
      <c r="N193" s="1005" t="s">
        <v>500</v>
      </c>
      <c r="O193" s="1005">
        <v>22</v>
      </c>
      <c r="P193" s="1005">
        <v>21</v>
      </c>
      <c r="Q193" s="1005">
        <v>21</v>
      </c>
      <c r="R193" s="1005">
        <v>22</v>
      </c>
      <c r="S193" s="1005">
        <v>39</v>
      </c>
      <c r="T193" s="1005">
        <v>47</v>
      </c>
      <c r="U193" s="1005">
        <v>36</v>
      </c>
      <c r="AB193" s="1010"/>
      <c r="AC193" s="1011"/>
      <c r="AD193" s="919"/>
      <c r="AF193" s="937">
        <v>42922</v>
      </c>
      <c r="AG193" s="1022"/>
      <c r="AH193" s="1022"/>
      <c r="AI193" s="1022"/>
      <c r="AJ193" s="1012"/>
      <c r="AK193" s="1022"/>
      <c r="AL193" s="1022"/>
      <c r="AM193" s="981"/>
      <c r="AN193" s="1025"/>
      <c r="AO193" s="981"/>
      <c r="AQ193" s="981"/>
      <c r="AR193" s="981"/>
      <c r="AS193" s="981"/>
      <c r="AT193" s="981"/>
      <c r="AU193" s="1026"/>
      <c r="AV193" s="945"/>
      <c r="AW193" s="2755">
        <v>43291</v>
      </c>
      <c r="AX193" s="1011">
        <v>1800</v>
      </c>
      <c r="AY193" s="919">
        <v>105</v>
      </c>
      <c r="AZ193" s="1010">
        <v>42558</v>
      </c>
      <c r="BA193" s="1011">
        <v>5558.71</v>
      </c>
      <c r="BB193" s="1011">
        <v>6.91</v>
      </c>
      <c r="BC193" s="1011">
        <v>1960</v>
      </c>
      <c r="BD193" s="919">
        <v>108</v>
      </c>
      <c r="BI193" s="1010">
        <v>43290</v>
      </c>
      <c r="BJ193" s="919">
        <v>3.34</v>
      </c>
    </row>
    <row r="194" spans="1:62" ht="14.5">
      <c r="AB194" s="1010"/>
      <c r="AC194" s="1011"/>
      <c r="AD194" s="919"/>
      <c r="AF194" s="937">
        <v>42923</v>
      </c>
      <c r="AG194" s="1022"/>
      <c r="AH194" s="1022"/>
      <c r="AI194" s="1022"/>
      <c r="AJ194" s="1012"/>
      <c r="AK194" s="1022"/>
      <c r="AL194" s="1022"/>
      <c r="AM194" s="981"/>
      <c r="AN194" s="1025"/>
      <c r="AO194" s="981"/>
      <c r="AQ194" s="981"/>
      <c r="AR194" s="981"/>
      <c r="AS194" s="981"/>
      <c r="AT194" s="981"/>
      <c r="AU194" s="1026"/>
      <c r="AV194" s="945"/>
      <c r="AW194" s="2755">
        <v>43292</v>
      </c>
      <c r="AX194" s="1011">
        <v>1792</v>
      </c>
      <c r="AY194" s="919">
        <v>105</v>
      </c>
      <c r="AZ194" s="1010">
        <v>42559</v>
      </c>
      <c r="BA194" s="1011">
        <v>5558.67</v>
      </c>
      <c r="BB194" s="1011">
        <v>6.91</v>
      </c>
      <c r="BC194" s="1011">
        <v>1955</v>
      </c>
      <c r="BD194" s="919">
        <v>108</v>
      </c>
      <c r="BI194" s="1010">
        <v>43291</v>
      </c>
      <c r="BJ194" s="919">
        <v>3.64</v>
      </c>
    </row>
    <row r="195" spans="1:62" ht="14.5">
      <c r="AB195" s="1010"/>
      <c r="AC195" s="1011"/>
      <c r="AD195" s="919"/>
      <c r="AF195" s="937">
        <v>42924</v>
      </c>
      <c r="AG195" s="1022"/>
      <c r="AH195" s="1022"/>
      <c r="AI195" s="1022"/>
      <c r="AJ195" s="1012"/>
      <c r="AK195" s="1022"/>
      <c r="AL195" s="1022"/>
      <c r="AM195" s="981"/>
      <c r="AN195" s="1025"/>
      <c r="AO195" s="981"/>
      <c r="AQ195" s="981"/>
      <c r="AR195" s="981"/>
      <c r="AS195" s="981"/>
      <c r="AT195" s="981"/>
      <c r="AU195" s="1026"/>
      <c r="AV195" s="945"/>
      <c r="AW195" s="2755">
        <v>43293</v>
      </c>
      <c r="AX195" s="1011">
        <v>1786</v>
      </c>
      <c r="AY195" s="919">
        <v>105</v>
      </c>
      <c r="AZ195" s="1010">
        <v>42560</v>
      </c>
      <c r="BA195" s="1011">
        <v>5558.64</v>
      </c>
      <c r="BB195" s="1011">
        <v>6.91</v>
      </c>
      <c r="BC195" s="1011">
        <v>1952</v>
      </c>
      <c r="BD195" s="919">
        <v>108</v>
      </c>
      <c r="BI195" s="1010">
        <v>43292</v>
      </c>
      <c r="BJ195" s="919">
        <v>4.0199999999999996</v>
      </c>
    </row>
    <row r="196" spans="1:62" ht="14.5">
      <c r="A196" s="913">
        <v>41275</v>
      </c>
      <c r="B196" s="910">
        <v>2.4700000000000002</v>
      </c>
      <c r="AB196" s="1010"/>
      <c r="AC196" s="1011"/>
      <c r="AD196" s="919"/>
      <c r="AF196" s="937">
        <v>42925</v>
      </c>
      <c r="AG196" s="1022"/>
      <c r="AH196" s="1022"/>
      <c r="AI196" s="1022"/>
      <c r="AJ196" s="1012"/>
      <c r="AK196" s="1022"/>
      <c r="AL196" s="1022"/>
      <c r="AM196" s="981"/>
      <c r="AN196" s="1025"/>
      <c r="AO196" s="981"/>
      <c r="AQ196" s="981"/>
      <c r="AR196" s="981"/>
      <c r="AS196" s="981"/>
      <c r="AT196" s="981"/>
      <c r="AU196" s="1026"/>
      <c r="AW196" s="2755">
        <v>43294</v>
      </c>
      <c r="AX196" s="1011">
        <v>1779</v>
      </c>
      <c r="AY196" s="919">
        <v>105</v>
      </c>
      <c r="AZ196" s="1010">
        <v>42561</v>
      </c>
      <c r="BA196" s="1011">
        <v>5558.6</v>
      </c>
      <c r="BB196" s="1011">
        <v>6.91</v>
      </c>
      <c r="BC196" s="1011">
        <v>1948</v>
      </c>
      <c r="BD196" s="919">
        <v>108</v>
      </c>
      <c r="BI196" s="1010">
        <v>43293</v>
      </c>
      <c r="BJ196" s="919">
        <v>3.99</v>
      </c>
    </row>
    <row r="197" spans="1:62" ht="14.5">
      <c r="A197" s="913" t="s">
        <v>496</v>
      </c>
      <c r="B197" s="912">
        <v>41276</v>
      </c>
      <c r="C197" s="910">
        <v>2.7</v>
      </c>
      <c r="F197" s="1028"/>
      <c r="AB197" s="1010"/>
      <c r="AC197" s="1011"/>
      <c r="AD197" s="919"/>
      <c r="AF197" s="937">
        <v>42926</v>
      </c>
      <c r="AG197" s="1022"/>
      <c r="AH197" s="1022"/>
      <c r="AI197" s="1022"/>
      <c r="AJ197" s="1012"/>
      <c r="AK197" s="1022"/>
      <c r="AL197" s="1022"/>
      <c r="AM197" s="981"/>
      <c r="AN197" s="1025"/>
      <c r="AO197" s="981"/>
      <c r="AQ197" s="981"/>
      <c r="AR197" s="981"/>
      <c r="AS197" s="981"/>
      <c r="AT197" s="981"/>
      <c r="AU197" s="1026"/>
      <c r="AW197" s="2755">
        <v>43295</v>
      </c>
      <c r="AX197" s="1011">
        <v>1777</v>
      </c>
      <c r="AY197" s="919">
        <v>105</v>
      </c>
      <c r="AZ197" s="1010">
        <v>42562</v>
      </c>
      <c r="BA197" s="1011">
        <v>5558.56</v>
      </c>
      <c r="BB197" s="1011">
        <v>6.91</v>
      </c>
      <c r="BC197" s="1011">
        <v>1943</v>
      </c>
      <c r="BD197" s="919">
        <v>108</v>
      </c>
      <c r="BI197" s="1010">
        <v>43294</v>
      </c>
      <c r="BJ197" s="919">
        <v>3.38</v>
      </c>
    </row>
    <row r="198" spans="1:62" ht="14.5">
      <c r="A198" s="913" t="s">
        <v>496</v>
      </c>
      <c r="B198" s="912">
        <v>41277</v>
      </c>
      <c r="C198" s="910">
        <v>2.97</v>
      </c>
      <c r="F198" s="1028"/>
      <c r="AB198" s="1010"/>
      <c r="AC198" s="1011"/>
      <c r="AD198" s="919"/>
      <c r="AF198" s="937">
        <v>42927</v>
      </c>
      <c r="AG198" s="1022"/>
      <c r="AH198" s="1022"/>
      <c r="AI198" s="1022"/>
      <c r="AJ198" s="1012"/>
      <c r="AK198" s="1022"/>
      <c r="AL198" s="1022"/>
      <c r="AM198" s="981"/>
      <c r="AN198" s="1025"/>
      <c r="AO198" s="981"/>
      <c r="AQ198" s="981"/>
      <c r="AR198" s="981"/>
      <c r="AS198" s="981"/>
      <c r="AT198" s="981"/>
      <c r="AU198" s="1026"/>
      <c r="AW198" s="2755">
        <v>43296</v>
      </c>
      <c r="AX198" s="1011">
        <v>1777</v>
      </c>
      <c r="AY198" s="919">
        <v>105</v>
      </c>
      <c r="AZ198" s="1010">
        <v>42563</v>
      </c>
      <c r="BA198" s="1011">
        <v>5558.53</v>
      </c>
      <c r="BB198" s="1011">
        <v>6.91</v>
      </c>
      <c r="BC198" s="1011">
        <v>1940</v>
      </c>
      <c r="BD198" s="919">
        <v>108</v>
      </c>
      <c r="BI198" s="1010">
        <v>43295</v>
      </c>
      <c r="BJ198" s="919">
        <v>3.6</v>
      </c>
    </row>
    <row r="199" spans="1:62" ht="14.5">
      <c r="A199" s="913" t="s">
        <v>496</v>
      </c>
      <c r="B199" s="912">
        <v>41278</v>
      </c>
      <c r="C199" s="910">
        <v>3</v>
      </c>
      <c r="F199" s="1028"/>
      <c r="AB199" s="1010"/>
      <c r="AC199" s="1011"/>
      <c r="AD199" s="919"/>
      <c r="AF199" s="937">
        <v>42928</v>
      </c>
      <c r="AG199" s="1022"/>
      <c r="AH199" s="1022"/>
      <c r="AI199" s="1022"/>
      <c r="AJ199" s="1012"/>
      <c r="AK199" s="1022"/>
      <c r="AL199" s="1022"/>
      <c r="AM199" s="981"/>
      <c r="AN199" s="1025"/>
      <c r="AO199" s="981"/>
      <c r="AQ199" s="981"/>
      <c r="AR199" s="981"/>
      <c r="AS199" s="981"/>
      <c r="AT199" s="981"/>
      <c r="AU199" s="1026"/>
      <c r="AW199" s="2755">
        <v>43297</v>
      </c>
      <c r="AX199" s="1011">
        <v>1793</v>
      </c>
      <c r="AY199" s="919">
        <v>105</v>
      </c>
      <c r="AZ199" s="1010">
        <v>42564</v>
      </c>
      <c r="BA199" s="1011">
        <v>5558.51</v>
      </c>
      <c r="BB199" s="1011">
        <v>6.91</v>
      </c>
      <c r="BC199" s="1011">
        <v>1938</v>
      </c>
      <c r="BD199" s="919">
        <v>108</v>
      </c>
      <c r="BI199" s="1010">
        <v>43296</v>
      </c>
      <c r="BJ199" s="919">
        <v>3.6</v>
      </c>
    </row>
    <row r="200" spans="1:62" ht="14.5">
      <c r="A200" s="913" t="s">
        <v>496</v>
      </c>
      <c r="B200" s="912">
        <v>41279</v>
      </c>
      <c r="C200" s="910">
        <v>3</v>
      </c>
      <c r="AB200" s="1010"/>
      <c r="AC200" s="1011"/>
      <c r="AD200" s="919"/>
      <c r="AF200" s="937">
        <v>42929</v>
      </c>
      <c r="AG200" s="1022"/>
      <c r="AH200" s="1022"/>
      <c r="AI200" s="1022"/>
      <c r="AJ200" s="1012"/>
      <c r="AK200" s="1022"/>
      <c r="AL200" s="1022"/>
      <c r="AM200" s="981"/>
      <c r="AN200" s="1025"/>
      <c r="AO200" s="981"/>
      <c r="AQ200" s="981"/>
      <c r="AR200" s="981"/>
      <c r="AS200" s="981"/>
      <c r="AT200" s="981"/>
      <c r="AU200" s="1026"/>
      <c r="AW200" s="2755">
        <v>43298</v>
      </c>
      <c r="AX200" s="1011">
        <v>1807</v>
      </c>
      <c r="AY200" s="919">
        <v>106</v>
      </c>
      <c r="AZ200" s="1010">
        <v>42565</v>
      </c>
      <c r="BA200" s="1011">
        <v>5558.5</v>
      </c>
      <c r="BB200" s="1011">
        <v>6.91</v>
      </c>
      <c r="BC200" s="1011">
        <v>1937</v>
      </c>
      <c r="BD200" s="919">
        <v>108</v>
      </c>
      <c r="BI200" s="1010">
        <v>43297</v>
      </c>
      <c r="BJ200" s="919">
        <v>3.59</v>
      </c>
    </row>
    <row r="201" spans="1:62" ht="14.5">
      <c r="A201" s="913" t="s">
        <v>496</v>
      </c>
      <c r="B201" s="912">
        <v>41280</v>
      </c>
      <c r="C201" s="910">
        <v>3.21</v>
      </c>
      <c r="AB201" s="1010"/>
      <c r="AC201" s="1011"/>
      <c r="AD201" s="919"/>
      <c r="AF201" s="937">
        <v>42930</v>
      </c>
      <c r="AG201" s="1022"/>
      <c r="AH201" s="1022"/>
      <c r="AI201" s="1022"/>
      <c r="AJ201" s="1012"/>
      <c r="AK201" s="1022"/>
      <c r="AL201" s="1022"/>
      <c r="AM201" s="981"/>
      <c r="AN201" s="1025"/>
      <c r="AO201" s="981"/>
      <c r="AQ201" s="981"/>
      <c r="AR201" s="981"/>
      <c r="AS201" s="981"/>
      <c r="AT201" s="981"/>
      <c r="AU201" s="1026"/>
      <c r="AW201" s="2755">
        <v>43299</v>
      </c>
      <c r="AX201" s="1011">
        <v>1806</v>
      </c>
      <c r="AY201" s="919">
        <v>105</v>
      </c>
      <c r="AZ201" s="1010">
        <v>42566</v>
      </c>
      <c r="BA201" s="1011">
        <v>5558.5</v>
      </c>
      <c r="BB201" s="1011">
        <v>6.91</v>
      </c>
      <c r="BC201" s="1011">
        <v>1937</v>
      </c>
      <c r="BD201" s="919">
        <v>108</v>
      </c>
      <c r="BI201" s="1010">
        <v>43298</v>
      </c>
      <c r="BJ201" s="919">
        <v>3.99</v>
      </c>
    </row>
    <row r="202" spans="1:62" ht="14.5">
      <c r="A202" s="913" t="s">
        <v>496</v>
      </c>
      <c r="B202" s="912">
        <v>41281</v>
      </c>
      <c r="C202" s="910">
        <v>3.51</v>
      </c>
      <c r="AB202" s="1010"/>
      <c r="AC202" s="1011"/>
      <c r="AD202" s="919"/>
      <c r="AF202" s="937">
        <v>42931</v>
      </c>
      <c r="AG202" s="1022"/>
      <c r="AH202" s="1022"/>
      <c r="AI202" s="1022"/>
      <c r="AJ202" s="1012"/>
      <c r="AK202" s="1022"/>
      <c r="AL202" s="1022"/>
      <c r="AM202" s="981"/>
      <c r="AN202" s="1025"/>
      <c r="AO202" s="981"/>
      <c r="AQ202" s="981"/>
      <c r="AR202" s="981"/>
      <c r="AS202" s="981"/>
      <c r="AT202" s="981"/>
      <c r="AU202" s="1026"/>
      <c r="AW202" s="2755">
        <v>43300</v>
      </c>
      <c r="AX202" s="1011">
        <v>1800</v>
      </c>
      <c r="AY202" s="919">
        <v>105</v>
      </c>
      <c r="AZ202" s="1010">
        <v>42567</v>
      </c>
      <c r="BA202" s="1011">
        <v>5558.51</v>
      </c>
      <c r="BB202" s="1011">
        <v>6.92</v>
      </c>
      <c r="BC202" s="1011">
        <v>1938</v>
      </c>
      <c r="BD202" s="919">
        <v>108</v>
      </c>
      <c r="BI202" s="1010">
        <v>43299</v>
      </c>
      <c r="BJ202" s="919">
        <v>3.78</v>
      </c>
    </row>
    <row r="203" spans="1:62" ht="14.5">
      <c r="A203" s="913" t="s">
        <v>496</v>
      </c>
      <c r="B203" s="912">
        <v>41282</v>
      </c>
      <c r="C203" s="910">
        <v>3.59</v>
      </c>
      <c r="AB203" s="1010"/>
      <c r="AC203" s="1011"/>
      <c r="AD203" s="919"/>
      <c r="AF203" s="937">
        <v>42932</v>
      </c>
      <c r="AG203" s="1022"/>
      <c r="AH203" s="1022"/>
      <c r="AI203" s="1022"/>
      <c r="AJ203" s="1012"/>
      <c r="AK203" s="1022"/>
      <c r="AL203" s="1022"/>
      <c r="AM203" s="981"/>
      <c r="AN203" s="1025"/>
      <c r="AO203" s="981"/>
      <c r="AQ203" s="981"/>
      <c r="AR203" s="981"/>
      <c r="AS203" s="981"/>
      <c r="AT203" s="981"/>
      <c r="AU203" s="1026"/>
      <c r="AW203" s="2755">
        <v>43301</v>
      </c>
      <c r="AX203" s="1011">
        <v>1793</v>
      </c>
      <c r="AY203" s="919">
        <v>105</v>
      </c>
      <c r="AZ203" s="1010">
        <v>42568</v>
      </c>
      <c r="BA203" s="1011">
        <v>5558.48</v>
      </c>
      <c r="BB203" s="1011">
        <v>6.92</v>
      </c>
      <c r="BC203" s="1011">
        <v>1934</v>
      </c>
      <c r="BD203" s="919">
        <v>108</v>
      </c>
      <c r="BI203" s="1010">
        <v>43300</v>
      </c>
      <c r="BJ203" s="919">
        <v>3.49</v>
      </c>
    </row>
    <row r="204" spans="1:62" ht="14.5">
      <c r="A204" s="913" t="s">
        <v>496</v>
      </c>
      <c r="B204" s="912">
        <v>41283</v>
      </c>
      <c r="C204" s="910">
        <v>3.6</v>
      </c>
      <c r="AB204" s="1010"/>
      <c r="AC204" s="1011"/>
      <c r="AD204" s="919"/>
      <c r="AF204" s="937">
        <v>42933</v>
      </c>
      <c r="AG204" s="1022"/>
      <c r="AH204" s="1022"/>
      <c r="AI204" s="1022"/>
      <c r="AJ204" s="1012"/>
      <c r="AK204" s="1022"/>
      <c r="AL204" s="1022"/>
      <c r="AM204" s="981"/>
      <c r="AN204" s="1025"/>
      <c r="AO204" s="981"/>
      <c r="AQ204" s="981"/>
      <c r="AR204" s="981"/>
      <c r="AS204" s="981"/>
      <c r="AT204" s="981"/>
      <c r="AU204" s="1026"/>
      <c r="AW204" s="2755">
        <v>43302</v>
      </c>
      <c r="AX204" s="1011">
        <v>1787</v>
      </c>
      <c r="AY204" s="919">
        <v>105</v>
      </c>
      <c r="AZ204" s="1010">
        <v>42569</v>
      </c>
      <c r="BA204" s="1011">
        <v>5558.46</v>
      </c>
      <c r="BB204" s="1011">
        <v>6.94</v>
      </c>
      <c r="BC204" s="1011">
        <v>1932</v>
      </c>
      <c r="BD204" s="919">
        <v>108</v>
      </c>
      <c r="BI204" s="1010">
        <v>43301</v>
      </c>
      <c r="BJ204" s="919">
        <v>3.04</v>
      </c>
    </row>
    <row r="205" spans="1:62" ht="14.5">
      <c r="A205" s="913" t="s">
        <v>496</v>
      </c>
      <c r="B205" s="912">
        <v>41284</v>
      </c>
      <c r="C205" s="910">
        <v>3.6</v>
      </c>
      <c r="AB205" s="1010"/>
      <c r="AC205" s="1011"/>
      <c r="AD205" s="919"/>
      <c r="AF205" s="937">
        <v>42934</v>
      </c>
      <c r="AG205" s="1022"/>
      <c r="AH205" s="1022"/>
      <c r="AI205" s="1022"/>
      <c r="AJ205" s="1012"/>
      <c r="AK205" s="1022"/>
      <c r="AL205" s="1022"/>
      <c r="AM205" s="981"/>
      <c r="AN205" s="1025"/>
      <c r="AO205" s="981"/>
      <c r="AQ205" s="981"/>
      <c r="AR205" s="981"/>
      <c r="AS205" s="981"/>
      <c r="AT205" s="981"/>
      <c r="AU205" s="1026"/>
      <c r="AW205" s="2755">
        <v>43303</v>
      </c>
      <c r="AX205" s="1011">
        <v>1780</v>
      </c>
      <c r="AY205" s="919">
        <v>105</v>
      </c>
      <c r="AZ205" s="1010">
        <v>42570</v>
      </c>
      <c r="BA205" s="1011">
        <v>5558.47</v>
      </c>
      <c r="BB205" s="1011">
        <v>7.09</v>
      </c>
      <c r="BC205" s="1011">
        <v>1933</v>
      </c>
      <c r="BD205" s="919">
        <v>108</v>
      </c>
      <c r="BI205" s="1010">
        <v>43302</v>
      </c>
      <c r="BJ205" s="919">
        <v>2.99</v>
      </c>
    </row>
    <row r="206" spans="1:62" ht="14.5">
      <c r="A206" s="913" t="s">
        <v>496</v>
      </c>
      <c r="B206" s="912">
        <v>41285</v>
      </c>
      <c r="C206" s="910">
        <v>3.61</v>
      </c>
      <c r="AB206" s="1010"/>
      <c r="AC206" s="1011"/>
      <c r="AD206" s="919"/>
      <c r="AF206" s="937">
        <v>42935</v>
      </c>
      <c r="AG206" s="1022"/>
      <c r="AH206" s="1022"/>
      <c r="AI206" s="1022"/>
      <c r="AJ206" s="1012"/>
      <c r="AK206" s="1022"/>
      <c r="AL206" s="1022"/>
      <c r="AM206" s="981"/>
      <c r="AN206" s="1025"/>
      <c r="AO206" s="981"/>
      <c r="AQ206" s="981"/>
      <c r="AR206" s="981"/>
      <c r="AS206" s="981"/>
      <c r="AT206" s="981"/>
      <c r="AU206" s="1026"/>
      <c r="AW206" s="2755">
        <v>43304</v>
      </c>
      <c r="AX206" s="1011">
        <v>1784</v>
      </c>
      <c r="AY206" s="919">
        <v>105</v>
      </c>
      <c r="AZ206" s="1010">
        <v>42571</v>
      </c>
      <c r="BA206" s="1011">
        <v>5558.56</v>
      </c>
      <c r="BB206" s="1011">
        <v>7.39</v>
      </c>
      <c r="BC206" s="1011">
        <v>1943</v>
      </c>
      <c r="BD206" s="919">
        <v>108</v>
      </c>
      <c r="BI206" s="1010">
        <v>43303</v>
      </c>
      <c r="BJ206" s="919">
        <v>3.21</v>
      </c>
    </row>
    <row r="207" spans="1:62" ht="14.5">
      <c r="A207" s="913" t="s">
        <v>496</v>
      </c>
      <c r="B207" s="912">
        <v>41286</v>
      </c>
      <c r="C207" s="910">
        <v>4.17</v>
      </c>
      <c r="AB207" s="1010"/>
      <c r="AC207" s="1011"/>
      <c r="AD207" s="919"/>
      <c r="AF207" s="937">
        <v>42936</v>
      </c>
      <c r="AG207" s="1022"/>
      <c r="AH207" s="1022"/>
      <c r="AI207" s="1022"/>
      <c r="AJ207" s="1012"/>
      <c r="AK207" s="1022"/>
      <c r="AL207" s="1022"/>
      <c r="AM207" s="981"/>
      <c r="AN207" s="1025"/>
      <c r="AO207" s="981"/>
      <c r="AQ207" s="981"/>
      <c r="AR207" s="981"/>
      <c r="AS207" s="981"/>
      <c r="AT207" s="981"/>
      <c r="AU207" s="1026"/>
      <c r="AW207" s="2755">
        <v>43305</v>
      </c>
      <c r="AX207" s="1011">
        <v>1846</v>
      </c>
      <c r="AY207" s="919">
        <v>107</v>
      </c>
      <c r="AZ207" s="1010">
        <v>42572</v>
      </c>
      <c r="BA207" s="1011">
        <v>5558.52</v>
      </c>
      <c r="BB207" s="1011">
        <v>7.39</v>
      </c>
      <c r="BC207" s="1011">
        <v>1939</v>
      </c>
      <c r="BD207" s="919">
        <v>108</v>
      </c>
      <c r="BI207" s="1010">
        <v>43304</v>
      </c>
      <c r="BJ207" s="919">
        <v>3.65</v>
      </c>
    </row>
    <row r="208" spans="1:62" ht="14.5">
      <c r="A208" s="913" t="s">
        <v>496</v>
      </c>
      <c r="B208" s="912">
        <v>41287</v>
      </c>
      <c r="C208" s="910">
        <v>4.8600000000000003</v>
      </c>
      <c r="AB208" s="1010"/>
      <c r="AC208" s="1011"/>
      <c r="AD208" s="919"/>
      <c r="AF208" s="937">
        <v>42937</v>
      </c>
      <c r="AG208" s="1022"/>
      <c r="AH208" s="1022"/>
      <c r="AI208" s="1022"/>
      <c r="AJ208" s="1012"/>
      <c r="AK208" s="1022"/>
      <c r="AL208" s="1022"/>
      <c r="AM208" s="981"/>
      <c r="AN208" s="1025"/>
      <c r="AO208" s="981"/>
      <c r="AQ208" s="981"/>
      <c r="AR208" s="981"/>
      <c r="AS208" s="981"/>
      <c r="AT208" s="981"/>
      <c r="AU208" s="1026"/>
      <c r="AW208" s="2755">
        <v>43306</v>
      </c>
      <c r="AX208" s="1011">
        <v>1821</v>
      </c>
      <c r="AY208" s="919">
        <v>106</v>
      </c>
      <c r="AZ208" s="1010">
        <v>42573</v>
      </c>
      <c r="BA208" s="1011">
        <v>5558.47</v>
      </c>
      <c r="BB208" s="1011">
        <v>7.46</v>
      </c>
      <c r="BC208" s="1011">
        <v>1934</v>
      </c>
      <c r="BD208" s="919">
        <v>108</v>
      </c>
      <c r="BI208" s="1010">
        <v>43305</v>
      </c>
      <c r="BJ208" s="919">
        <v>14.6</v>
      </c>
    </row>
    <row r="209" spans="1:62" ht="14.5">
      <c r="A209" s="913" t="s">
        <v>496</v>
      </c>
      <c r="B209" s="912">
        <v>41288</v>
      </c>
      <c r="C209" s="910">
        <v>5.13</v>
      </c>
      <c r="AB209" s="1010"/>
      <c r="AC209" s="1011"/>
      <c r="AD209" s="919"/>
      <c r="AF209" s="937">
        <v>42938</v>
      </c>
      <c r="AG209" s="1022"/>
      <c r="AH209" s="1022"/>
      <c r="AI209" s="1022"/>
      <c r="AJ209" s="1012"/>
      <c r="AK209" s="1022"/>
      <c r="AL209" s="1022"/>
      <c r="AM209" s="981"/>
      <c r="AN209" s="1025"/>
      <c r="AO209" s="981"/>
      <c r="AQ209" s="981"/>
      <c r="AR209" s="981"/>
      <c r="AS209" s="981"/>
      <c r="AT209" s="981"/>
      <c r="AU209" s="1026"/>
      <c r="AW209" s="2755">
        <v>43307</v>
      </c>
      <c r="AX209" s="1011">
        <v>1811</v>
      </c>
      <c r="AY209" s="919">
        <v>106</v>
      </c>
      <c r="AZ209" s="1010">
        <v>42574</v>
      </c>
      <c r="BA209" s="1011">
        <v>5558.5</v>
      </c>
      <c r="BB209" s="1011">
        <v>7.69</v>
      </c>
      <c r="BC209" s="1011">
        <v>1937</v>
      </c>
      <c r="BD209" s="919">
        <v>108</v>
      </c>
      <c r="BI209" s="1010">
        <v>43306</v>
      </c>
      <c r="BJ209" s="919">
        <v>25.4</v>
      </c>
    </row>
    <row r="210" spans="1:62" ht="14.5">
      <c r="A210" s="913" t="s">
        <v>496</v>
      </c>
      <c r="B210" s="912">
        <v>41289</v>
      </c>
      <c r="C210" s="910">
        <v>5.46</v>
      </c>
      <c r="AB210" s="1010"/>
      <c r="AC210" s="1011"/>
      <c r="AD210" s="919"/>
      <c r="AF210" s="937">
        <v>42939</v>
      </c>
      <c r="AG210" s="1022"/>
      <c r="AH210" s="1022"/>
      <c r="AI210" s="1022"/>
      <c r="AJ210" s="1012"/>
      <c r="AK210" s="1022"/>
      <c r="AL210" s="1022"/>
      <c r="AM210" s="981"/>
      <c r="AN210" s="1025"/>
      <c r="AO210" s="981"/>
      <c r="AQ210" s="981"/>
      <c r="AR210" s="981"/>
      <c r="AS210" s="981"/>
      <c r="AT210" s="981"/>
      <c r="AU210" s="1026"/>
      <c r="AW210" s="2755">
        <v>43308</v>
      </c>
      <c r="AX210" s="1011">
        <v>1807</v>
      </c>
      <c r="AY210" s="919">
        <v>106</v>
      </c>
      <c r="AZ210" s="1010">
        <v>42575</v>
      </c>
      <c r="BA210" s="1011">
        <v>5558.45</v>
      </c>
      <c r="BB210" s="1011">
        <v>7.69</v>
      </c>
      <c r="BC210" s="1011">
        <v>1931</v>
      </c>
      <c r="BD210" s="919">
        <v>108</v>
      </c>
      <c r="BI210" s="1010">
        <v>43307</v>
      </c>
      <c r="BJ210" s="919">
        <v>24.2</v>
      </c>
    </row>
    <row r="211" spans="1:62" ht="14.5">
      <c r="A211" s="913" t="s">
        <v>496</v>
      </c>
      <c r="B211" s="912">
        <v>41290</v>
      </c>
      <c r="C211" s="910">
        <v>7.77</v>
      </c>
      <c r="AB211" s="1010"/>
      <c r="AC211" s="1011"/>
      <c r="AD211" s="919"/>
      <c r="AF211" s="937">
        <v>42940</v>
      </c>
      <c r="AG211" s="1022"/>
      <c r="AH211" s="1022"/>
      <c r="AI211" s="1022"/>
      <c r="AJ211" s="1012"/>
      <c r="AK211" s="1022"/>
      <c r="AL211" s="1022"/>
      <c r="AM211" s="981"/>
      <c r="AN211" s="1025"/>
      <c r="AO211" s="981"/>
      <c r="AQ211" s="981"/>
      <c r="AR211" s="981"/>
      <c r="AS211" s="981"/>
      <c r="AT211" s="981"/>
      <c r="AU211" s="1026"/>
      <c r="AW211" s="2755">
        <v>43309</v>
      </c>
      <c r="AX211" s="1011">
        <v>1777</v>
      </c>
      <c r="AY211" s="919">
        <v>105</v>
      </c>
      <c r="AZ211" s="1010">
        <v>42576</v>
      </c>
      <c r="BA211" s="1011">
        <v>5558.4</v>
      </c>
      <c r="BB211" s="1011">
        <v>7.69</v>
      </c>
      <c r="BC211" s="1011">
        <v>1925</v>
      </c>
      <c r="BD211" s="919">
        <v>107</v>
      </c>
      <c r="BI211" s="1010">
        <v>43308</v>
      </c>
      <c r="BJ211" s="919">
        <v>23.4</v>
      </c>
    </row>
    <row r="212" spans="1:62" ht="14.5">
      <c r="A212" s="913" t="s">
        <v>496</v>
      </c>
      <c r="B212" s="912">
        <v>41433</v>
      </c>
      <c r="C212" s="910">
        <v>43.7</v>
      </c>
      <c r="AB212" s="1010"/>
      <c r="AC212" s="1011"/>
      <c r="AD212" s="919"/>
      <c r="AF212" s="937">
        <v>42941</v>
      </c>
      <c r="AG212" s="1022"/>
      <c r="AH212" s="1022"/>
      <c r="AI212" s="1022"/>
      <c r="AJ212" s="1012"/>
      <c r="AK212" s="1022"/>
      <c r="AL212" s="1022"/>
      <c r="AM212" s="981"/>
      <c r="AN212" s="1025"/>
      <c r="AO212" s="981"/>
      <c r="AQ212" s="981"/>
      <c r="AR212" s="981"/>
      <c r="AS212" s="981"/>
      <c r="AT212" s="981"/>
      <c r="AU212" s="1026"/>
      <c r="AW212" s="2755">
        <v>43310</v>
      </c>
      <c r="AX212" s="1011">
        <v>1747</v>
      </c>
      <c r="AY212" s="919">
        <v>104</v>
      </c>
      <c r="AZ212" s="1010">
        <v>42577</v>
      </c>
      <c r="BA212" s="1011">
        <v>5558.32</v>
      </c>
      <c r="BB212" s="1011">
        <v>7.69</v>
      </c>
      <c r="BC212" s="1011">
        <v>1917</v>
      </c>
      <c r="BD212" s="919">
        <v>107</v>
      </c>
      <c r="BI212" s="1010">
        <v>43309</v>
      </c>
      <c r="BJ212" s="919">
        <v>22.2</v>
      </c>
    </row>
    <row r="213" spans="1:62" ht="14.5">
      <c r="A213" s="913" t="s">
        <v>496</v>
      </c>
      <c r="B213" s="912">
        <v>41434</v>
      </c>
      <c r="C213" s="910">
        <v>39.6</v>
      </c>
      <c r="AB213" s="1010"/>
      <c r="AC213" s="1011"/>
      <c r="AD213" s="919"/>
      <c r="AF213" s="937">
        <v>42942</v>
      </c>
      <c r="AG213" s="1022"/>
      <c r="AH213" s="1022"/>
      <c r="AI213" s="1022"/>
      <c r="AJ213" s="1012"/>
      <c r="AK213" s="1022"/>
      <c r="AL213" s="1022"/>
      <c r="AM213" s="981"/>
      <c r="AN213" s="1025"/>
      <c r="AO213" s="981"/>
      <c r="AQ213" s="981"/>
      <c r="AR213" s="981"/>
      <c r="AS213" s="981"/>
      <c r="AT213" s="981"/>
      <c r="AU213" s="1026"/>
      <c r="AW213" s="2755">
        <v>43311</v>
      </c>
      <c r="AX213" s="1011">
        <v>1723</v>
      </c>
      <c r="AY213" s="919">
        <v>103</v>
      </c>
      <c r="AZ213" s="1010">
        <v>42578</v>
      </c>
      <c r="BA213" s="1011">
        <v>5558.29</v>
      </c>
      <c r="BB213" s="1011">
        <v>7.69</v>
      </c>
      <c r="BC213" s="1011">
        <v>1914</v>
      </c>
      <c r="BD213" s="919">
        <v>107</v>
      </c>
      <c r="BI213" s="1010">
        <v>43310</v>
      </c>
      <c r="BJ213" s="919">
        <v>22</v>
      </c>
    </row>
    <row r="214" spans="1:62" ht="14.5">
      <c r="A214" s="913" t="s">
        <v>496</v>
      </c>
      <c r="B214" s="912">
        <v>41435</v>
      </c>
      <c r="C214" s="910">
        <v>34.1</v>
      </c>
      <c r="AB214" s="1010"/>
      <c r="AC214" s="1011"/>
      <c r="AD214" s="919"/>
      <c r="AF214" s="937">
        <v>42943</v>
      </c>
      <c r="AG214" s="1022"/>
      <c r="AH214" s="1022"/>
      <c r="AI214" s="1022"/>
      <c r="AJ214" s="1012"/>
      <c r="AK214" s="1022"/>
      <c r="AL214" s="1022"/>
      <c r="AM214" s="981"/>
      <c r="AN214" s="1025"/>
      <c r="AO214" s="981"/>
      <c r="AQ214" s="981"/>
      <c r="AR214" s="981"/>
      <c r="AS214" s="981"/>
      <c r="AT214" s="981"/>
      <c r="AU214" s="1026"/>
      <c r="AW214" s="2755">
        <v>43312</v>
      </c>
      <c r="AX214" s="1011">
        <v>1723</v>
      </c>
      <c r="AY214" s="919">
        <v>103</v>
      </c>
      <c r="AZ214" s="1010">
        <v>42579</v>
      </c>
      <c r="BA214" s="1011">
        <v>5558.3</v>
      </c>
      <c r="BB214" s="1011">
        <v>7.69</v>
      </c>
      <c r="BC214" s="1011">
        <v>1915</v>
      </c>
      <c r="BD214" s="919">
        <v>107</v>
      </c>
      <c r="BI214" s="1010">
        <v>43311</v>
      </c>
      <c r="BJ214" s="919">
        <v>12.6</v>
      </c>
    </row>
    <row r="215" spans="1:62" ht="14.5">
      <c r="A215" s="913" t="s">
        <v>496</v>
      </c>
      <c r="B215" s="912">
        <v>41436</v>
      </c>
      <c r="C215" s="910">
        <v>27.1</v>
      </c>
      <c r="AB215" s="1010"/>
      <c r="AC215" s="1011"/>
      <c r="AD215" s="919"/>
      <c r="AF215" s="937">
        <v>42944</v>
      </c>
      <c r="AG215" s="1022"/>
      <c r="AH215" s="1022"/>
      <c r="AI215" s="1022"/>
      <c r="AJ215" s="1012"/>
      <c r="AK215" s="1022"/>
      <c r="AL215" s="1022"/>
      <c r="AM215" s="981"/>
      <c r="AN215" s="1025"/>
      <c r="AO215" s="981"/>
      <c r="AQ215" s="981"/>
      <c r="AR215" s="981"/>
      <c r="AS215" s="981"/>
      <c r="AT215" s="981"/>
      <c r="AU215" s="1026"/>
      <c r="AW215" s="2755">
        <v>43313</v>
      </c>
      <c r="AX215" s="1011">
        <v>1722</v>
      </c>
      <c r="AY215" s="919">
        <v>103</v>
      </c>
      <c r="AZ215" s="1010">
        <v>42580</v>
      </c>
      <c r="BA215" s="1011">
        <v>5558.29</v>
      </c>
      <c r="BB215" s="1011">
        <v>7.69</v>
      </c>
      <c r="BC215" s="1011">
        <v>1914</v>
      </c>
      <c r="BD215" s="919">
        <v>107</v>
      </c>
      <c r="BI215" s="1010">
        <v>43312</v>
      </c>
      <c r="BJ215" s="919">
        <v>4.7</v>
      </c>
    </row>
    <row r="216" spans="1:62" ht="14.5">
      <c r="A216" s="913" t="s">
        <v>496</v>
      </c>
      <c r="B216" s="912">
        <v>41437</v>
      </c>
      <c r="C216" s="910">
        <v>22.1</v>
      </c>
      <c r="AB216" s="1010"/>
      <c r="AC216" s="1011"/>
      <c r="AD216" s="919"/>
      <c r="AF216" s="937">
        <v>42945</v>
      </c>
      <c r="AG216" s="1022"/>
      <c r="AH216" s="1022"/>
      <c r="AI216" s="1022"/>
      <c r="AJ216" s="1012"/>
      <c r="AK216" s="1022"/>
      <c r="AL216" s="1022"/>
      <c r="AM216" s="981"/>
      <c r="AN216" s="1025"/>
      <c r="AO216" s="981"/>
      <c r="AQ216" s="981"/>
      <c r="AR216" s="981"/>
      <c r="AS216" s="981"/>
      <c r="AT216" s="981"/>
      <c r="AU216" s="1026"/>
      <c r="AW216" s="2755">
        <v>43314</v>
      </c>
      <c r="AX216" s="1011">
        <v>1717</v>
      </c>
      <c r="AY216" s="919">
        <v>103</v>
      </c>
      <c r="AZ216" s="1010">
        <v>42581</v>
      </c>
      <c r="BA216" s="1011">
        <v>5558.29</v>
      </c>
      <c r="BB216" s="1011">
        <v>7.69</v>
      </c>
      <c r="BC216" s="1011">
        <v>1914</v>
      </c>
      <c r="BD216" s="919">
        <v>107</v>
      </c>
      <c r="BI216" s="1010">
        <v>43313</v>
      </c>
      <c r="BJ216" s="919">
        <v>4.42</v>
      </c>
    </row>
    <row r="217" spans="1:62" ht="14.5">
      <c r="A217" s="913" t="s">
        <v>496</v>
      </c>
      <c r="B217" s="912">
        <v>41438</v>
      </c>
      <c r="C217" s="910">
        <v>19</v>
      </c>
      <c r="AB217" s="1010"/>
      <c r="AC217" s="1011"/>
      <c r="AD217" s="919"/>
      <c r="AF217" s="937">
        <v>42946</v>
      </c>
      <c r="AG217" s="1022"/>
      <c r="AH217" s="1022"/>
      <c r="AI217" s="1022"/>
      <c r="AJ217" s="1012"/>
      <c r="AK217" s="1022"/>
      <c r="AL217" s="1022"/>
      <c r="AM217" s="981"/>
      <c r="AN217" s="1025"/>
      <c r="AO217" s="981"/>
      <c r="AQ217" s="981"/>
      <c r="AR217" s="981"/>
      <c r="AS217" s="981"/>
      <c r="AT217" s="981"/>
      <c r="AU217" s="1026"/>
      <c r="AW217" s="2755">
        <v>43315</v>
      </c>
      <c r="AX217" s="1011">
        <v>1713</v>
      </c>
      <c r="AY217" s="919">
        <v>103</v>
      </c>
      <c r="AZ217" s="1010">
        <v>42582</v>
      </c>
      <c r="BA217" s="1011">
        <v>5558.27</v>
      </c>
      <c r="BB217" s="1011">
        <v>7.69</v>
      </c>
      <c r="BC217" s="1011">
        <v>1912</v>
      </c>
      <c r="BD217" s="919">
        <v>107</v>
      </c>
      <c r="BI217" s="1010">
        <v>43314</v>
      </c>
      <c r="BJ217" s="919">
        <v>4.1900000000000004</v>
      </c>
    </row>
    <row r="218" spans="1:62" ht="15" thickBot="1">
      <c r="A218" s="913" t="s">
        <v>496</v>
      </c>
      <c r="B218" s="912">
        <v>41439</v>
      </c>
      <c r="C218" s="910">
        <v>16.2</v>
      </c>
      <c r="AB218" s="1010"/>
      <c r="AC218" s="1011"/>
      <c r="AD218" s="919"/>
      <c r="AF218" s="937">
        <v>42947</v>
      </c>
      <c r="AG218" s="1022"/>
      <c r="AH218" s="1022"/>
      <c r="AI218" s="1022"/>
      <c r="AJ218" s="1012"/>
      <c r="AK218" s="1022"/>
      <c r="AL218" s="1022"/>
      <c r="AM218" s="981"/>
      <c r="AN218" s="1025"/>
      <c r="AO218" s="981"/>
      <c r="AQ218" s="981"/>
      <c r="AR218" s="981"/>
      <c r="AS218" s="981"/>
      <c r="AT218" s="981"/>
      <c r="AU218" s="1026"/>
      <c r="AW218" s="2755">
        <v>43316</v>
      </c>
      <c r="AX218" s="1011">
        <v>1708</v>
      </c>
      <c r="AY218" s="919">
        <v>103</v>
      </c>
      <c r="AZ218" s="1010">
        <v>42583</v>
      </c>
      <c r="BA218" s="1011">
        <v>5558.28</v>
      </c>
      <c r="BB218" s="1011">
        <v>7.69</v>
      </c>
      <c r="BC218" s="1011">
        <v>1913</v>
      </c>
      <c r="BD218" s="919">
        <v>107</v>
      </c>
      <c r="BI218" s="1010">
        <v>43315</v>
      </c>
      <c r="BJ218" s="919">
        <v>3.96</v>
      </c>
    </row>
    <row r="219" spans="1:62" ht="14.5">
      <c r="A219" s="913" t="s">
        <v>496</v>
      </c>
      <c r="B219" s="912">
        <v>41440</v>
      </c>
      <c r="C219" s="910">
        <v>14.9</v>
      </c>
      <c r="AB219" s="1010"/>
      <c r="AC219" s="1011"/>
      <c r="AD219" s="919"/>
      <c r="AF219" s="937">
        <v>42948</v>
      </c>
      <c r="AG219" s="999"/>
      <c r="AH219" s="999"/>
      <c r="AI219" s="999"/>
      <c r="AJ219" s="1012"/>
      <c r="AK219" s="999"/>
      <c r="AL219" s="999"/>
      <c r="AM219" s="981"/>
      <c r="AN219" s="1025"/>
      <c r="AO219" s="981"/>
      <c r="AQ219" s="981"/>
      <c r="AR219" s="981"/>
      <c r="AS219" s="981"/>
      <c r="AT219" s="981"/>
      <c r="AU219" s="1026"/>
      <c r="AW219" s="2755">
        <v>43317</v>
      </c>
      <c r="AX219" s="1011">
        <v>1703</v>
      </c>
      <c r="AY219" s="919">
        <v>103</v>
      </c>
      <c r="AZ219" s="1010">
        <v>42584</v>
      </c>
      <c r="BA219" s="1011">
        <v>5558.28</v>
      </c>
      <c r="BB219" s="1011">
        <v>7.74</v>
      </c>
      <c r="BC219" s="1011">
        <v>1913</v>
      </c>
      <c r="BD219" s="919">
        <v>107</v>
      </c>
      <c r="BI219" s="1010">
        <v>43316</v>
      </c>
      <c r="BJ219" s="919">
        <v>4.1100000000000003</v>
      </c>
    </row>
    <row r="220" spans="1:62" ht="14.5">
      <c r="A220" s="913" t="s">
        <v>496</v>
      </c>
      <c r="B220" s="912">
        <v>41441</v>
      </c>
      <c r="C220" s="910">
        <v>15.3</v>
      </c>
      <c r="AB220" s="1010"/>
      <c r="AC220" s="1011"/>
      <c r="AD220" s="919"/>
      <c r="AF220" s="937">
        <v>42949</v>
      </c>
      <c r="AG220" s="981"/>
      <c r="AH220" s="981"/>
      <c r="AI220" s="981"/>
      <c r="AJ220" s="1012"/>
      <c r="AK220" s="981"/>
      <c r="AL220" s="981"/>
      <c r="AM220" s="1026"/>
      <c r="AN220" s="1025"/>
      <c r="AO220" s="981"/>
      <c r="AP220" s="981"/>
      <c r="AQ220" s="981"/>
      <c r="AR220" s="981"/>
      <c r="AS220" s="981"/>
      <c r="AT220" s="981"/>
      <c r="AU220" s="1026"/>
      <c r="AW220" s="2755">
        <v>43318</v>
      </c>
      <c r="AX220" s="1011">
        <v>1696</v>
      </c>
      <c r="AY220" s="919">
        <v>102</v>
      </c>
      <c r="AZ220" s="1010">
        <v>42585</v>
      </c>
      <c r="BA220" s="1011">
        <v>5558.28</v>
      </c>
      <c r="BB220" s="1011">
        <v>7.89</v>
      </c>
      <c r="BC220" s="1011">
        <v>1913</v>
      </c>
      <c r="BD220" s="919">
        <v>107</v>
      </c>
      <c r="BI220" s="1010">
        <v>43317</v>
      </c>
      <c r="BJ220" s="919">
        <v>4.2</v>
      </c>
    </row>
    <row r="221" spans="1:62" ht="14.5">
      <c r="A221" s="913" t="s">
        <v>496</v>
      </c>
      <c r="B221" s="912">
        <v>41442</v>
      </c>
      <c r="C221" s="910">
        <v>15.3</v>
      </c>
      <c r="AB221" s="1010"/>
      <c r="AC221" s="1011"/>
      <c r="AD221" s="919"/>
      <c r="AF221" s="937">
        <v>42950</v>
      </c>
      <c r="AG221" s="981"/>
      <c r="AH221" s="981"/>
      <c r="AI221" s="981"/>
      <c r="AJ221" s="1012"/>
      <c r="AK221" s="981"/>
      <c r="AL221" s="981"/>
      <c r="AM221" s="1026"/>
      <c r="AN221" s="1025"/>
      <c r="AO221" s="981"/>
      <c r="AP221" s="981"/>
      <c r="AQ221" s="981"/>
      <c r="AR221" s="981"/>
      <c r="AS221" s="981"/>
      <c r="AT221" s="981"/>
      <c r="AU221" s="1026"/>
      <c r="AW221" s="2755">
        <v>43319</v>
      </c>
      <c r="AX221" s="1011">
        <v>1690</v>
      </c>
      <c r="AY221" s="919">
        <v>102</v>
      </c>
      <c r="AZ221" s="1010">
        <v>42586</v>
      </c>
      <c r="BA221" s="1011">
        <v>5558.26</v>
      </c>
      <c r="BB221" s="1011">
        <v>7.89</v>
      </c>
      <c r="BC221" s="1011">
        <v>1910</v>
      </c>
      <c r="BD221" s="919">
        <v>107</v>
      </c>
      <c r="BI221" s="1010">
        <v>43318</v>
      </c>
      <c r="BJ221" s="919">
        <v>3.5</v>
      </c>
    </row>
    <row r="222" spans="1:62" ht="14.5">
      <c r="A222" s="913" t="s">
        <v>496</v>
      </c>
      <c r="B222" s="912">
        <v>41443</v>
      </c>
      <c r="C222" s="910">
        <v>13.7</v>
      </c>
      <c r="AB222" s="1010"/>
      <c r="AC222" s="1011"/>
      <c r="AD222" s="919"/>
      <c r="AF222" s="937">
        <v>42951</v>
      </c>
      <c r="AG222" s="981"/>
      <c r="AH222" s="981"/>
      <c r="AI222" s="981"/>
      <c r="AJ222" s="1012"/>
      <c r="AK222" s="981"/>
      <c r="AL222" s="981"/>
      <c r="AM222" s="1026"/>
      <c r="AN222" s="1025"/>
      <c r="AO222" s="981"/>
      <c r="AP222" s="981"/>
      <c r="AQ222" s="981"/>
      <c r="AR222" s="981"/>
      <c r="AS222" s="981"/>
      <c r="AT222" s="981"/>
      <c r="AU222" s="1026"/>
      <c r="AW222" s="2755">
        <v>43320</v>
      </c>
      <c r="AX222" s="1011">
        <v>1686</v>
      </c>
      <c r="AY222" s="919">
        <v>102</v>
      </c>
      <c r="AZ222" s="1010">
        <v>42587</v>
      </c>
      <c r="BA222" s="1011">
        <v>5558.27</v>
      </c>
      <c r="BB222" s="1011">
        <v>7.89</v>
      </c>
      <c r="BC222" s="1011">
        <v>1912</v>
      </c>
      <c r="BD222" s="919">
        <v>107</v>
      </c>
      <c r="BI222" s="1010">
        <v>43319</v>
      </c>
      <c r="BJ222" s="919">
        <v>4.13</v>
      </c>
    </row>
    <row r="223" spans="1:62" ht="14.5">
      <c r="A223" s="913" t="s">
        <v>496</v>
      </c>
      <c r="B223" s="912">
        <v>41444</v>
      </c>
      <c r="C223" s="910">
        <v>12.6</v>
      </c>
      <c r="AB223" s="1010"/>
      <c r="AC223" s="1011"/>
      <c r="AD223" s="919"/>
      <c r="AF223" s="937">
        <v>42952</v>
      </c>
      <c r="AG223" s="981"/>
      <c r="AH223" s="981"/>
      <c r="AI223" s="981"/>
      <c r="AJ223" s="1012"/>
      <c r="AK223" s="981"/>
      <c r="AL223" s="981"/>
      <c r="AM223" s="1026"/>
      <c r="AN223" s="1025"/>
      <c r="AO223" s="981"/>
      <c r="AP223" s="981"/>
      <c r="AQ223" s="981"/>
      <c r="AR223" s="981"/>
      <c r="AS223" s="981"/>
      <c r="AT223" s="981"/>
      <c r="AU223" s="1026"/>
      <c r="AW223" s="2755">
        <v>43321</v>
      </c>
      <c r="AX223" s="1011">
        <v>1683</v>
      </c>
      <c r="AY223" s="919">
        <v>102</v>
      </c>
      <c r="AZ223" s="1010">
        <v>42588</v>
      </c>
      <c r="BA223" s="1011">
        <v>5558.32</v>
      </c>
      <c r="BB223" s="1011">
        <v>7.9</v>
      </c>
      <c r="BC223" s="1011">
        <v>1917</v>
      </c>
      <c r="BD223" s="919">
        <v>107</v>
      </c>
      <c r="BI223" s="1010">
        <v>43320</v>
      </c>
      <c r="BJ223" s="919">
        <v>3.48</v>
      </c>
    </row>
    <row r="224" spans="1:62" ht="14.5">
      <c r="A224" s="913" t="s">
        <v>496</v>
      </c>
      <c r="B224" s="912">
        <v>41445</v>
      </c>
      <c r="C224" s="910">
        <v>10.7</v>
      </c>
      <c r="AB224" s="1010"/>
      <c r="AC224" s="1011"/>
      <c r="AD224" s="919"/>
      <c r="AF224" s="937">
        <v>42953</v>
      </c>
      <c r="AG224" s="981"/>
      <c r="AH224" s="981"/>
      <c r="AI224" s="981"/>
      <c r="AJ224" s="1012"/>
      <c r="AK224" s="981"/>
      <c r="AL224" s="981"/>
      <c r="AM224" s="1026"/>
      <c r="AN224" s="1025"/>
      <c r="AO224" s="981"/>
      <c r="AP224" s="981"/>
      <c r="AQ224" s="981"/>
      <c r="AR224" s="981"/>
      <c r="AS224" s="981"/>
      <c r="AT224" s="981"/>
      <c r="AU224" s="1026"/>
      <c r="AW224" s="2755">
        <v>43322</v>
      </c>
      <c r="AX224" s="1011">
        <v>1678</v>
      </c>
      <c r="AY224" s="919">
        <v>102</v>
      </c>
      <c r="AZ224" s="1010">
        <v>42589</v>
      </c>
      <c r="BA224" s="1011">
        <v>5558.35</v>
      </c>
      <c r="BB224" s="1011">
        <v>7.9</v>
      </c>
      <c r="BC224" s="1011">
        <v>1920</v>
      </c>
      <c r="BD224" s="919">
        <v>107</v>
      </c>
      <c r="BI224" s="1010">
        <v>43321</v>
      </c>
      <c r="BJ224" s="919">
        <v>3.37</v>
      </c>
    </row>
    <row r="225" spans="1:62" ht="14.5">
      <c r="A225" s="913" t="s">
        <v>496</v>
      </c>
      <c r="B225" s="912">
        <v>41446</v>
      </c>
      <c r="C225" s="910">
        <v>9.7899999999999991</v>
      </c>
      <c r="AB225" s="1010"/>
      <c r="AC225" s="1011"/>
      <c r="AD225" s="919"/>
      <c r="AF225" s="937">
        <v>42954</v>
      </c>
      <c r="AG225" s="981"/>
      <c r="AH225" s="981"/>
      <c r="AI225" s="981"/>
      <c r="AJ225" s="1012"/>
      <c r="AK225" s="981"/>
      <c r="AL225" s="981"/>
      <c r="AM225" s="1026"/>
      <c r="AN225" s="1025"/>
      <c r="AO225" s="981"/>
      <c r="AP225" s="981"/>
      <c r="AQ225" s="981"/>
      <c r="AR225" s="981"/>
      <c r="AS225" s="981"/>
      <c r="AT225" s="981"/>
      <c r="AU225" s="1026"/>
      <c r="AW225" s="2755">
        <v>43323</v>
      </c>
      <c r="AX225" s="1011">
        <v>1673</v>
      </c>
      <c r="AY225" s="919">
        <v>102</v>
      </c>
      <c r="AZ225" s="1010">
        <v>42590</v>
      </c>
      <c r="BA225" s="1011">
        <v>5558.3</v>
      </c>
      <c r="BB225" s="1011">
        <v>7.9</v>
      </c>
      <c r="BC225" s="1011">
        <v>1915</v>
      </c>
      <c r="BD225" s="919">
        <v>107</v>
      </c>
      <c r="BI225" s="1010">
        <v>43322</v>
      </c>
      <c r="BJ225" s="919">
        <v>3.31</v>
      </c>
    </row>
    <row r="226" spans="1:62" ht="14.5">
      <c r="A226" s="913" t="s">
        <v>496</v>
      </c>
      <c r="B226" s="912">
        <v>41447</v>
      </c>
      <c r="C226" s="910">
        <v>10.4</v>
      </c>
      <c r="AB226" s="1010"/>
      <c r="AC226" s="1011"/>
      <c r="AD226" s="919"/>
      <c r="AF226" s="937">
        <v>42955</v>
      </c>
      <c r="AG226" s="981"/>
      <c r="AH226" s="981"/>
      <c r="AI226" s="981"/>
      <c r="AJ226" s="1012"/>
      <c r="AK226" s="981"/>
      <c r="AL226" s="981"/>
      <c r="AM226" s="1026"/>
      <c r="AN226" s="1025"/>
      <c r="AO226" s="981"/>
      <c r="AP226" s="981"/>
      <c r="AQ226" s="981"/>
      <c r="AR226" s="981"/>
      <c r="AS226" s="981"/>
      <c r="AT226" s="981"/>
      <c r="AU226" s="1026"/>
      <c r="AW226" s="2755">
        <v>43324</v>
      </c>
      <c r="AX226" s="1011">
        <v>1671</v>
      </c>
      <c r="AY226" s="919">
        <v>102</v>
      </c>
      <c r="AZ226" s="1010">
        <v>42591</v>
      </c>
      <c r="BA226" s="1011">
        <v>5558.27</v>
      </c>
      <c r="BB226" s="1011">
        <v>7.91</v>
      </c>
      <c r="BC226" s="1011">
        <v>1912</v>
      </c>
      <c r="BD226" s="919">
        <v>107</v>
      </c>
      <c r="BI226" s="1010">
        <v>43323</v>
      </c>
      <c r="BJ226" s="919">
        <v>3.14</v>
      </c>
    </row>
    <row r="227" spans="1:62" ht="14.5">
      <c r="A227" s="913" t="s">
        <v>496</v>
      </c>
      <c r="B227" s="912">
        <v>41448</v>
      </c>
      <c r="C227" s="910">
        <v>9.82</v>
      </c>
      <c r="AB227" s="1010"/>
      <c r="AC227" s="1011"/>
      <c r="AD227" s="919"/>
      <c r="AF227" s="937">
        <v>42956</v>
      </c>
      <c r="AG227" s="981"/>
      <c r="AH227" s="981"/>
      <c r="AI227" s="981"/>
      <c r="AJ227" s="1012"/>
      <c r="AK227" s="981"/>
      <c r="AL227" s="981"/>
      <c r="AM227" s="1026"/>
      <c r="AN227" s="1025"/>
      <c r="AO227" s="981"/>
      <c r="AP227" s="981"/>
      <c r="AQ227" s="981"/>
      <c r="AR227" s="981"/>
      <c r="AS227" s="981"/>
      <c r="AT227" s="981"/>
      <c r="AU227" s="1026"/>
      <c r="AW227" s="2755">
        <v>43325</v>
      </c>
      <c r="AX227" s="1011">
        <v>1666</v>
      </c>
      <c r="AY227" s="919">
        <v>101</v>
      </c>
      <c r="AZ227" s="1010">
        <v>42592</v>
      </c>
      <c r="BA227" s="1011">
        <v>5558.23</v>
      </c>
      <c r="BB227" s="1011">
        <v>7.93</v>
      </c>
      <c r="BC227" s="1011">
        <v>1907</v>
      </c>
      <c r="BD227" s="919">
        <v>107</v>
      </c>
      <c r="BI227" s="1010">
        <v>43324</v>
      </c>
      <c r="BJ227" s="919">
        <v>3.07</v>
      </c>
    </row>
    <row r="228" spans="1:62" ht="14.5">
      <c r="A228" s="913" t="s">
        <v>496</v>
      </c>
      <c r="B228" s="912">
        <v>41449</v>
      </c>
      <c r="C228" s="910">
        <v>9.6199999999999992</v>
      </c>
      <c r="AB228" s="1010"/>
      <c r="AC228" s="1011"/>
      <c r="AD228" s="919"/>
      <c r="AF228" s="937">
        <v>42957</v>
      </c>
      <c r="AG228" s="981"/>
      <c r="AH228" s="981"/>
      <c r="AI228" s="981"/>
      <c r="AJ228" s="1012"/>
      <c r="AK228" s="981"/>
      <c r="AL228" s="981"/>
      <c r="AM228" s="1026"/>
      <c r="AN228" s="1025"/>
      <c r="AO228" s="981"/>
      <c r="AP228" s="981"/>
      <c r="AQ228" s="981"/>
      <c r="AR228" s="981"/>
      <c r="AS228" s="981"/>
      <c r="AT228" s="981"/>
      <c r="AU228" s="1026"/>
      <c r="AW228" s="2755">
        <v>43326</v>
      </c>
      <c r="AX228" s="1011">
        <v>1662</v>
      </c>
      <c r="AY228" s="919">
        <v>101</v>
      </c>
      <c r="AZ228" s="1010">
        <v>42593</v>
      </c>
      <c r="BA228" s="1011">
        <v>5558.21</v>
      </c>
      <c r="BB228" s="1011">
        <v>7.93</v>
      </c>
      <c r="BC228" s="1011">
        <v>1905</v>
      </c>
      <c r="BD228" s="919">
        <v>107</v>
      </c>
      <c r="BI228" s="1010">
        <v>43325</v>
      </c>
      <c r="BJ228" s="919">
        <v>3.01</v>
      </c>
    </row>
    <row r="229" spans="1:62" ht="14.5">
      <c r="A229" s="913" t="s">
        <v>496</v>
      </c>
      <c r="B229" s="912">
        <v>41450</v>
      </c>
      <c r="C229" s="910">
        <v>9.61</v>
      </c>
      <c r="AB229" s="1010"/>
      <c r="AC229" s="1011"/>
      <c r="AD229" s="919"/>
      <c r="AF229" s="937">
        <v>42958</v>
      </c>
      <c r="AG229" s="981"/>
      <c r="AH229" s="981"/>
      <c r="AI229" s="981"/>
      <c r="AJ229" s="1012"/>
      <c r="AK229" s="981"/>
      <c r="AL229" s="981"/>
      <c r="AM229" s="1026"/>
      <c r="AN229" s="1025"/>
      <c r="AO229" s="981"/>
      <c r="AP229" s="981"/>
      <c r="AQ229" s="981"/>
      <c r="AR229" s="981"/>
      <c r="AS229" s="981"/>
      <c r="AT229" s="981"/>
      <c r="AU229" s="1026"/>
      <c r="AW229" s="2755">
        <v>43327</v>
      </c>
      <c r="AX229" s="1011">
        <v>1660</v>
      </c>
      <c r="AY229" s="919">
        <v>101</v>
      </c>
      <c r="AZ229" s="1010">
        <v>42594</v>
      </c>
      <c r="BA229" s="1011">
        <v>5558.22</v>
      </c>
      <c r="BB229" s="1011">
        <v>7.95</v>
      </c>
      <c r="BC229" s="1011">
        <v>1906</v>
      </c>
      <c r="BD229" s="919">
        <v>107</v>
      </c>
      <c r="BI229" s="1010">
        <v>43326</v>
      </c>
      <c r="BJ229" s="919">
        <v>2.87</v>
      </c>
    </row>
    <row r="230" spans="1:62" ht="14.5">
      <c r="A230" s="913" t="s">
        <v>496</v>
      </c>
      <c r="B230" s="912">
        <v>41451</v>
      </c>
      <c r="C230" s="910">
        <v>7.42</v>
      </c>
      <c r="AB230" s="1010"/>
      <c r="AC230" s="1011"/>
      <c r="AD230" s="919"/>
      <c r="AF230" s="937">
        <v>42959</v>
      </c>
      <c r="AG230" s="981"/>
      <c r="AH230" s="981"/>
      <c r="AI230" s="981"/>
      <c r="AJ230" s="1012"/>
      <c r="AK230" s="981"/>
      <c r="AL230" s="981"/>
      <c r="AM230" s="1026"/>
      <c r="AN230" s="1025"/>
      <c r="AO230" s="981"/>
      <c r="AP230" s="981"/>
      <c r="AQ230" s="981"/>
      <c r="AR230" s="981"/>
      <c r="AS230" s="981"/>
      <c r="AT230" s="981"/>
      <c r="AU230" s="1026"/>
      <c r="AW230" s="2755">
        <v>43328</v>
      </c>
      <c r="AX230" s="1011">
        <v>1662</v>
      </c>
      <c r="AY230" s="919">
        <v>101</v>
      </c>
      <c r="AZ230" s="1010">
        <v>42595</v>
      </c>
      <c r="BA230" s="1011">
        <v>5558.2</v>
      </c>
      <c r="BB230" s="1011">
        <v>7.95</v>
      </c>
      <c r="BC230" s="1011">
        <v>1904</v>
      </c>
      <c r="BD230" s="919">
        <v>107</v>
      </c>
      <c r="BI230" s="1010">
        <v>43327</v>
      </c>
      <c r="BJ230" s="919">
        <v>3.26</v>
      </c>
    </row>
    <row r="231" spans="1:62" ht="14.5">
      <c r="A231" s="913" t="s">
        <v>496</v>
      </c>
      <c r="B231" s="912">
        <v>41452</v>
      </c>
      <c r="C231" s="910">
        <v>5.34</v>
      </c>
      <c r="AB231" s="1010"/>
      <c r="AC231" s="1011"/>
      <c r="AD231" s="919"/>
      <c r="AF231" s="937">
        <v>42960</v>
      </c>
      <c r="AG231" s="981"/>
      <c r="AH231" s="981"/>
      <c r="AI231" s="981"/>
      <c r="AJ231" s="1012"/>
      <c r="AK231" s="981"/>
      <c r="AL231" s="981"/>
      <c r="AM231" s="1026"/>
      <c r="AN231" s="1025"/>
      <c r="AO231" s="981"/>
      <c r="AP231" s="981"/>
      <c r="AQ231" s="981"/>
      <c r="AR231" s="981"/>
      <c r="AS231" s="981"/>
      <c r="AT231" s="981"/>
      <c r="AU231" s="1026"/>
      <c r="AW231" s="2755">
        <v>43329</v>
      </c>
      <c r="AX231" s="1011">
        <v>1656</v>
      </c>
      <c r="AY231" s="919">
        <v>101</v>
      </c>
      <c r="AZ231" s="1010">
        <v>42596</v>
      </c>
      <c r="BA231" s="1011">
        <v>5558.2</v>
      </c>
      <c r="BB231" s="1011">
        <v>7.95</v>
      </c>
      <c r="BC231" s="1011">
        <v>1904</v>
      </c>
      <c r="BD231" s="919">
        <v>107</v>
      </c>
      <c r="BI231" s="1010">
        <v>43328</v>
      </c>
      <c r="BJ231" s="919">
        <v>4.2</v>
      </c>
    </row>
    <row r="232" spans="1:62" ht="14.5">
      <c r="A232" s="913" t="s">
        <v>496</v>
      </c>
      <c r="B232" s="912">
        <v>41453</v>
      </c>
      <c r="C232" s="910">
        <v>4.9800000000000004</v>
      </c>
      <c r="AB232" s="1010"/>
      <c r="AC232" s="1011"/>
      <c r="AD232" s="919"/>
      <c r="AF232" s="937">
        <v>42961</v>
      </c>
      <c r="AG232" s="981"/>
      <c r="AH232" s="981"/>
      <c r="AI232" s="981"/>
      <c r="AJ232" s="1012"/>
      <c r="AK232" s="981"/>
      <c r="AL232" s="981"/>
      <c r="AM232" s="1026"/>
      <c r="AN232" s="1025"/>
      <c r="AO232" s="981"/>
      <c r="AP232" s="981"/>
      <c r="AQ232" s="981"/>
      <c r="AR232" s="981"/>
      <c r="AS232" s="981"/>
      <c r="AT232" s="981"/>
      <c r="AU232" s="1026"/>
      <c r="AW232" s="2755">
        <v>43330</v>
      </c>
      <c r="AX232" s="1011">
        <v>1650</v>
      </c>
      <c r="AY232" s="919">
        <v>101</v>
      </c>
      <c r="AZ232" s="1010">
        <v>42597</v>
      </c>
      <c r="BA232" s="1011">
        <v>5558.2</v>
      </c>
      <c r="BB232" s="1011">
        <v>7.95</v>
      </c>
      <c r="BC232" s="1011">
        <v>1904</v>
      </c>
      <c r="BD232" s="919">
        <v>107</v>
      </c>
      <c r="BI232" s="1010">
        <v>43329</v>
      </c>
      <c r="BJ232" s="919">
        <v>3.28</v>
      </c>
    </row>
    <row r="233" spans="1:62" ht="15" thickBot="1">
      <c r="A233" s="913" t="s">
        <v>496</v>
      </c>
      <c r="B233" s="912">
        <v>41454</v>
      </c>
      <c r="C233" s="910">
        <v>5.18</v>
      </c>
      <c r="AB233" s="1010"/>
      <c r="AC233" s="1011"/>
      <c r="AD233" s="919"/>
      <c r="AF233" s="937">
        <v>42962</v>
      </c>
      <c r="AG233" s="981"/>
      <c r="AH233" s="981"/>
      <c r="AI233" s="981"/>
      <c r="AJ233" s="1012"/>
      <c r="AK233" s="981"/>
      <c r="AL233" s="981"/>
      <c r="AM233" s="1026"/>
      <c r="AN233" s="1029"/>
      <c r="AO233" s="1013"/>
      <c r="AP233" s="1013"/>
      <c r="AQ233" s="1013"/>
      <c r="AR233" s="1013"/>
      <c r="AS233" s="1013"/>
      <c r="AT233" s="1013"/>
      <c r="AU233" s="1030"/>
      <c r="AW233" s="2755">
        <v>43331</v>
      </c>
      <c r="AX233" s="1011">
        <v>1649</v>
      </c>
      <c r="AY233" s="919">
        <v>101</v>
      </c>
      <c r="AZ233" s="1010">
        <v>42598</v>
      </c>
      <c r="BA233" s="1011">
        <v>5558.19</v>
      </c>
      <c r="BB233" s="1011">
        <v>7.97</v>
      </c>
      <c r="BC233" s="1011">
        <v>1903</v>
      </c>
      <c r="BD233" s="919">
        <v>107</v>
      </c>
      <c r="BI233" s="1010">
        <v>43330</v>
      </c>
      <c r="BJ233" s="919">
        <v>2.34</v>
      </c>
    </row>
    <row r="234" spans="1:62" ht="14.5">
      <c r="A234" s="913" t="s">
        <v>496</v>
      </c>
      <c r="B234" s="912">
        <v>41455</v>
      </c>
      <c r="C234" s="910">
        <v>6.49</v>
      </c>
      <c r="AB234" s="1010"/>
      <c r="AC234" s="1011"/>
      <c r="AD234" s="919"/>
      <c r="AF234" s="937">
        <v>42963</v>
      </c>
      <c r="AG234" s="981"/>
      <c r="AH234" s="981"/>
      <c r="AI234" s="981"/>
      <c r="AJ234" s="1012"/>
      <c r="AK234" s="981"/>
      <c r="AL234" s="981"/>
      <c r="AM234" s="1026"/>
      <c r="AW234" s="2755">
        <v>43332</v>
      </c>
      <c r="AX234" s="1011">
        <v>1641</v>
      </c>
      <c r="AY234" s="919">
        <v>101</v>
      </c>
      <c r="AZ234" s="1010">
        <v>42599</v>
      </c>
      <c r="BA234" s="1011">
        <v>5558.27</v>
      </c>
      <c r="BB234" s="1011">
        <v>8.11</v>
      </c>
      <c r="BC234" s="1011">
        <v>1912</v>
      </c>
      <c r="BD234" s="919">
        <v>107</v>
      </c>
      <c r="BI234" s="1010">
        <v>43331</v>
      </c>
      <c r="BJ234" s="919">
        <v>3.21</v>
      </c>
    </row>
    <row r="235" spans="1:62" ht="14.5">
      <c r="A235" s="913" t="s">
        <v>496</v>
      </c>
      <c r="B235" s="912">
        <v>41456</v>
      </c>
      <c r="C235" s="910">
        <v>7.14</v>
      </c>
      <c r="D235" s="910">
        <f>AVERAGE(C235:C265)</f>
        <v>22.958387096774196</v>
      </c>
      <c r="AB235" s="1010"/>
      <c r="AC235" s="1011"/>
      <c r="AD235" s="919"/>
      <c r="AF235" s="937">
        <v>42964</v>
      </c>
      <c r="AG235" s="981"/>
      <c r="AH235" s="981"/>
      <c r="AI235" s="981"/>
      <c r="AJ235" s="1012"/>
      <c r="AK235" s="981"/>
      <c r="AL235" s="981"/>
      <c r="AM235" s="1026"/>
      <c r="AW235" s="2755">
        <v>43333</v>
      </c>
      <c r="AX235" s="1011">
        <v>1631</v>
      </c>
      <c r="AY235" s="919">
        <v>100</v>
      </c>
      <c r="AZ235" s="1010">
        <v>42600</v>
      </c>
      <c r="BA235" s="1011">
        <v>5558.25</v>
      </c>
      <c r="BB235" s="1011">
        <v>8.1199999999999992</v>
      </c>
      <c r="BC235" s="1011">
        <v>1909</v>
      </c>
      <c r="BD235" s="919">
        <v>107</v>
      </c>
      <c r="BI235" s="1010">
        <v>43332</v>
      </c>
      <c r="BJ235" s="919">
        <v>4.2</v>
      </c>
    </row>
    <row r="236" spans="1:62" ht="14.5">
      <c r="A236" s="913" t="s">
        <v>496</v>
      </c>
      <c r="B236" s="912">
        <v>41457</v>
      </c>
      <c r="C236" s="910">
        <v>8.99</v>
      </c>
      <c r="AB236" s="1010"/>
      <c r="AC236" s="1011"/>
      <c r="AD236" s="919"/>
      <c r="AF236" s="937">
        <v>42965</v>
      </c>
      <c r="AG236" s="981"/>
      <c r="AH236" s="981"/>
      <c r="AI236" s="981"/>
      <c r="AJ236" s="1012"/>
      <c r="AK236" s="981"/>
      <c r="AL236" s="981"/>
      <c r="AM236" s="1026"/>
      <c r="AW236" s="2755">
        <v>43334</v>
      </c>
      <c r="AX236" s="1011">
        <v>1630</v>
      </c>
      <c r="AY236" s="919">
        <v>100</v>
      </c>
      <c r="AZ236" s="1010">
        <v>42601</v>
      </c>
      <c r="BA236" s="1011">
        <v>5558.26</v>
      </c>
      <c r="BB236" s="1011">
        <v>8.1999999999999993</v>
      </c>
      <c r="BC236" s="1011">
        <v>1910</v>
      </c>
      <c r="BD236" s="919">
        <v>107</v>
      </c>
      <c r="BI236" s="1010">
        <v>43333</v>
      </c>
      <c r="BJ236" s="919">
        <v>4.24</v>
      </c>
    </row>
    <row r="237" spans="1:62" ht="14.5">
      <c r="A237" s="913" t="s">
        <v>496</v>
      </c>
      <c r="B237" s="912">
        <v>41458</v>
      </c>
      <c r="C237" s="910">
        <v>9.58</v>
      </c>
      <c r="AB237" s="1010"/>
      <c r="AC237" s="1011"/>
      <c r="AD237" s="919"/>
      <c r="AF237" s="937">
        <v>42966</v>
      </c>
      <c r="AG237" s="981"/>
      <c r="AH237" s="981"/>
      <c r="AI237" s="981"/>
      <c r="AJ237" s="1012"/>
      <c r="AK237" s="981"/>
      <c r="AL237" s="981"/>
      <c r="AM237" s="1026"/>
      <c r="AW237" s="2755">
        <v>43335</v>
      </c>
      <c r="AX237" s="1011">
        <v>1630</v>
      </c>
      <c r="AY237" s="919">
        <v>100</v>
      </c>
      <c r="AZ237" s="1010">
        <v>42602</v>
      </c>
      <c r="BA237" s="1011">
        <v>5558.37</v>
      </c>
      <c r="BB237" s="1011">
        <v>8.32</v>
      </c>
      <c r="BC237" s="1011">
        <v>1922</v>
      </c>
      <c r="BD237" s="919">
        <v>107</v>
      </c>
      <c r="BI237" s="1010">
        <v>43334</v>
      </c>
      <c r="BJ237" s="919">
        <v>4.26</v>
      </c>
    </row>
    <row r="238" spans="1:62" ht="14.5">
      <c r="A238" s="913" t="s">
        <v>496</v>
      </c>
      <c r="B238" s="912">
        <v>41459</v>
      </c>
      <c r="C238" s="910">
        <v>7.67</v>
      </c>
      <c r="AB238" s="1010"/>
      <c r="AC238" s="1011"/>
      <c r="AD238" s="919"/>
      <c r="AF238" s="937">
        <v>42967</v>
      </c>
      <c r="AG238" s="981"/>
      <c r="AH238" s="981"/>
      <c r="AI238" s="981"/>
      <c r="AJ238" s="1012"/>
      <c r="AK238" s="981"/>
      <c r="AL238" s="981"/>
      <c r="AM238" s="1026"/>
      <c r="AW238" s="2755">
        <v>43336</v>
      </c>
      <c r="AX238" s="1011">
        <v>1625</v>
      </c>
      <c r="AY238" s="919">
        <v>100</v>
      </c>
      <c r="AZ238" s="1010">
        <v>42603</v>
      </c>
      <c r="BA238" s="1011">
        <v>5558.3</v>
      </c>
      <c r="BB238" s="1011">
        <v>8.32</v>
      </c>
      <c r="BC238" s="1011">
        <v>1915</v>
      </c>
      <c r="BD238" s="919">
        <v>107</v>
      </c>
      <c r="BI238" s="1010">
        <v>43335</v>
      </c>
      <c r="BJ238" s="919">
        <v>4.3099999999999996</v>
      </c>
    </row>
    <row r="239" spans="1:62" ht="14.5">
      <c r="A239" s="913" t="s">
        <v>496</v>
      </c>
      <c r="B239" s="912">
        <v>41460</v>
      </c>
      <c r="C239" s="910">
        <v>7.82</v>
      </c>
      <c r="AB239" s="1010"/>
      <c r="AC239" s="1011"/>
      <c r="AD239" s="919"/>
      <c r="AF239" s="937">
        <v>42968</v>
      </c>
      <c r="AG239" s="981"/>
      <c r="AH239" s="981"/>
      <c r="AI239" s="981"/>
      <c r="AJ239" s="1012"/>
      <c r="AK239" s="981"/>
      <c r="AL239" s="981"/>
      <c r="AM239" s="1026"/>
      <c r="AW239" s="2755">
        <v>43337</v>
      </c>
      <c r="AX239" s="1011">
        <v>1616</v>
      </c>
      <c r="AY239" s="919">
        <v>100</v>
      </c>
      <c r="AZ239" s="1010">
        <v>42604</v>
      </c>
      <c r="BA239" s="1011">
        <v>5558.25</v>
      </c>
      <c r="BB239" s="1011">
        <v>8.32</v>
      </c>
      <c r="BC239" s="1011">
        <v>1909</v>
      </c>
      <c r="BD239" s="919">
        <v>107</v>
      </c>
      <c r="BI239" s="1010">
        <v>43336</v>
      </c>
      <c r="BJ239" s="919">
        <v>3.66</v>
      </c>
    </row>
    <row r="240" spans="1:62" ht="14.5">
      <c r="A240" s="913" t="s">
        <v>496</v>
      </c>
      <c r="B240" s="912">
        <v>41461</v>
      </c>
      <c r="C240" s="910">
        <v>6.81</v>
      </c>
      <c r="AB240" s="1010"/>
      <c r="AC240" s="1011"/>
      <c r="AD240" s="919"/>
      <c r="AF240" s="937">
        <v>42969</v>
      </c>
      <c r="AG240" s="981"/>
      <c r="AH240" s="981"/>
      <c r="AI240" s="981"/>
      <c r="AJ240" s="1012"/>
      <c r="AK240" s="981"/>
      <c r="AL240" s="981"/>
      <c r="AM240" s="1026"/>
      <c r="AW240" s="2755">
        <v>43338</v>
      </c>
      <c r="AX240" s="1011">
        <v>1607</v>
      </c>
      <c r="AY240" s="919">
        <v>99.8</v>
      </c>
      <c r="AZ240" s="1010">
        <v>42605</v>
      </c>
      <c r="BA240" s="1011">
        <v>5558.21</v>
      </c>
      <c r="BB240" s="1011">
        <v>8.32</v>
      </c>
      <c r="BC240" s="1011">
        <v>1905</v>
      </c>
      <c r="BD240" s="919">
        <v>107</v>
      </c>
      <c r="BI240" s="1010">
        <v>43337</v>
      </c>
      <c r="BJ240" s="919">
        <v>3.52</v>
      </c>
    </row>
    <row r="241" spans="1:62" ht="14.5">
      <c r="A241" s="913" t="s">
        <v>496</v>
      </c>
      <c r="B241" s="912">
        <v>41462</v>
      </c>
      <c r="C241" s="910">
        <v>7.52</v>
      </c>
      <c r="AB241" s="1010"/>
      <c r="AC241" s="1011"/>
      <c r="AD241" s="919"/>
      <c r="AF241" s="937">
        <v>42970</v>
      </c>
      <c r="AG241" s="981"/>
      <c r="AH241" s="981"/>
      <c r="AI241" s="981"/>
      <c r="AJ241" s="1012"/>
      <c r="AK241" s="981"/>
      <c r="AL241" s="981"/>
      <c r="AM241" s="1026"/>
      <c r="AW241" s="2755">
        <v>43339</v>
      </c>
      <c r="AX241" s="1011">
        <v>1597</v>
      </c>
      <c r="AY241" s="919">
        <v>99.5</v>
      </c>
      <c r="AZ241" s="1010">
        <v>42606</v>
      </c>
      <c r="BA241" s="1011">
        <v>5558.23</v>
      </c>
      <c r="BB241" s="1011">
        <v>8.41</v>
      </c>
      <c r="BC241" s="1011">
        <v>1907</v>
      </c>
      <c r="BD241" s="919">
        <v>107</v>
      </c>
      <c r="BI241" s="1010">
        <v>43338</v>
      </c>
      <c r="BJ241" s="919">
        <v>3.59</v>
      </c>
    </row>
    <row r="242" spans="1:62" ht="14.5">
      <c r="A242" s="913" t="s">
        <v>496</v>
      </c>
      <c r="B242" s="912">
        <v>41463</v>
      </c>
      <c r="C242" s="910">
        <v>8.9600000000000009</v>
      </c>
      <c r="AB242" s="1010"/>
      <c r="AC242" s="1011"/>
      <c r="AD242" s="919"/>
      <c r="AF242" s="937">
        <v>42971</v>
      </c>
      <c r="AG242" s="981"/>
      <c r="AH242" s="981"/>
      <c r="AI242" s="981"/>
      <c r="AJ242" s="1012"/>
      <c r="AK242" s="981"/>
      <c r="AL242" s="981"/>
      <c r="AM242" s="1026"/>
      <c r="AW242" s="2755">
        <v>43340</v>
      </c>
      <c r="AX242" s="1011">
        <v>1590</v>
      </c>
      <c r="AY242" s="919">
        <v>99.3</v>
      </c>
      <c r="AZ242" s="1010">
        <v>42607</v>
      </c>
      <c r="BA242" s="1011">
        <v>5558.34</v>
      </c>
      <c r="BB242" s="1011">
        <v>8.51</v>
      </c>
      <c r="BC242" s="1011">
        <v>1919</v>
      </c>
      <c r="BD242" s="919">
        <v>107</v>
      </c>
      <c r="BI242" s="1010">
        <v>43339</v>
      </c>
      <c r="BJ242" s="919">
        <v>3.25</v>
      </c>
    </row>
    <row r="243" spans="1:62" ht="14.5">
      <c r="A243" s="913" t="s">
        <v>496</v>
      </c>
      <c r="B243" s="912">
        <v>41464</v>
      </c>
      <c r="C243" s="910">
        <v>9.44</v>
      </c>
      <c r="AB243" s="1010"/>
      <c r="AC243" s="1011"/>
      <c r="AD243" s="919"/>
      <c r="AF243" s="937">
        <v>42972</v>
      </c>
      <c r="AG243" s="981"/>
      <c r="AH243" s="981"/>
      <c r="AI243" s="981"/>
      <c r="AJ243" s="1012"/>
      <c r="AK243" s="981"/>
      <c r="AL243" s="981"/>
      <c r="AM243" s="1026"/>
      <c r="AW243" s="2755">
        <v>43341</v>
      </c>
      <c r="AX243" s="1011">
        <v>1585</v>
      </c>
      <c r="AY243" s="919">
        <v>99.2</v>
      </c>
      <c r="AZ243" s="1010">
        <v>42608</v>
      </c>
      <c r="BA243" s="1011">
        <v>5558.38</v>
      </c>
      <c r="BB243" s="1011">
        <v>8.51</v>
      </c>
      <c r="BC243" s="1011">
        <v>1923</v>
      </c>
      <c r="BD243" s="919">
        <v>107</v>
      </c>
      <c r="BI243" s="1010">
        <v>43340</v>
      </c>
      <c r="BJ243" s="919">
        <v>3.14</v>
      </c>
    </row>
    <row r="244" spans="1:62" ht="14.5">
      <c r="A244" s="913" t="s">
        <v>496</v>
      </c>
      <c r="B244" s="912">
        <v>41465</v>
      </c>
      <c r="C244" s="910">
        <v>9.66</v>
      </c>
      <c r="AB244" s="1010"/>
      <c r="AC244" s="1011"/>
      <c r="AD244" s="919"/>
      <c r="AF244" s="937">
        <v>42973</v>
      </c>
      <c r="AG244" s="981"/>
      <c r="AH244" s="981"/>
      <c r="AI244" s="981"/>
      <c r="AJ244" s="1012"/>
      <c r="AK244" s="981"/>
      <c r="AL244" s="981"/>
      <c r="AM244" s="1026"/>
      <c r="AW244" s="2755">
        <v>43342</v>
      </c>
      <c r="AX244" s="1011">
        <v>1580</v>
      </c>
      <c r="AY244" s="919">
        <v>99.1</v>
      </c>
      <c r="AZ244" s="1010">
        <v>42609</v>
      </c>
      <c r="BA244" s="1011">
        <v>5558.37</v>
      </c>
      <c r="BB244" s="1011">
        <v>8.51</v>
      </c>
      <c r="BC244" s="1011">
        <v>1922</v>
      </c>
      <c r="BD244" s="919">
        <v>107</v>
      </c>
      <c r="BI244" s="1010">
        <v>43341</v>
      </c>
      <c r="BJ244" s="919">
        <v>3.6</v>
      </c>
    </row>
    <row r="245" spans="1:62" ht="14.5">
      <c r="A245" s="913" t="s">
        <v>496</v>
      </c>
      <c r="B245" s="912">
        <v>41466</v>
      </c>
      <c r="C245" s="910">
        <v>22.7</v>
      </c>
      <c r="AB245" s="1010"/>
      <c r="AC245" s="1011"/>
      <c r="AD245" s="919"/>
      <c r="AF245" s="937">
        <v>42974</v>
      </c>
      <c r="AG245" s="981"/>
      <c r="AH245" s="981"/>
      <c r="AI245" s="981"/>
      <c r="AJ245" s="1012"/>
      <c r="AK245" s="981"/>
      <c r="AL245" s="981"/>
      <c r="AM245" s="1026"/>
      <c r="AW245" s="2755">
        <v>43343</v>
      </c>
      <c r="AX245" s="1011">
        <v>1574</v>
      </c>
      <c r="AY245" s="919">
        <v>98.9</v>
      </c>
      <c r="AZ245" s="1010">
        <v>42610</v>
      </c>
      <c r="BA245" s="1011">
        <v>5558.3</v>
      </c>
      <c r="BB245" s="1011">
        <v>8.51</v>
      </c>
      <c r="BC245" s="1011">
        <v>1915</v>
      </c>
      <c r="BD245" s="919">
        <v>107</v>
      </c>
      <c r="BI245" s="1010">
        <v>43342</v>
      </c>
      <c r="BJ245" s="919">
        <v>3.68</v>
      </c>
    </row>
    <row r="246" spans="1:62" ht="14.5">
      <c r="A246" s="913" t="s">
        <v>496</v>
      </c>
      <c r="B246" s="912">
        <v>41467</v>
      </c>
      <c r="C246" s="910">
        <v>50.8</v>
      </c>
      <c r="AB246" s="1010"/>
      <c r="AC246" s="1011"/>
      <c r="AD246" s="919"/>
      <c r="AF246" s="937">
        <v>42975</v>
      </c>
      <c r="AG246" s="981"/>
      <c r="AH246" s="981"/>
      <c r="AI246" s="981"/>
      <c r="AJ246" s="1012"/>
      <c r="AK246" s="981"/>
      <c r="AL246" s="981"/>
      <c r="AM246" s="1026"/>
      <c r="AW246" s="2755">
        <v>43344</v>
      </c>
      <c r="AX246" s="1011">
        <v>1568</v>
      </c>
      <c r="AY246" s="919">
        <v>98.8</v>
      </c>
      <c r="AZ246" s="1010">
        <v>42611</v>
      </c>
      <c r="BA246" s="1011">
        <v>5558.28</v>
      </c>
      <c r="BB246" s="1011">
        <v>8.5299999999999994</v>
      </c>
      <c r="BC246" s="1011">
        <v>1913</v>
      </c>
      <c r="BD246" s="919">
        <v>107</v>
      </c>
      <c r="BI246" s="1010">
        <v>43343</v>
      </c>
      <c r="BJ246" s="919">
        <v>3.81</v>
      </c>
    </row>
    <row r="247" spans="1:62" ht="14.5">
      <c r="A247" s="913" t="s">
        <v>496</v>
      </c>
      <c r="B247" s="912">
        <v>41468</v>
      </c>
      <c r="C247" s="910">
        <v>53.8</v>
      </c>
      <c r="AB247" s="1010"/>
      <c r="AC247" s="1011"/>
      <c r="AD247" s="919"/>
      <c r="AF247" s="937">
        <v>42976</v>
      </c>
      <c r="AG247" s="981"/>
      <c r="AH247" s="981"/>
      <c r="AI247" s="981"/>
      <c r="AJ247" s="1012"/>
      <c r="AK247" s="981"/>
      <c r="AL247" s="981"/>
      <c r="AM247" s="1026"/>
      <c r="AW247" s="2755">
        <v>43345</v>
      </c>
      <c r="AX247" s="1011">
        <v>1560</v>
      </c>
      <c r="AY247" s="919">
        <v>98.5</v>
      </c>
      <c r="AZ247" s="1010">
        <v>42612</v>
      </c>
      <c r="BA247" s="1011">
        <v>5558.3</v>
      </c>
      <c r="BB247" s="1011">
        <v>8.56</v>
      </c>
      <c r="BC247" s="1011">
        <v>1915</v>
      </c>
      <c r="BD247" s="919">
        <v>107</v>
      </c>
      <c r="BI247" s="1010">
        <v>43344</v>
      </c>
      <c r="BJ247" s="919">
        <v>3.92</v>
      </c>
    </row>
    <row r="248" spans="1:62" ht="14.5">
      <c r="A248" s="913" t="s">
        <v>496</v>
      </c>
      <c r="B248" s="912">
        <v>41469</v>
      </c>
      <c r="C248" s="910">
        <v>77.599999999999994</v>
      </c>
      <c r="AB248" s="1010"/>
      <c r="AC248" s="1011"/>
      <c r="AD248" s="919"/>
      <c r="AF248" s="937">
        <v>42977</v>
      </c>
      <c r="AG248" s="981"/>
      <c r="AH248" s="981"/>
      <c r="AI248" s="981"/>
      <c r="AJ248" s="1012"/>
      <c r="AK248" s="981"/>
      <c r="AL248" s="981"/>
      <c r="AM248" s="1026"/>
      <c r="AW248" s="2755">
        <v>43346</v>
      </c>
      <c r="AX248" s="1011">
        <v>1554</v>
      </c>
      <c r="AY248" s="919">
        <v>98.4</v>
      </c>
      <c r="AZ248" s="1010">
        <v>42613</v>
      </c>
      <c r="BA248" s="1011">
        <v>5558.41</v>
      </c>
      <c r="BB248" s="1011">
        <v>8.58</v>
      </c>
      <c r="BC248" s="1011">
        <v>1927</v>
      </c>
      <c r="BD248" s="919">
        <v>107</v>
      </c>
      <c r="BI248" s="1010">
        <v>43345</v>
      </c>
      <c r="BJ248" s="919">
        <v>4.16</v>
      </c>
    </row>
    <row r="249" spans="1:62" ht="14.5">
      <c r="A249" s="913" t="s">
        <v>496</v>
      </c>
      <c r="B249" s="912">
        <v>41470</v>
      </c>
      <c r="C249" s="910">
        <v>64.8</v>
      </c>
      <c r="AB249" s="1010"/>
      <c r="AC249" s="1011"/>
      <c r="AD249" s="919"/>
      <c r="AF249" s="937">
        <v>42978</v>
      </c>
      <c r="AG249" s="981"/>
      <c r="AH249" s="981"/>
      <c r="AI249" s="981"/>
      <c r="AJ249" s="1012"/>
      <c r="AK249" s="981"/>
      <c r="AL249" s="981"/>
      <c r="AM249" s="1026"/>
      <c r="AW249" s="2755">
        <v>43347</v>
      </c>
      <c r="AX249" s="1011">
        <v>1548</v>
      </c>
      <c r="AY249" s="919">
        <v>98.2</v>
      </c>
      <c r="AZ249" s="1010">
        <v>42614</v>
      </c>
      <c r="BA249" s="1011">
        <v>5558.33</v>
      </c>
      <c r="BB249" s="1011">
        <v>8.58</v>
      </c>
      <c r="BC249" s="1011">
        <v>1918</v>
      </c>
      <c r="BD249" s="919">
        <v>107</v>
      </c>
      <c r="BI249" s="1010">
        <v>43346</v>
      </c>
      <c r="BJ249" s="919">
        <v>4.2</v>
      </c>
    </row>
    <row r="250" spans="1:62" ht="14.5">
      <c r="A250" s="913" t="s">
        <v>496</v>
      </c>
      <c r="B250" s="912">
        <v>41471</v>
      </c>
      <c r="C250" s="910">
        <v>56.9</v>
      </c>
      <c r="AB250" s="1010"/>
      <c r="AC250" s="1011"/>
      <c r="AD250" s="919"/>
      <c r="AF250" s="937">
        <v>42979</v>
      </c>
      <c r="AG250" s="981"/>
      <c r="AH250" s="981"/>
      <c r="AI250" s="981"/>
      <c r="AJ250" s="1012"/>
      <c r="AK250" s="981"/>
      <c r="AL250" s="981"/>
      <c r="AM250" s="1026"/>
      <c r="AW250" s="2755">
        <v>43348</v>
      </c>
      <c r="AX250" s="1011">
        <v>1560</v>
      </c>
      <c r="AY250" s="919">
        <v>98.6</v>
      </c>
      <c r="AZ250" s="1010">
        <v>42615</v>
      </c>
      <c r="BA250" s="1011">
        <v>5558.28</v>
      </c>
      <c r="BB250" s="1011">
        <v>8.58</v>
      </c>
      <c r="BC250" s="1011">
        <v>1913</v>
      </c>
      <c r="BD250" s="919">
        <v>107</v>
      </c>
      <c r="BI250" s="1010">
        <v>43347</v>
      </c>
      <c r="BJ250" s="919">
        <v>4.9400000000000004</v>
      </c>
    </row>
    <row r="251" spans="1:62" ht="14.5">
      <c r="A251" s="913" t="s">
        <v>496</v>
      </c>
      <c r="B251" s="912">
        <v>41472</v>
      </c>
      <c r="C251" s="910">
        <v>44.4</v>
      </c>
      <c r="AB251" s="1010"/>
      <c r="AC251" s="1011"/>
      <c r="AD251" s="919"/>
      <c r="AF251" s="937">
        <v>42980</v>
      </c>
      <c r="AG251" s="981"/>
      <c r="AH251" s="981"/>
      <c r="AI251" s="981"/>
      <c r="AJ251" s="1012"/>
      <c r="AK251" s="981"/>
      <c r="AL251" s="981"/>
      <c r="AM251" s="1026"/>
      <c r="AW251" s="2755">
        <v>43349</v>
      </c>
      <c r="AX251" s="1011">
        <v>1639</v>
      </c>
      <c r="AY251" s="919">
        <v>101</v>
      </c>
      <c r="AZ251" s="1010">
        <v>42616</v>
      </c>
      <c r="BA251" s="1011">
        <v>5558.26</v>
      </c>
      <c r="BB251" s="1011">
        <v>8.58</v>
      </c>
      <c r="BC251" s="1011">
        <v>1910</v>
      </c>
      <c r="BD251" s="919">
        <v>107</v>
      </c>
      <c r="BI251" s="1010">
        <v>43348</v>
      </c>
      <c r="BJ251" s="919">
        <v>3.09</v>
      </c>
    </row>
    <row r="252" spans="1:62" ht="14.5">
      <c r="A252" s="913" t="s">
        <v>496</v>
      </c>
      <c r="B252" s="912">
        <v>41473</v>
      </c>
      <c r="C252" s="910">
        <v>34.6</v>
      </c>
      <c r="AB252" s="1010"/>
      <c r="AC252" s="1011"/>
      <c r="AD252" s="919"/>
      <c r="AF252" s="937">
        <v>42981</v>
      </c>
      <c r="AG252" s="981"/>
      <c r="AH252" s="981"/>
      <c r="AI252" s="981"/>
      <c r="AJ252" s="1012"/>
      <c r="AK252" s="981"/>
      <c r="AL252" s="981"/>
      <c r="AM252" s="1026"/>
      <c r="AW252" s="2755">
        <v>43350</v>
      </c>
      <c r="AX252" s="1011">
        <v>1678</v>
      </c>
      <c r="AY252" s="919">
        <v>102</v>
      </c>
      <c r="AZ252" s="1010">
        <v>42617</v>
      </c>
      <c r="BA252" s="1011">
        <v>5558.27</v>
      </c>
      <c r="BB252" s="1011">
        <v>8.58</v>
      </c>
      <c r="BC252" s="1011">
        <v>1911</v>
      </c>
      <c r="BD252" s="919">
        <v>107</v>
      </c>
      <c r="BI252" s="1010">
        <v>43349</v>
      </c>
      <c r="BJ252" s="919">
        <v>2.2000000000000002</v>
      </c>
    </row>
    <row r="253" spans="1:62" ht="14.5">
      <c r="A253" s="913" t="s">
        <v>496</v>
      </c>
      <c r="B253" s="912">
        <v>41474</v>
      </c>
      <c r="C253" s="910">
        <v>29.6</v>
      </c>
      <c r="AB253" s="1010"/>
      <c r="AC253" s="1011"/>
      <c r="AD253" s="919"/>
      <c r="AF253" s="937">
        <v>42982</v>
      </c>
      <c r="AG253" s="981"/>
      <c r="AH253" s="981"/>
      <c r="AI253" s="981"/>
      <c r="AJ253" s="1012"/>
      <c r="AK253" s="981"/>
      <c r="AL253" s="981"/>
      <c r="AM253" s="1026"/>
      <c r="AW253" s="2755">
        <v>43351</v>
      </c>
      <c r="AX253" s="1011">
        <v>1688</v>
      </c>
      <c r="AY253" s="919">
        <v>102</v>
      </c>
      <c r="AZ253" s="1010">
        <v>42618</v>
      </c>
      <c r="BA253" s="1011">
        <v>5558.26</v>
      </c>
      <c r="BB253" s="1011">
        <v>8.58</v>
      </c>
      <c r="BC253" s="1011">
        <v>1911</v>
      </c>
      <c r="BD253" s="919">
        <v>107</v>
      </c>
      <c r="BI253" s="1010">
        <v>43350</v>
      </c>
      <c r="BJ253" s="919">
        <v>4.29</v>
      </c>
    </row>
    <row r="254" spans="1:62" ht="14.5">
      <c r="A254" s="913" t="s">
        <v>496</v>
      </c>
      <c r="B254" s="912">
        <v>41475</v>
      </c>
      <c r="C254" s="910">
        <v>26.7</v>
      </c>
      <c r="AB254" s="1010"/>
      <c r="AC254" s="1011"/>
      <c r="AD254" s="919"/>
      <c r="AF254" s="937">
        <v>42983</v>
      </c>
      <c r="AG254" s="981"/>
      <c r="AH254" s="981"/>
      <c r="AI254" s="981"/>
      <c r="AJ254" s="1012"/>
      <c r="AK254" s="981"/>
      <c r="AL254" s="981"/>
      <c r="AM254" s="1026"/>
      <c r="AW254" s="2755">
        <v>43352</v>
      </c>
      <c r="AX254" s="1011">
        <v>1696</v>
      </c>
      <c r="AY254" s="919">
        <v>102</v>
      </c>
      <c r="AZ254" s="1010">
        <v>42619</v>
      </c>
      <c r="BA254" s="1011">
        <v>5558.22</v>
      </c>
      <c r="BB254" s="1011">
        <v>8.58</v>
      </c>
      <c r="BC254" s="1011">
        <v>1906</v>
      </c>
      <c r="BD254" s="919">
        <v>107</v>
      </c>
      <c r="BI254" s="1010">
        <v>43351</v>
      </c>
      <c r="BJ254" s="919">
        <v>4.2</v>
      </c>
    </row>
    <row r="255" spans="1:62" ht="14.5">
      <c r="A255" s="913" t="s">
        <v>496</v>
      </c>
      <c r="B255" s="912">
        <v>41476</v>
      </c>
      <c r="C255" s="910">
        <v>24.4</v>
      </c>
      <c r="AB255" s="1010"/>
      <c r="AC255" s="1011"/>
      <c r="AD255" s="919"/>
      <c r="AF255" s="937">
        <v>42984</v>
      </c>
      <c r="AG255" s="981"/>
      <c r="AH255" s="981"/>
      <c r="AI255" s="981"/>
      <c r="AJ255" s="1012"/>
      <c r="AK255" s="981"/>
      <c r="AL255" s="981"/>
      <c r="AM255" s="1026"/>
      <c r="AW255" s="2755">
        <v>43353</v>
      </c>
      <c r="AX255" s="1011">
        <v>1698</v>
      </c>
      <c r="AY255" s="919">
        <v>102</v>
      </c>
      <c r="AZ255" s="1010">
        <v>42620</v>
      </c>
      <c r="BA255" s="1011">
        <v>5558.11</v>
      </c>
      <c r="BB255" s="1011">
        <v>8.58</v>
      </c>
      <c r="BC255" s="1011">
        <v>1894</v>
      </c>
      <c r="BD255" s="919">
        <v>106</v>
      </c>
      <c r="BI255" s="1010">
        <v>43352</v>
      </c>
      <c r="BJ255" s="919">
        <v>4.1399999999999997</v>
      </c>
    </row>
    <row r="256" spans="1:62" ht="14.5">
      <c r="A256" s="913" t="s">
        <v>496</v>
      </c>
      <c r="B256" s="912">
        <v>41477</v>
      </c>
      <c r="C256" s="910">
        <v>21.9</v>
      </c>
      <c r="AB256" s="1010"/>
      <c r="AC256" s="1011"/>
      <c r="AD256" s="919"/>
      <c r="AF256" s="937">
        <v>42985</v>
      </c>
      <c r="AG256" s="981"/>
      <c r="AH256" s="981"/>
      <c r="AI256" s="981"/>
      <c r="AJ256" s="1012"/>
      <c r="AK256" s="981"/>
      <c r="AL256" s="981"/>
      <c r="AM256" s="1026"/>
      <c r="AW256" s="2755">
        <v>43354</v>
      </c>
      <c r="AX256" s="1011">
        <v>1678</v>
      </c>
      <c r="AY256" s="919">
        <v>102</v>
      </c>
      <c r="AZ256" s="1010">
        <v>42621</v>
      </c>
      <c r="BA256" s="1011">
        <v>5557.94</v>
      </c>
      <c r="BB256" s="1011">
        <v>8.58</v>
      </c>
      <c r="BC256" s="1011">
        <v>1876</v>
      </c>
      <c r="BD256" s="919">
        <v>106</v>
      </c>
      <c r="BI256" s="1010">
        <v>43353</v>
      </c>
      <c r="BJ256" s="919">
        <v>7.05</v>
      </c>
    </row>
    <row r="257" spans="1:62" ht="14.5">
      <c r="A257" s="913" t="s">
        <v>496</v>
      </c>
      <c r="B257" s="912">
        <v>41478</v>
      </c>
      <c r="C257" s="910">
        <v>19.899999999999999</v>
      </c>
      <c r="AB257" s="1010"/>
      <c r="AC257" s="1011"/>
      <c r="AD257" s="919"/>
      <c r="AF257" s="937">
        <v>42986</v>
      </c>
      <c r="AG257" s="981"/>
      <c r="AH257" s="981"/>
      <c r="AI257" s="981"/>
      <c r="AJ257" s="1012"/>
      <c r="AK257" s="981"/>
      <c r="AL257" s="981"/>
      <c r="AM257" s="1026"/>
      <c r="AW257" s="2755">
        <v>43355</v>
      </c>
      <c r="AX257" s="1011">
        <v>1658</v>
      </c>
      <c r="AY257" s="919">
        <v>101</v>
      </c>
      <c r="AZ257" s="1010">
        <v>42622</v>
      </c>
      <c r="BA257" s="1011">
        <v>5557.73</v>
      </c>
      <c r="BB257" s="1011">
        <v>8.58</v>
      </c>
      <c r="BC257" s="1011">
        <v>1854</v>
      </c>
      <c r="BD257" s="919">
        <v>105</v>
      </c>
      <c r="BI257" s="1010">
        <v>43354</v>
      </c>
      <c r="BJ257" s="919">
        <v>12.3</v>
      </c>
    </row>
    <row r="258" spans="1:62" ht="14.5">
      <c r="A258" s="913" t="s">
        <v>496</v>
      </c>
      <c r="B258" s="912">
        <v>41479</v>
      </c>
      <c r="C258" s="910">
        <v>18.600000000000001</v>
      </c>
      <c r="AB258" s="1010"/>
      <c r="AC258" s="1011"/>
      <c r="AD258" s="919"/>
      <c r="AF258" s="937">
        <v>42987</v>
      </c>
      <c r="AG258" s="981"/>
      <c r="AH258" s="981"/>
      <c r="AI258" s="981"/>
      <c r="AJ258" s="1012"/>
      <c r="AK258" s="981"/>
      <c r="AL258" s="981"/>
      <c r="AM258" s="1026"/>
      <c r="AW258" s="2755">
        <v>43356</v>
      </c>
      <c r="AX258" s="1011">
        <v>1636</v>
      </c>
      <c r="AY258" s="919">
        <v>101</v>
      </c>
      <c r="AZ258" s="1010">
        <v>42623</v>
      </c>
      <c r="BA258" s="1011">
        <v>5557.55</v>
      </c>
      <c r="BB258" s="1011">
        <v>8.58</v>
      </c>
      <c r="BC258" s="1011">
        <v>1835</v>
      </c>
      <c r="BD258" s="919">
        <v>105</v>
      </c>
      <c r="BI258" s="1010">
        <v>43355</v>
      </c>
      <c r="BJ258" s="919">
        <v>11.5</v>
      </c>
    </row>
    <row r="259" spans="1:62" ht="14.5">
      <c r="A259" s="913" t="s">
        <v>496</v>
      </c>
      <c r="B259" s="912">
        <v>41480</v>
      </c>
      <c r="C259" s="910">
        <v>10.7</v>
      </c>
      <c r="AB259" s="1010"/>
      <c r="AC259" s="1011"/>
      <c r="AD259" s="919"/>
      <c r="AF259" s="937">
        <v>42988</v>
      </c>
      <c r="AG259" s="981"/>
      <c r="AH259" s="981"/>
      <c r="AI259" s="981"/>
      <c r="AJ259" s="1012"/>
      <c r="AK259" s="981"/>
      <c r="AL259" s="981"/>
      <c r="AM259" s="1026"/>
      <c r="AW259" s="2755">
        <v>43357</v>
      </c>
      <c r="AX259" s="1011">
        <v>1626</v>
      </c>
      <c r="AY259" s="919">
        <v>100</v>
      </c>
      <c r="AZ259" s="1010">
        <v>42624</v>
      </c>
      <c r="BA259" s="1011">
        <v>5557.37</v>
      </c>
      <c r="BB259" s="1011">
        <v>8.58</v>
      </c>
      <c r="BC259" s="1011">
        <v>1817</v>
      </c>
      <c r="BD259" s="919">
        <v>104</v>
      </c>
      <c r="BI259" s="1010">
        <v>43356</v>
      </c>
      <c r="BJ259" s="919">
        <v>7.31</v>
      </c>
    </row>
    <row r="260" spans="1:62" ht="14.5">
      <c r="A260" s="913" t="s">
        <v>496</v>
      </c>
      <c r="B260" s="912">
        <v>41481</v>
      </c>
      <c r="C260" s="910">
        <v>8.51</v>
      </c>
      <c r="AB260" s="1010"/>
      <c r="AC260" s="1011"/>
      <c r="AD260" s="919"/>
      <c r="AF260" s="937">
        <v>42989</v>
      </c>
      <c r="AG260" s="981"/>
      <c r="AH260" s="981"/>
      <c r="AI260" s="981"/>
      <c r="AJ260" s="1012"/>
      <c r="AK260" s="981"/>
      <c r="AL260" s="981"/>
      <c r="AM260" s="1026"/>
      <c r="AW260" s="2755">
        <v>43358</v>
      </c>
      <c r="AX260" s="1011">
        <v>1619</v>
      </c>
      <c r="AY260" s="919">
        <v>100</v>
      </c>
      <c r="AZ260" s="1010">
        <v>42625</v>
      </c>
      <c r="BA260" s="1011">
        <v>5557.2</v>
      </c>
      <c r="BB260" s="1011">
        <v>8.58</v>
      </c>
      <c r="BC260" s="1011">
        <v>1799</v>
      </c>
      <c r="BD260" s="919">
        <v>104</v>
      </c>
      <c r="BI260" s="1010">
        <v>43357</v>
      </c>
      <c r="BJ260" s="919">
        <v>3.59</v>
      </c>
    </row>
    <row r="261" spans="1:62" ht="14.5">
      <c r="A261" s="913" t="s">
        <v>496</v>
      </c>
      <c r="B261" s="912">
        <v>41482</v>
      </c>
      <c r="C261" s="910">
        <v>8.61</v>
      </c>
      <c r="AB261" s="1010"/>
      <c r="AC261" s="1011"/>
      <c r="AD261" s="919"/>
      <c r="AF261" s="937">
        <v>42990</v>
      </c>
      <c r="AG261" s="981"/>
      <c r="AH261" s="981"/>
      <c r="AI261" s="981"/>
      <c r="AJ261" s="1012"/>
      <c r="AK261" s="981"/>
      <c r="AL261" s="981"/>
      <c r="AM261" s="1026"/>
      <c r="AW261" s="2755">
        <v>43359</v>
      </c>
      <c r="AX261" s="1011">
        <v>1617</v>
      </c>
      <c r="AY261" s="919">
        <v>100</v>
      </c>
      <c r="AZ261" s="1010">
        <v>42626</v>
      </c>
      <c r="BA261" s="1011">
        <v>5557.11</v>
      </c>
      <c r="BB261" s="1011">
        <v>8.65</v>
      </c>
      <c r="BC261" s="1011">
        <v>1790</v>
      </c>
      <c r="BD261" s="919">
        <v>103</v>
      </c>
      <c r="BI261" s="1010">
        <v>43358</v>
      </c>
      <c r="BJ261" s="919">
        <v>3.6</v>
      </c>
    </row>
    <row r="262" spans="1:62" ht="14.5">
      <c r="A262" s="913" t="s">
        <v>496</v>
      </c>
      <c r="B262" s="912">
        <v>41483</v>
      </c>
      <c r="C262" s="910">
        <v>12.1</v>
      </c>
      <c r="AB262" s="1010"/>
      <c r="AC262" s="1011"/>
      <c r="AD262" s="919"/>
      <c r="AF262" s="937">
        <v>42991</v>
      </c>
      <c r="AG262" s="981"/>
      <c r="AH262" s="981"/>
      <c r="AI262" s="981"/>
      <c r="AJ262" s="1012"/>
      <c r="AK262" s="981"/>
      <c r="AL262" s="981"/>
      <c r="AM262" s="1026"/>
      <c r="AW262" s="2755">
        <v>43360</v>
      </c>
      <c r="AX262" s="1011">
        <v>1611</v>
      </c>
      <c r="AY262" s="919">
        <v>99.8</v>
      </c>
      <c r="AZ262" s="1010">
        <v>42627</v>
      </c>
      <c r="BA262" s="1011">
        <v>5557.09</v>
      </c>
      <c r="BB262" s="1011">
        <v>8.66</v>
      </c>
      <c r="BC262" s="1011">
        <v>1788</v>
      </c>
      <c r="BD262" s="919">
        <v>103</v>
      </c>
      <c r="BI262" s="1010">
        <v>43359</v>
      </c>
      <c r="BJ262" s="919">
        <v>3.59</v>
      </c>
    </row>
    <row r="263" spans="1:62" ht="15" thickBot="1">
      <c r="A263" s="913" t="s">
        <v>496</v>
      </c>
      <c r="B263" s="912">
        <v>41484</v>
      </c>
      <c r="C263" s="910">
        <v>13.2</v>
      </c>
      <c r="AB263" s="1010"/>
      <c r="AC263" s="1011"/>
      <c r="AD263" s="919"/>
      <c r="AF263" s="937">
        <v>42992</v>
      </c>
      <c r="AG263" s="1013"/>
      <c r="AH263" s="1013"/>
      <c r="AI263" s="1013"/>
      <c r="AJ263" s="1012"/>
      <c r="AK263" s="1013"/>
      <c r="AL263" s="1013"/>
      <c r="AM263" s="1030"/>
      <c r="AW263" s="2755">
        <v>43361</v>
      </c>
      <c r="AX263" s="1011">
        <v>1605</v>
      </c>
      <c r="AY263" s="919">
        <v>99.7</v>
      </c>
      <c r="AZ263" s="1010">
        <v>42628</v>
      </c>
      <c r="BA263" s="1011">
        <v>5557.06</v>
      </c>
      <c r="BB263" s="1011">
        <v>8.66</v>
      </c>
      <c r="BC263" s="1011">
        <v>1785</v>
      </c>
      <c r="BD263" s="919">
        <v>103</v>
      </c>
      <c r="BI263" s="1010">
        <v>43360</v>
      </c>
      <c r="BJ263" s="919">
        <v>3.06</v>
      </c>
    </row>
    <row r="264" spans="1:62" ht="14.5">
      <c r="A264" s="913" t="s">
        <v>496</v>
      </c>
      <c r="B264" s="912">
        <v>41485</v>
      </c>
      <c r="C264" s="910">
        <v>15.3</v>
      </c>
      <c r="AB264" s="1010"/>
      <c r="AC264" s="1011"/>
      <c r="AD264" s="919"/>
      <c r="AF264" s="937">
        <v>42993</v>
      </c>
      <c r="AG264" s="1022"/>
      <c r="AH264" s="1022"/>
      <c r="AI264" s="1022"/>
      <c r="AJ264" s="1012"/>
      <c r="AK264" s="1022"/>
      <c r="AL264" s="1022"/>
      <c r="AM264" s="911"/>
      <c r="AW264" s="2755">
        <v>43362</v>
      </c>
      <c r="AX264" s="1011">
        <v>1601</v>
      </c>
      <c r="AY264" s="919">
        <v>99.6</v>
      </c>
      <c r="AZ264" s="1010">
        <v>42629</v>
      </c>
      <c r="BA264" s="1011">
        <v>5557</v>
      </c>
      <c r="BB264" s="1011">
        <v>8.66</v>
      </c>
      <c r="BC264" s="1011">
        <v>1779</v>
      </c>
      <c r="BD264" s="919">
        <v>103</v>
      </c>
      <c r="BI264" s="1010">
        <v>43361</v>
      </c>
      <c r="BJ264" s="919">
        <v>2.4</v>
      </c>
    </row>
    <row r="265" spans="1:62" ht="14.5">
      <c r="A265" s="913" t="s">
        <v>496</v>
      </c>
      <c r="B265" s="912">
        <v>41486</v>
      </c>
      <c r="C265" s="910">
        <v>13</v>
      </c>
      <c r="AB265" s="1010"/>
      <c r="AC265" s="1011"/>
      <c r="AD265" s="919"/>
      <c r="AF265" s="937">
        <v>42994</v>
      </c>
      <c r="AG265" s="1022"/>
      <c r="AH265" s="1022"/>
      <c r="AI265" s="1022"/>
      <c r="AJ265" s="1012"/>
      <c r="AK265" s="1022"/>
      <c r="AL265" s="1022"/>
      <c r="AM265" s="911"/>
      <c r="AW265" s="2755">
        <v>43363</v>
      </c>
      <c r="AX265" s="1011">
        <v>1601</v>
      </c>
      <c r="AY265" s="919">
        <v>99.6</v>
      </c>
      <c r="AZ265" s="1010">
        <v>42630</v>
      </c>
      <c r="BA265" s="1011">
        <v>5556.96</v>
      </c>
      <c r="BB265" s="1011">
        <v>8.66</v>
      </c>
      <c r="BC265" s="1011">
        <v>1774</v>
      </c>
      <c r="BD265" s="919">
        <v>103</v>
      </c>
      <c r="BI265" s="1010">
        <v>43362</v>
      </c>
      <c r="BJ265" s="919">
        <v>2.4300000000000002</v>
      </c>
    </row>
    <row r="266" spans="1:62" ht="14.5">
      <c r="A266" s="913" t="s">
        <v>496</v>
      </c>
      <c r="B266" s="912">
        <v>41487</v>
      </c>
      <c r="C266" s="910">
        <v>7.83</v>
      </c>
      <c r="D266" s="910">
        <f>AVERAGE(C266:C296)</f>
        <v>17.107419354838711</v>
      </c>
      <c r="AB266" s="1010"/>
      <c r="AC266" s="1011"/>
      <c r="AD266" s="919"/>
      <c r="AF266" s="937">
        <v>42995</v>
      </c>
      <c r="AG266" s="1022"/>
      <c r="AH266" s="1022"/>
      <c r="AI266" s="1022"/>
      <c r="AJ266" s="1012"/>
      <c r="AK266" s="1022"/>
      <c r="AL266" s="1022"/>
      <c r="AM266" s="911"/>
      <c r="AW266" s="2755">
        <v>43364</v>
      </c>
      <c r="AX266" s="1011">
        <v>1594</v>
      </c>
      <c r="AY266" s="919">
        <v>99.4</v>
      </c>
      <c r="AZ266" s="1010">
        <v>42631</v>
      </c>
      <c r="BA266" s="1011">
        <v>5556.91</v>
      </c>
      <c r="BB266" s="1011">
        <v>8.66</v>
      </c>
      <c r="BC266" s="1011">
        <v>1769</v>
      </c>
      <c r="BD266" s="919">
        <v>103</v>
      </c>
      <c r="BI266" s="1010">
        <v>43363</v>
      </c>
      <c r="BJ266" s="919">
        <v>3.01</v>
      </c>
    </row>
    <row r="267" spans="1:62" ht="14.5">
      <c r="A267" s="913" t="s">
        <v>496</v>
      </c>
      <c r="B267" s="912">
        <v>41488</v>
      </c>
      <c r="C267" s="910">
        <v>6.88</v>
      </c>
      <c r="AB267" s="1010"/>
      <c r="AC267" s="1011"/>
      <c r="AD267" s="919"/>
      <c r="AF267" s="937">
        <v>42996</v>
      </c>
      <c r="AG267" s="1022"/>
      <c r="AH267" s="1022"/>
      <c r="AI267" s="1022"/>
      <c r="AJ267" s="1012"/>
      <c r="AK267" s="1022"/>
      <c r="AL267" s="1022"/>
      <c r="AM267" s="911"/>
      <c r="AW267" s="2755">
        <v>43365</v>
      </c>
      <c r="AX267" s="1011">
        <v>1588</v>
      </c>
      <c r="AY267" s="919">
        <v>99.2</v>
      </c>
      <c r="AZ267" s="1010">
        <v>42632</v>
      </c>
      <c r="BA267" s="1011">
        <v>5556.85</v>
      </c>
      <c r="BB267" s="1011">
        <v>8.66</v>
      </c>
      <c r="BC267" s="1011">
        <v>1763</v>
      </c>
      <c r="BD267" s="919">
        <v>103</v>
      </c>
      <c r="BI267" s="1010">
        <v>43364</v>
      </c>
      <c r="BJ267" s="919">
        <v>3.6</v>
      </c>
    </row>
    <row r="268" spans="1:62" ht="14.5">
      <c r="A268" s="913" t="s">
        <v>496</v>
      </c>
      <c r="B268" s="912">
        <v>41489</v>
      </c>
      <c r="C268" s="910">
        <v>7.04</v>
      </c>
      <c r="AB268" s="1010"/>
      <c r="AC268" s="1011"/>
      <c r="AD268" s="919"/>
      <c r="AF268" s="937">
        <v>42997</v>
      </c>
      <c r="AG268" s="1022"/>
      <c r="AH268" s="1022"/>
      <c r="AI268" s="1022"/>
      <c r="AJ268" s="1012"/>
      <c r="AK268" s="1022"/>
      <c r="AL268" s="1022"/>
      <c r="AM268" s="911"/>
      <c r="AW268" s="2755">
        <v>43366</v>
      </c>
      <c r="AX268" s="1011">
        <v>1581</v>
      </c>
      <c r="AY268" s="919">
        <v>99.1</v>
      </c>
      <c r="AZ268" s="1010">
        <v>42633</v>
      </c>
      <c r="BA268" s="1011">
        <v>5556.76</v>
      </c>
      <c r="BB268" s="1011">
        <v>8.66</v>
      </c>
      <c r="BC268" s="1011">
        <v>1754</v>
      </c>
      <c r="BD268" s="919">
        <v>102</v>
      </c>
      <c r="BI268" s="1010">
        <v>43365</v>
      </c>
      <c r="BJ268" s="919">
        <v>3.66</v>
      </c>
    </row>
    <row r="269" spans="1:62" ht="14.5">
      <c r="A269" s="913" t="s">
        <v>496</v>
      </c>
      <c r="B269" s="912">
        <v>41490</v>
      </c>
      <c r="C269" s="910">
        <v>6.53</v>
      </c>
      <c r="AB269" s="1010"/>
      <c r="AC269" s="1011"/>
      <c r="AD269" s="919"/>
      <c r="AF269" s="937">
        <v>42998</v>
      </c>
      <c r="AG269" s="1022"/>
      <c r="AH269" s="1022"/>
      <c r="AI269" s="1022"/>
      <c r="AJ269" s="1012"/>
      <c r="AK269" s="1022"/>
      <c r="AL269" s="1022"/>
      <c r="AM269" s="911"/>
      <c r="AW269" s="2755">
        <v>43367</v>
      </c>
      <c r="AX269" s="1011">
        <v>1571</v>
      </c>
      <c r="AY269" s="919">
        <v>98.8</v>
      </c>
      <c r="AZ269" s="1010">
        <v>42634</v>
      </c>
      <c r="BA269" s="1011">
        <v>5556.63</v>
      </c>
      <c r="BB269" s="1011">
        <v>8.66</v>
      </c>
      <c r="BC269" s="1011">
        <v>1740</v>
      </c>
      <c r="BD269" s="919">
        <v>102</v>
      </c>
      <c r="BI269" s="1010">
        <v>43366</v>
      </c>
      <c r="BJ269" s="919">
        <v>3.99</v>
      </c>
    </row>
    <row r="270" spans="1:62" ht="14.5">
      <c r="A270" s="913" t="s">
        <v>496</v>
      </c>
      <c r="B270" s="912">
        <v>41491</v>
      </c>
      <c r="C270" s="910">
        <v>7.45</v>
      </c>
      <c r="AB270" s="1010"/>
      <c r="AC270" s="1011"/>
      <c r="AD270" s="919"/>
      <c r="AF270" s="937">
        <v>42999</v>
      </c>
      <c r="AG270" s="1022"/>
      <c r="AH270" s="1022"/>
      <c r="AI270" s="1022"/>
      <c r="AJ270" s="1012"/>
      <c r="AK270" s="1022"/>
      <c r="AL270" s="1022"/>
      <c r="AM270" s="911"/>
      <c r="AW270" s="2755">
        <v>43368</v>
      </c>
      <c r="AX270" s="1011">
        <v>1561</v>
      </c>
      <c r="AY270" s="919">
        <v>98.6</v>
      </c>
      <c r="AZ270" s="1010">
        <v>42635</v>
      </c>
      <c r="BA270" s="1011">
        <v>5556.49</v>
      </c>
      <c r="BB270" s="1011">
        <v>8.66</v>
      </c>
      <c r="BC270" s="1011">
        <v>1726</v>
      </c>
      <c r="BD270" s="919">
        <v>101</v>
      </c>
      <c r="BI270" s="1010">
        <v>43367</v>
      </c>
      <c r="BJ270" s="919">
        <v>4.01</v>
      </c>
    </row>
    <row r="271" spans="1:62" ht="14.5">
      <c r="A271" s="913" t="s">
        <v>496</v>
      </c>
      <c r="B271" s="912">
        <v>41492</v>
      </c>
      <c r="C271" s="910">
        <v>11.5</v>
      </c>
      <c r="AB271" s="1010"/>
      <c r="AC271" s="1011"/>
      <c r="AD271" s="919"/>
      <c r="AF271" s="937">
        <v>43000</v>
      </c>
      <c r="AG271" s="1022"/>
      <c r="AH271" s="1022"/>
      <c r="AI271" s="1022"/>
      <c r="AJ271" s="1012"/>
      <c r="AK271" s="1022"/>
      <c r="AL271" s="1022"/>
      <c r="AM271" s="911"/>
      <c r="AW271" s="2755">
        <v>43369</v>
      </c>
      <c r="AX271" s="1011">
        <v>1555</v>
      </c>
      <c r="AY271" s="919">
        <v>98.4</v>
      </c>
      <c r="AZ271" s="1010">
        <v>42636</v>
      </c>
      <c r="BA271" s="1011">
        <v>5556.39</v>
      </c>
      <c r="BB271" s="1011">
        <v>8.66</v>
      </c>
      <c r="BC271" s="1011">
        <v>1715</v>
      </c>
      <c r="BD271" s="919">
        <v>101</v>
      </c>
      <c r="BI271" s="1010">
        <v>43368</v>
      </c>
      <c r="BJ271" s="919">
        <v>3.63</v>
      </c>
    </row>
    <row r="272" spans="1:62" ht="14.5">
      <c r="A272" s="913" t="s">
        <v>496</v>
      </c>
      <c r="B272" s="912">
        <v>41493</v>
      </c>
      <c r="C272" s="910">
        <v>13.3</v>
      </c>
      <c r="AB272" s="1010"/>
      <c r="AC272" s="1011"/>
      <c r="AD272" s="919"/>
      <c r="AF272" s="937">
        <v>43001</v>
      </c>
      <c r="AG272" s="1022"/>
      <c r="AH272" s="1022"/>
      <c r="AI272" s="1022"/>
      <c r="AJ272" s="1012"/>
      <c r="AK272" s="1022"/>
      <c r="AL272" s="1022"/>
      <c r="AM272" s="911"/>
      <c r="AW272" s="2755">
        <v>43370</v>
      </c>
      <c r="AX272" s="1011">
        <v>1552</v>
      </c>
      <c r="AY272" s="919">
        <v>98.4</v>
      </c>
      <c r="AZ272" s="1010">
        <v>42637</v>
      </c>
      <c r="BA272" s="1011">
        <v>5556.26</v>
      </c>
      <c r="BB272" s="1011">
        <v>8.66</v>
      </c>
      <c r="BC272" s="1011">
        <v>1702</v>
      </c>
      <c r="BD272" s="919">
        <v>101</v>
      </c>
      <c r="BI272" s="1010">
        <v>43369</v>
      </c>
      <c r="BJ272" s="919">
        <v>3.14</v>
      </c>
    </row>
    <row r="273" spans="1:62" ht="14.5">
      <c r="A273" s="913" t="s">
        <v>496</v>
      </c>
      <c r="B273" s="912">
        <v>41494</v>
      </c>
      <c r="C273" s="910">
        <v>12.6</v>
      </c>
      <c r="AB273" s="1010"/>
      <c r="AC273" s="1011"/>
      <c r="AD273" s="919"/>
      <c r="AF273" s="937">
        <v>43002</v>
      </c>
      <c r="AG273" s="1022"/>
      <c r="AH273" s="1022"/>
      <c r="AI273" s="1022"/>
      <c r="AJ273" s="1012"/>
      <c r="AK273" s="1022"/>
      <c r="AL273" s="1022"/>
      <c r="AM273" s="911"/>
      <c r="AW273" s="2755">
        <v>43371</v>
      </c>
      <c r="AX273" s="1011">
        <v>1546</v>
      </c>
      <c r="AY273" s="919">
        <v>98.2</v>
      </c>
      <c r="AZ273" s="1010">
        <v>42638</v>
      </c>
      <c r="BA273" s="1011">
        <v>5556.12</v>
      </c>
      <c r="BB273" s="1011">
        <v>8.66</v>
      </c>
      <c r="BC273" s="1011">
        <v>1687</v>
      </c>
      <c r="BD273" s="919">
        <v>100</v>
      </c>
      <c r="BI273" s="1010">
        <v>43370</v>
      </c>
      <c r="BJ273" s="919">
        <v>3.08</v>
      </c>
    </row>
    <row r="274" spans="1:62" ht="14.5">
      <c r="A274" s="913" t="s">
        <v>496</v>
      </c>
      <c r="B274" s="912">
        <v>41495</v>
      </c>
      <c r="C274" s="910">
        <v>13.1</v>
      </c>
      <c r="AB274" s="1010"/>
      <c r="AC274" s="1011"/>
      <c r="AD274" s="919"/>
      <c r="AF274" s="937">
        <v>43003</v>
      </c>
      <c r="AG274" s="1022"/>
      <c r="AH274" s="1022"/>
      <c r="AI274" s="1022"/>
      <c r="AJ274" s="1012"/>
      <c r="AK274" s="1022"/>
      <c r="AL274" s="1022"/>
      <c r="AM274" s="911"/>
      <c r="AW274" s="2755">
        <v>43372</v>
      </c>
      <c r="AX274" s="1011">
        <v>1543</v>
      </c>
      <c r="AY274" s="919">
        <v>98.1</v>
      </c>
      <c r="AZ274" s="1010">
        <v>42639</v>
      </c>
      <c r="BA274" s="1011">
        <v>5556.03</v>
      </c>
      <c r="BB274" s="1011">
        <v>8.66</v>
      </c>
      <c r="BC274" s="1011">
        <v>1678</v>
      </c>
      <c r="BD274" s="919">
        <v>100</v>
      </c>
      <c r="BI274" s="1010">
        <v>43371</v>
      </c>
      <c r="BJ274" s="919">
        <v>3.34</v>
      </c>
    </row>
    <row r="275" spans="1:62" ht="14.5">
      <c r="A275" s="913" t="s">
        <v>496</v>
      </c>
      <c r="B275" s="912">
        <v>41496</v>
      </c>
      <c r="C275" s="910">
        <v>13.2</v>
      </c>
      <c r="AB275" s="1010"/>
      <c r="AC275" s="1011"/>
      <c r="AD275" s="919"/>
      <c r="AF275" s="937">
        <v>43004</v>
      </c>
      <c r="AG275" s="1022"/>
      <c r="AH275" s="1022"/>
      <c r="AI275" s="1022"/>
      <c r="AJ275" s="1012"/>
      <c r="AK275" s="1022"/>
      <c r="AL275" s="1022"/>
      <c r="AM275" s="911"/>
      <c r="AW275" s="2755">
        <v>43373</v>
      </c>
      <c r="AX275" s="1011">
        <v>1538</v>
      </c>
      <c r="AY275" s="919">
        <v>98</v>
      </c>
      <c r="AZ275" s="1010">
        <v>42640</v>
      </c>
      <c r="BA275" s="1011">
        <v>5555.92</v>
      </c>
      <c r="BB275" s="1011">
        <v>8.66</v>
      </c>
      <c r="BC275" s="1011">
        <v>1667</v>
      </c>
      <c r="BD275" s="919">
        <v>99.8</v>
      </c>
      <c r="BI275" s="1010">
        <v>43372</v>
      </c>
      <c r="BJ275" s="919">
        <v>3.91</v>
      </c>
    </row>
    <row r="276" spans="1:62" ht="14.5">
      <c r="A276" s="913" t="s">
        <v>496</v>
      </c>
      <c r="B276" s="912">
        <v>41497</v>
      </c>
      <c r="C276" s="910">
        <v>13</v>
      </c>
      <c r="AB276" s="1010"/>
      <c r="AC276" s="1011"/>
      <c r="AD276" s="919"/>
      <c r="AF276" s="937">
        <v>43005</v>
      </c>
      <c r="AG276" s="1022"/>
      <c r="AH276" s="1022"/>
      <c r="AI276" s="1022"/>
      <c r="AJ276" s="1012"/>
      <c r="AK276" s="1022"/>
      <c r="AL276" s="1022"/>
      <c r="AM276" s="911"/>
      <c r="AW276" s="2755">
        <v>43374</v>
      </c>
      <c r="AX276" s="1011">
        <v>1532</v>
      </c>
      <c r="AY276" s="919">
        <v>97.8</v>
      </c>
      <c r="AZ276" s="1010">
        <v>42641</v>
      </c>
      <c r="BA276" s="1011">
        <v>5555.81</v>
      </c>
      <c r="BB276" s="1011">
        <v>8.66</v>
      </c>
      <c r="BC276" s="1011">
        <v>1656</v>
      </c>
      <c r="BD276" s="919">
        <v>99.5</v>
      </c>
      <c r="BI276" s="1010">
        <v>43373</v>
      </c>
      <c r="BJ276" s="919">
        <v>3.76</v>
      </c>
    </row>
    <row r="277" spans="1:62" ht="14.5">
      <c r="A277" s="913" t="s">
        <v>496</v>
      </c>
      <c r="B277" s="912">
        <v>41498</v>
      </c>
      <c r="C277" s="910">
        <v>12.9</v>
      </c>
      <c r="AB277" s="1010"/>
      <c r="AC277" s="1011"/>
      <c r="AD277" s="919"/>
      <c r="AF277" s="937">
        <v>43006</v>
      </c>
      <c r="AG277" s="1022"/>
      <c r="AH277" s="1022"/>
      <c r="AI277" s="1022"/>
      <c r="AJ277" s="1012"/>
      <c r="AK277" s="1022"/>
      <c r="AL277" s="1022"/>
      <c r="AM277" s="911"/>
      <c r="AW277" s="2755">
        <v>43375</v>
      </c>
      <c r="AX277" s="1011">
        <v>1527</v>
      </c>
      <c r="AY277" s="919">
        <v>97.7</v>
      </c>
      <c r="AZ277" s="1010">
        <v>42642</v>
      </c>
      <c r="BA277" s="1011">
        <v>5555.68</v>
      </c>
      <c r="BB277" s="1011">
        <v>8.66</v>
      </c>
      <c r="BC277" s="1011">
        <v>1644</v>
      </c>
      <c r="BD277" s="919">
        <v>99.2</v>
      </c>
      <c r="BI277" s="1010">
        <v>43374</v>
      </c>
      <c r="BJ277" s="919">
        <v>3.85</v>
      </c>
    </row>
    <row r="278" spans="1:62" ht="14.5">
      <c r="A278" s="913" t="s">
        <v>496</v>
      </c>
      <c r="B278" s="912">
        <v>41499</v>
      </c>
      <c r="C278" s="910">
        <v>25.2</v>
      </c>
      <c r="AB278" s="1010"/>
      <c r="AC278" s="1011"/>
      <c r="AD278" s="919"/>
      <c r="AF278" s="937">
        <v>43007</v>
      </c>
      <c r="AG278" s="1022"/>
      <c r="AH278" s="1022"/>
      <c r="AI278" s="1022"/>
      <c r="AJ278" s="1012"/>
      <c r="AK278" s="1022"/>
      <c r="AL278" s="1022"/>
      <c r="AM278" s="911"/>
      <c r="AW278" s="2755">
        <v>43376</v>
      </c>
      <c r="AX278" s="1011">
        <v>1519</v>
      </c>
      <c r="AY278" s="919">
        <v>97.5</v>
      </c>
      <c r="AZ278" s="1010">
        <v>42643</v>
      </c>
      <c r="BA278" s="1011">
        <v>5555.59</v>
      </c>
      <c r="BB278" s="1011">
        <v>8.66</v>
      </c>
      <c r="BC278" s="1011">
        <v>1635</v>
      </c>
      <c r="BD278" s="919">
        <v>99</v>
      </c>
      <c r="BI278" s="1010">
        <v>43375</v>
      </c>
      <c r="BJ278" s="919">
        <v>3.81</v>
      </c>
    </row>
    <row r="279" spans="1:62" ht="14.5">
      <c r="A279" s="913" t="s">
        <v>496</v>
      </c>
      <c r="B279" s="912">
        <v>41500</v>
      </c>
      <c r="C279" s="910">
        <v>32.200000000000003</v>
      </c>
      <c r="AB279" s="1010"/>
      <c r="AC279" s="1011"/>
      <c r="AD279" s="919"/>
      <c r="AF279" s="937">
        <v>43008</v>
      </c>
      <c r="AG279" s="1022"/>
      <c r="AH279" s="1022"/>
      <c r="AI279" s="1022"/>
      <c r="AJ279" s="1012"/>
      <c r="AK279" s="1022"/>
      <c r="AL279" s="1022"/>
      <c r="AM279" s="911"/>
      <c r="AW279" s="2755">
        <v>43377</v>
      </c>
      <c r="AX279" s="1011">
        <v>1512</v>
      </c>
      <c r="AY279" s="919">
        <v>97.3</v>
      </c>
      <c r="AZ279" s="1010">
        <v>42644</v>
      </c>
      <c r="BA279" s="1011">
        <v>5555.51</v>
      </c>
      <c r="BB279" s="1011">
        <v>8.66</v>
      </c>
      <c r="BC279" s="1011">
        <v>1627</v>
      </c>
      <c r="BD279" s="919">
        <v>98.8</v>
      </c>
      <c r="BI279" s="1010">
        <v>43376</v>
      </c>
      <c r="BJ279" s="919">
        <v>3.65</v>
      </c>
    </row>
    <row r="280" spans="1:62" ht="14.5">
      <c r="A280" s="913" t="s">
        <v>496</v>
      </c>
      <c r="B280" s="912">
        <v>41501</v>
      </c>
      <c r="C280" s="910">
        <v>32</v>
      </c>
      <c r="AB280" s="1010"/>
      <c r="AC280" s="1011"/>
      <c r="AD280" s="919"/>
      <c r="AF280" s="937">
        <v>43009</v>
      </c>
      <c r="AG280" s="1022"/>
      <c r="AH280" s="1022"/>
      <c r="AI280" s="1022"/>
      <c r="AJ280" s="1012"/>
      <c r="AK280" s="1022"/>
      <c r="AL280" s="1022"/>
      <c r="AM280" s="911"/>
      <c r="AW280" s="2755">
        <v>43378</v>
      </c>
      <c r="AX280" s="1011">
        <v>1506</v>
      </c>
      <c r="AY280" s="919">
        <v>97.2</v>
      </c>
      <c r="AZ280" s="1010">
        <v>42645</v>
      </c>
      <c r="BA280" s="1011">
        <v>5555.45</v>
      </c>
      <c r="BB280" s="1011">
        <v>8.66</v>
      </c>
      <c r="BC280" s="1011">
        <v>1621</v>
      </c>
      <c r="BD280" s="919">
        <v>98.6</v>
      </c>
      <c r="BI280" s="1010">
        <v>43377</v>
      </c>
      <c r="BJ280" s="919">
        <v>3.6</v>
      </c>
    </row>
    <row r="281" spans="1:62" ht="14.5">
      <c r="A281" s="913" t="s">
        <v>496</v>
      </c>
      <c r="B281" s="912">
        <v>41502</v>
      </c>
      <c r="C281" s="910">
        <v>23.6</v>
      </c>
      <c r="AB281" s="1010"/>
      <c r="AC281" s="1011"/>
      <c r="AD281" s="919"/>
      <c r="AF281" s="937">
        <v>43010</v>
      </c>
      <c r="AG281" s="1022"/>
      <c r="AH281" s="1022"/>
      <c r="AI281" s="1022"/>
      <c r="AJ281" s="1012"/>
      <c r="AK281" s="1022"/>
      <c r="AL281" s="1022"/>
      <c r="AM281" s="911"/>
      <c r="AW281" s="2755">
        <v>43379</v>
      </c>
      <c r="AX281" s="1011">
        <v>1505</v>
      </c>
      <c r="AY281" s="919">
        <v>97.1</v>
      </c>
      <c r="AZ281" s="1010">
        <v>42646</v>
      </c>
      <c r="BA281" s="1011">
        <v>5555.39</v>
      </c>
      <c r="BB281" s="1011">
        <v>8.66</v>
      </c>
      <c r="BC281" s="1011">
        <v>1615</v>
      </c>
      <c r="BD281" s="919">
        <v>98.5</v>
      </c>
      <c r="BI281" s="1010">
        <v>43378</v>
      </c>
      <c r="BJ281" s="919">
        <v>3.6</v>
      </c>
    </row>
    <row r="282" spans="1:62" ht="14.5">
      <c r="A282" s="913" t="s">
        <v>496</v>
      </c>
      <c r="B282" s="912">
        <v>41503</v>
      </c>
      <c r="C282" s="910">
        <v>18.600000000000001</v>
      </c>
      <c r="AB282" s="1010"/>
      <c r="AC282" s="1011"/>
      <c r="AD282" s="919"/>
      <c r="AF282" s="937">
        <v>43011</v>
      </c>
      <c r="AG282" s="1022"/>
      <c r="AH282" s="1022"/>
      <c r="AI282" s="1022"/>
      <c r="AJ282" s="1012"/>
      <c r="AK282" s="1022"/>
      <c r="AL282" s="1022"/>
      <c r="AM282" s="911"/>
      <c r="AW282" s="2755">
        <v>43380</v>
      </c>
      <c r="AX282" s="1011">
        <v>1506</v>
      </c>
      <c r="AY282" s="919">
        <v>97.1</v>
      </c>
      <c r="AZ282" s="1010">
        <v>42647</v>
      </c>
      <c r="BA282" s="1011">
        <v>5555.21</v>
      </c>
      <c r="BB282" s="1011">
        <v>8.66</v>
      </c>
      <c r="BC282" s="1011">
        <v>1598</v>
      </c>
      <c r="BD282" s="919">
        <v>98</v>
      </c>
      <c r="BI282" s="1010">
        <v>43379</v>
      </c>
      <c r="BJ282" s="919">
        <v>3.21</v>
      </c>
    </row>
    <row r="283" spans="1:62" ht="14.5">
      <c r="A283" s="913" t="s">
        <v>496</v>
      </c>
      <c r="B283" s="912">
        <v>41504</v>
      </c>
      <c r="C283" s="910">
        <v>18.600000000000001</v>
      </c>
      <c r="AB283" s="1010"/>
      <c r="AC283" s="1011"/>
      <c r="AD283" s="919"/>
      <c r="AF283" s="937">
        <v>43012</v>
      </c>
      <c r="AG283" s="1022"/>
      <c r="AH283" s="1022"/>
      <c r="AI283" s="1022"/>
      <c r="AJ283" s="1012"/>
      <c r="AK283" s="1022"/>
      <c r="AL283" s="1022"/>
      <c r="AM283" s="911"/>
      <c r="AW283" s="2755">
        <v>43381</v>
      </c>
      <c r="AX283" s="1011">
        <v>1516</v>
      </c>
      <c r="AY283" s="919">
        <v>97.4</v>
      </c>
      <c r="AZ283" s="1010">
        <v>42648</v>
      </c>
      <c r="BA283" s="1011">
        <v>5555.07</v>
      </c>
      <c r="BB283" s="1011">
        <v>8.66</v>
      </c>
      <c r="BC283" s="1011">
        <v>1584</v>
      </c>
      <c r="BD283" s="919">
        <v>97.7</v>
      </c>
      <c r="BI283" s="1010">
        <v>43380</v>
      </c>
      <c r="BJ283" s="919">
        <v>2.89</v>
      </c>
    </row>
    <row r="284" spans="1:62" ht="14.5">
      <c r="A284" s="913" t="s">
        <v>496</v>
      </c>
      <c r="B284" s="912">
        <v>41505</v>
      </c>
      <c r="C284" s="910">
        <v>17.8</v>
      </c>
      <c r="AB284" s="1010"/>
      <c r="AC284" s="1011"/>
      <c r="AD284" s="919"/>
      <c r="AF284" s="937">
        <v>43013</v>
      </c>
      <c r="AG284" s="1022"/>
      <c r="AH284" s="1022"/>
      <c r="AI284" s="1022"/>
      <c r="AJ284" s="1012"/>
      <c r="AK284" s="1022"/>
      <c r="AL284" s="1022"/>
      <c r="AM284" s="911"/>
      <c r="AW284" s="2755">
        <v>43382</v>
      </c>
      <c r="AX284" s="1011">
        <v>1531</v>
      </c>
      <c r="AY284" s="919">
        <v>97.8</v>
      </c>
      <c r="AZ284" s="1010">
        <v>42649</v>
      </c>
      <c r="BA284" s="1011">
        <v>5555</v>
      </c>
      <c r="BB284" s="1011">
        <v>8.66</v>
      </c>
      <c r="BC284" s="1011">
        <v>1577</v>
      </c>
      <c r="BD284" s="919">
        <v>97.5</v>
      </c>
      <c r="BI284" s="1010">
        <v>43381</v>
      </c>
      <c r="BJ284" s="919">
        <v>3.74</v>
      </c>
    </row>
    <row r="285" spans="1:62" ht="14.5">
      <c r="A285" s="913" t="s">
        <v>496</v>
      </c>
      <c r="B285" s="912">
        <v>41506</v>
      </c>
      <c r="C285" s="910">
        <v>12.3</v>
      </c>
      <c r="AB285" s="1010"/>
      <c r="AC285" s="1011"/>
      <c r="AD285" s="919"/>
      <c r="AF285" s="937">
        <v>43014</v>
      </c>
      <c r="AG285" s="1022"/>
      <c r="AH285" s="1022"/>
      <c r="AI285" s="1022"/>
      <c r="AJ285" s="1012"/>
      <c r="AK285" s="1022"/>
      <c r="AL285" s="1022"/>
      <c r="AM285" s="911"/>
      <c r="AW285" s="2755">
        <v>43383</v>
      </c>
      <c r="AX285" s="1011">
        <v>1545</v>
      </c>
      <c r="AY285" s="919">
        <v>98.1</v>
      </c>
      <c r="AZ285" s="1010">
        <v>42650</v>
      </c>
      <c r="BA285" s="1011">
        <v>5555.02</v>
      </c>
      <c r="BB285" s="1011">
        <v>8.66</v>
      </c>
      <c r="BC285" s="1011">
        <v>1579</v>
      </c>
      <c r="BD285" s="919">
        <v>97.6</v>
      </c>
      <c r="BI285" s="1010">
        <v>43382</v>
      </c>
      <c r="BJ285" s="919">
        <v>4.2</v>
      </c>
    </row>
    <row r="286" spans="1:62" ht="14.5">
      <c r="A286" s="913" t="s">
        <v>496</v>
      </c>
      <c r="B286" s="912">
        <v>41507</v>
      </c>
      <c r="C286" s="910">
        <v>10.4</v>
      </c>
      <c r="AB286" s="1010"/>
      <c r="AC286" s="1011"/>
      <c r="AD286" s="919"/>
      <c r="AF286" s="937">
        <v>43015</v>
      </c>
      <c r="AG286" s="1022"/>
      <c r="AH286" s="1022"/>
      <c r="AI286" s="1022"/>
      <c r="AJ286" s="1012"/>
      <c r="AK286" s="1022"/>
      <c r="AL286" s="1022"/>
      <c r="AM286" s="911"/>
      <c r="AW286" s="2755">
        <v>43384</v>
      </c>
      <c r="AX286" s="1011">
        <v>1548</v>
      </c>
      <c r="AY286" s="919">
        <v>98.2</v>
      </c>
      <c r="AZ286" s="1010">
        <v>42651</v>
      </c>
      <c r="BA286" s="1011">
        <v>5554.98</v>
      </c>
      <c r="BB286" s="1011">
        <v>8.66</v>
      </c>
      <c r="BC286" s="1011">
        <v>1575</v>
      </c>
      <c r="BD286" s="919">
        <v>97.4</v>
      </c>
      <c r="BI286" s="1010">
        <v>43383</v>
      </c>
      <c r="BJ286" s="919">
        <v>4.2</v>
      </c>
    </row>
    <row r="287" spans="1:62" ht="14.5">
      <c r="A287" s="913" t="s">
        <v>496</v>
      </c>
      <c r="B287" s="912">
        <v>41508</v>
      </c>
      <c r="C287" s="910">
        <v>10.4</v>
      </c>
      <c r="AB287" s="1010"/>
      <c r="AC287" s="1011"/>
      <c r="AD287" s="919"/>
      <c r="AF287" s="937">
        <v>43016</v>
      </c>
      <c r="AG287" s="1022"/>
      <c r="AH287" s="1022"/>
      <c r="AI287" s="1022"/>
      <c r="AJ287" s="1012"/>
      <c r="AK287" s="1022"/>
      <c r="AL287" s="1022"/>
      <c r="AM287" s="911"/>
      <c r="AW287" s="2755">
        <v>43385</v>
      </c>
      <c r="AX287" s="1011">
        <v>1543</v>
      </c>
      <c r="AY287" s="919">
        <v>98.1</v>
      </c>
      <c r="AZ287" s="1010">
        <v>42652</v>
      </c>
      <c r="BA287" s="1011">
        <v>5554.99</v>
      </c>
      <c r="BB287" s="1011">
        <v>8.66</v>
      </c>
      <c r="BC287" s="1011">
        <v>1576</v>
      </c>
      <c r="BD287" s="919">
        <v>97.5</v>
      </c>
      <c r="BI287" s="1010">
        <v>43384</v>
      </c>
      <c r="BJ287" s="919">
        <v>4.2</v>
      </c>
    </row>
    <row r="288" spans="1:62" ht="14.5">
      <c r="A288" s="913" t="s">
        <v>496</v>
      </c>
      <c r="B288" s="912">
        <v>41509</v>
      </c>
      <c r="C288" s="910">
        <v>10.5</v>
      </c>
      <c r="AB288" s="1010"/>
      <c r="AC288" s="1011"/>
      <c r="AD288" s="919"/>
      <c r="AF288" s="937">
        <v>43017</v>
      </c>
      <c r="AG288" s="1022"/>
      <c r="AH288" s="1022"/>
      <c r="AI288" s="1022"/>
      <c r="AJ288" s="1012"/>
      <c r="AK288" s="1022"/>
      <c r="AL288" s="1022"/>
      <c r="AM288" s="911"/>
      <c r="AW288" s="2755">
        <v>43386</v>
      </c>
      <c r="AX288" s="1011">
        <v>1543</v>
      </c>
      <c r="AY288" s="919">
        <v>98.1</v>
      </c>
      <c r="AZ288" s="1010">
        <v>42653</v>
      </c>
      <c r="BA288" s="1011">
        <v>5554.91</v>
      </c>
      <c r="BB288" s="1011">
        <v>8.66</v>
      </c>
      <c r="BC288" s="1011">
        <v>1568</v>
      </c>
      <c r="BD288" s="919">
        <v>97.3</v>
      </c>
      <c r="BI288" s="1010">
        <v>43385</v>
      </c>
      <c r="BJ288" s="919">
        <v>4.2</v>
      </c>
    </row>
    <row r="289" spans="1:62" ht="14.5">
      <c r="A289" s="913" t="s">
        <v>496</v>
      </c>
      <c r="B289" s="912">
        <v>41510</v>
      </c>
      <c r="C289" s="910">
        <v>17.8</v>
      </c>
      <c r="AB289" s="1010"/>
      <c r="AC289" s="1011"/>
      <c r="AD289" s="919"/>
      <c r="AF289" s="937">
        <v>43018</v>
      </c>
      <c r="AG289" s="1022"/>
      <c r="AH289" s="1022"/>
      <c r="AI289" s="1022"/>
      <c r="AJ289" s="1012"/>
      <c r="AK289" s="1022"/>
      <c r="AL289" s="1022"/>
      <c r="AM289" s="911"/>
      <c r="AW289" s="2755">
        <v>43387</v>
      </c>
      <c r="AX289" s="1011">
        <v>1543</v>
      </c>
      <c r="AY289" s="919">
        <v>98.1</v>
      </c>
      <c r="AZ289" s="1010">
        <v>42654</v>
      </c>
      <c r="BA289" s="1011">
        <v>5554.88</v>
      </c>
      <c r="BB289" s="1011">
        <v>8.66</v>
      </c>
      <c r="BC289" s="1011">
        <v>1565</v>
      </c>
      <c r="BD289" s="919">
        <v>97.2</v>
      </c>
      <c r="BI289" s="1010">
        <v>43386</v>
      </c>
      <c r="BJ289" s="919">
        <v>4.21</v>
      </c>
    </row>
    <row r="290" spans="1:62" ht="14.5">
      <c r="A290" s="913" t="s">
        <v>496</v>
      </c>
      <c r="B290" s="912">
        <v>41511</v>
      </c>
      <c r="C290" s="910">
        <v>28.5</v>
      </c>
      <c r="AB290" s="1010"/>
      <c r="AC290" s="1011"/>
      <c r="AD290" s="919"/>
      <c r="AF290" s="937">
        <v>43019</v>
      </c>
      <c r="AG290" s="1022"/>
      <c r="AH290" s="1022"/>
      <c r="AI290" s="1022"/>
      <c r="AJ290" s="1012"/>
      <c r="AK290" s="1022"/>
      <c r="AL290" s="1022"/>
      <c r="AM290" s="911"/>
      <c r="AW290" s="2755">
        <v>43388</v>
      </c>
      <c r="AX290" s="1011">
        <v>1544</v>
      </c>
      <c r="AY290" s="919">
        <v>98.1</v>
      </c>
      <c r="AZ290" s="1010">
        <v>42655</v>
      </c>
      <c r="BA290" s="1011">
        <v>5554.84</v>
      </c>
      <c r="BB290" s="1011">
        <v>8.66</v>
      </c>
      <c r="BC290" s="1011">
        <v>1561</v>
      </c>
      <c r="BD290" s="919">
        <v>97.1</v>
      </c>
      <c r="BI290" s="1010">
        <v>43387</v>
      </c>
      <c r="BJ290" s="919">
        <v>4.1900000000000004</v>
      </c>
    </row>
    <row r="291" spans="1:62" ht="14.5">
      <c r="A291" s="913" t="s">
        <v>496</v>
      </c>
      <c r="B291" s="912">
        <v>41512</v>
      </c>
      <c r="C291" s="910">
        <v>27.7</v>
      </c>
      <c r="AB291" s="1010"/>
      <c r="AC291" s="1011"/>
      <c r="AD291" s="919"/>
      <c r="AF291" s="937">
        <v>43020</v>
      </c>
      <c r="AG291" s="1022"/>
      <c r="AH291" s="1022"/>
      <c r="AI291" s="1022"/>
      <c r="AJ291" s="1012"/>
      <c r="AK291" s="1022"/>
      <c r="AL291" s="1022"/>
      <c r="AM291" s="911"/>
      <c r="AW291" s="2755">
        <v>43389</v>
      </c>
      <c r="AX291" s="1011">
        <v>1537</v>
      </c>
      <c r="AY291" s="919">
        <v>97.9</v>
      </c>
      <c r="AZ291" s="1010">
        <v>42656</v>
      </c>
      <c r="BA291" s="1011">
        <v>5554.77</v>
      </c>
      <c r="BB291" s="1011">
        <v>8.66</v>
      </c>
      <c r="BC291" s="1011">
        <v>1555</v>
      </c>
      <c r="BD291" s="919">
        <v>96.9</v>
      </c>
      <c r="BI291" s="1010">
        <v>43388</v>
      </c>
      <c r="BJ291" s="919">
        <v>4.07</v>
      </c>
    </row>
    <row r="292" spans="1:62" ht="14.5">
      <c r="A292" s="913" t="s">
        <v>496</v>
      </c>
      <c r="B292" s="912">
        <v>41513</v>
      </c>
      <c r="C292" s="910">
        <v>27</v>
      </c>
      <c r="AB292" s="1010"/>
      <c r="AC292" s="1011"/>
      <c r="AD292" s="919"/>
      <c r="AF292" s="937">
        <v>43021</v>
      </c>
      <c r="AG292" s="1022"/>
      <c r="AH292" s="1022"/>
      <c r="AI292" s="1022"/>
      <c r="AJ292" s="1012"/>
      <c r="AK292" s="1022"/>
      <c r="AL292" s="1022"/>
      <c r="AM292" s="911"/>
      <c r="AW292" s="2755">
        <v>43390</v>
      </c>
      <c r="AX292" s="1011">
        <v>1533</v>
      </c>
      <c r="AY292" s="919">
        <v>97.8</v>
      </c>
      <c r="AZ292" s="1010">
        <v>42657</v>
      </c>
      <c r="BA292" s="1011">
        <v>5554.75</v>
      </c>
      <c r="BB292" s="1011">
        <v>8.66</v>
      </c>
      <c r="BC292" s="1011">
        <v>1552</v>
      </c>
      <c r="BD292" s="919">
        <v>96.9</v>
      </c>
      <c r="BI292" s="1010">
        <v>43389</v>
      </c>
      <c r="BJ292" s="919">
        <v>3.9</v>
      </c>
    </row>
    <row r="293" spans="1:62" ht="14.5">
      <c r="A293" s="913" t="s">
        <v>496</v>
      </c>
      <c r="B293" s="912">
        <v>41514</v>
      </c>
      <c r="C293" s="910">
        <v>27.1</v>
      </c>
      <c r="AB293" s="1010"/>
      <c r="AC293" s="1011"/>
      <c r="AD293" s="919"/>
      <c r="AF293" s="937">
        <v>43022</v>
      </c>
      <c r="AG293" s="1022"/>
      <c r="AH293" s="1022"/>
      <c r="AI293" s="1022"/>
      <c r="AJ293" s="1012"/>
      <c r="AK293" s="1022"/>
      <c r="AL293" s="1022"/>
      <c r="AM293" s="911"/>
      <c r="AW293" s="2755">
        <v>43391</v>
      </c>
      <c r="AX293" s="1011">
        <v>1536</v>
      </c>
      <c r="AY293" s="919">
        <v>98</v>
      </c>
      <c r="AZ293" s="1010">
        <v>42658</v>
      </c>
      <c r="BA293" s="1011">
        <v>5554.74</v>
      </c>
      <c r="BB293" s="1011">
        <v>8.66</v>
      </c>
      <c r="BC293" s="1011">
        <v>1552</v>
      </c>
      <c r="BD293" s="919">
        <v>96.8</v>
      </c>
      <c r="BI293" s="1010">
        <v>43390</v>
      </c>
      <c r="BJ293" s="919">
        <v>3.81</v>
      </c>
    </row>
    <row r="294" spans="1:62" ht="14.5">
      <c r="A294" s="913" t="s">
        <v>496</v>
      </c>
      <c r="B294" s="912">
        <v>41515</v>
      </c>
      <c r="C294" s="910">
        <v>27</v>
      </c>
      <c r="AB294" s="1010"/>
      <c r="AC294" s="1011"/>
      <c r="AD294" s="919"/>
      <c r="AF294" s="937">
        <v>43023</v>
      </c>
      <c r="AG294" s="1022"/>
      <c r="AH294" s="1022"/>
      <c r="AI294" s="1022"/>
      <c r="AJ294" s="1012"/>
      <c r="AK294" s="1022"/>
      <c r="AL294" s="1022"/>
      <c r="AM294" s="911"/>
      <c r="AW294" s="2755">
        <v>43392</v>
      </c>
      <c r="AX294" s="1011">
        <v>1537</v>
      </c>
      <c r="AY294" s="919">
        <v>98</v>
      </c>
      <c r="AZ294" s="1010">
        <v>42659</v>
      </c>
      <c r="BA294" s="1011">
        <v>5554.74</v>
      </c>
      <c r="BB294" s="1011">
        <v>8.66</v>
      </c>
      <c r="BC294" s="1011">
        <v>1551</v>
      </c>
      <c r="BD294" s="919">
        <v>96.8</v>
      </c>
      <c r="BI294" s="1010">
        <v>43391</v>
      </c>
      <c r="BJ294" s="919">
        <v>3.88</v>
      </c>
    </row>
    <row r="295" spans="1:62" ht="14.5">
      <c r="A295" s="913" t="s">
        <v>496</v>
      </c>
      <c r="B295" s="912">
        <v>41516</v>
      </c>
      <c r="C295" s="910">
        <v>21.1</v>
      </c>
      <c r="AB295" s="1010"/>
      <c r="AC295" s="1011"/>
      <c r="AD295" s="919"/>
      <c r="AF295" s="937">
        <v>43024</v>
      </c>
      <c r="AG295" s="1022"/>
      <c r="AH295" s="1022"/>
      <c r="AI295" s="1022"/>
      <c r="AJ295" s="1012"/>
      <c r="AK295" s="1022"/>
      <c r="AL295" s="1022"/>
      <c r="AM295" s="911"/>
      <c r="AW295" s="2755">
        <v>43393</v>
      </c>
      <c r="AX295" s="1011">
        <v>1539</v>
      </c>
      <c r="AY295" s="919">
        <v>98</v>
      </c>
      <c r="AZ295" s="1010">
        <v>42660</v>
      </c>
      <c r="BA295" s="1011">
        <v>5554.71</v>
      </c>
      <c r="BB295" s="1011">
        <v>8.66</v>
      </c>
      <c r="BC295" s="1011">
        <v>1549</v>
      </c>
      <c r="BD295" s="919">
        <v>96.8</v>
      </c>
      <c r="BI295" s="1010">
        <v>43392</v>
      </c>
      <c r="BJ295" s="919">
        <v>2.99</v>
      </c>
    </row>
    <row r="296" spans="1:62" ht="14.5">
      <c r="A296" s="913" t="s">
        <v>496</v>
      </c>
      <c r="B296" s="912">
        <v>41517</v>
      </c>
      <c r="C296" s="910">
        <v>17.2</v>
      </c>
      <c r="AB296" s="1010"/>
      <c r="AC296" s="1011"/>
      <c r="AD296" s="919"/>
      <c r="AF296" s="937">
        <v>43025</v>
      </c>
      <c r="AG296" s="1022"/>
      <c r="AH296" s="1022"/>
      <c r="AI296" s="1022"/>
      <c r="AJ296" s="1012"/>
      <c r="AK296" s="1022"/>
      <c r="AL296" s="1022"/>
      <c r="AM296" s="911"/>
      <c r="AW296" s="2755">
        <v>43394</v>
      </c>
      <c r="AX296" s="1011">
        <v>1539</v>
      </c>
      <c r="AY296" s="919">
        <v>98</v>
      </c>
      <c r="AZ296" s="1010">
        <v>42661</v>
      </c>
      <c r="BA296" s="1011">
        <v>5554.67</v>
      </c>
      <c r="BB296" s="1011">
        <v>8.66</v>
      </c>
      <c r="BC296" s="1011">
        <v>1545</v>
      </c>
      <c r="BD296" s="919">
        <v>96.7</v>
      </c>
      <c r="BI296" s="1010">
        <v>43393</v>
      </c>
      <c r="BJ296" s="919">
        <v>2.41</v>
      </c>
    </row>
    <row r="297" spans="1:62" ht="14.5">
      <c r="A297" s="913" t="s">
        <v>496</v>
      </c>
      <c r="B297" s="912">
        <v>41518</v>
      </c>
      <c r="C297" s="910">
        <v>17.2</v>
      </c>
      <c r="D297" s="910">
        <f>AVERAGE(C297:C326)</f>
        <v>215.09</v>
      </c>
      <c r="AB297" s="1010"/>
      <c r="AC297" s="1011"/>
      <c r="AD297" s="919"/>
      <c r="AF297" s="937">
        <v>43026</v>
      </c>
      <c r="AG297" s="1022"/>
      <c r="AH297" s="1022"/>
      <c r="AI297" s="1022"/>
      <c r="AJ297" s="1012"/>
      <c r="AK297" s="1022"/>
      <c r="AL297" s="1022"/>
      <c r="AM297" s="911"/>
      <c r="AW297" s="2755">
        <v>43395</v>
      </c>
      <c r="AX297" s="1011">
        <v>1539</v>
      </c>
      <c r="AY297" s="919">
        <v>98</v>
      </c>
      <c r="AZ297" s="1010">
        <v>42662</v>
      </c>
      <c r="BA297" s="1011">
        <v>5554.63</v>
      </c>
      <c r="BB297" s="1011">
        <v>8.66</v>
      </c>
      <c r="BC297" s="1011">
        <v>1541</v>
      </c>
      <c r="BD297" s="919">
        <v>96.6</v>
      </c>
      <c r="BI297" s="1010">
        <v>43394</v>
      </c>
      <c r="BJ297" s="919">
        <v>2.37</v>
      </c>
    </row>
    <row r="298" spans="1:62" ht="14.5">
      <c r="A298" s="913" t="s">
        <v>496</v>
      </c>
      <c r="B298" s="912">
        <v>41519</v>
      </c>
      <c r="C298" s="910">
        <v>33.299999999999997</v>
      </c>
      <c r="AB298" s="1010"/>
      <c r="AC298" s="1011"/>
      <c r="AD298" s="919"/>
      <c r="AF298" s="937">
        <v>43027</v>
      </c>
      <c r="AG298" s="1022"/>
      <c r="AH298" s="1022"/>
      <c r="AI298" s="1022"/>
      <c r="AJ298" s="1012"/>
      <c r="AK298" s="1022"/>
      <c r="AL298" s="1022"/>
      <c r="AM298" s="911"/>
      <c r="AW298" s="2755">
        <v>43396</v>
      </c>
      <c r="AX298" s="1011">
        <v>1542</v>
      </c>
      <c r="AY298" s="919">
        <v>98.1</v>
      </c>
      <c r="AZ298" s="1010">
        <v>42663</v>
      </c>
      <c r="BA298" s="1011">
        <v>5554.59</v>
      </c>
      <c r="BB298" s="1011">
        <v>8.66</v>
      </c>
      <c r="BC298" s="1011">
        <v>1537</v>
      </c>
      <c r="BD298" s="919">
        <v>96.5</v>
      </c>
      <c r="BI298" s="1010">
        <v>43395</v>
      </c>
      <c r="BJ298" s="919">
        <v>2.36</v>
      </c>
    </row>
    <row r="299" spans="1:62" ht="14.5">
      <c r="A299" s="913" t="s">
        <v>496</v>
      </c>
      <c r="B299" s="912">
        <v>41520</v>
      </c>
      <c r="C299" s="910">
        <v>47.1</v>
      </c>
      <c r="AB299" s="1010"/>
      <c r="AC299" s="1011"/>
      <c r="AD299" s="919"/>
      <c r="AF299" s="937">
        <v>43028</v>
      </c>
      <c r="AG299" s="1022"/>
      <c r="AH299" s="1022"/>
      <c r="AI299" s="1022"/>
      <c r="AJ299" s="1012"/>
      <c r="AK299" s="1022"/>
      <c r="AL299" s="1022"/>
      <c r="AM299" s="911"/>
      <c r="AW299" s="2755">
        <v>43397</v>
      </c>
      <c r="AX299" s="1011">
        <v>1546</v>
      </c>
      <c r="AY299" s="919">
        <v>98.2</v>
      </c>
      <c r="AZ299" s="1010">
        <v>42664</v>
      </c>
      <c r="BA299" s="1011">
        <v>5554.54</v>
      </c>
      <c r="BB299" s="1011">
        <v>8.66</v>
      </c>
      <c r="BC299" s="1011">
        <v>1532</v>
      </c>
      <c r="BD299" s="919">
        <v>96.4</v>
      </c>
      <c r="BI299" s="1010">
        <v>43396</v>
      </c>
      <c r="BJ299" s="919">
        <v>2.4</v>
      </c>
    </row>
    <row r="300" spans="1:62" ht="14.5">
      <c r="A300" s="913" t="s">
        <v>496</v>
      </c>
      <c r="B300" s="912">
        <v>41521</v>
      </c>
      <c r="C300" s="910">
        <v>46.3</v>
      </c>
      <c r="AB300" s="1010"/>
      <c r="AC300" s="1011"/>
      <c r="AD300" s="919"/>
      <c r="AF300" s="937">
        <v>43029</v>
      </c>
      <c r="AG300" s="1022"/>
      <c r="AH300" s="1022"/>
      <c r="AI300" s="1022"/>
      <c r="AJ300" s="1012"/>
      <c r="AK300" s="1022"/>
      <c r="AL300" s="1022"/>
      <c r="AM300" s="911"/>
      <c r="AW300" s="2755">
        <v>43398</v>
      </c>
      <c r="AX300" s="1011">
        <v>1550</v>
      </c>
      <c r="AY300" s="919">
        <v>98.3</v>
      </c>
      <c r="AZ300" s="1010">
        <v>42665</v>
      </c>
      <c r="BA300" s="1011">
        <v>5554.55</v>
      </c>
      <c r="BB300" s="1011">
        <v>8.66</v>
      </c>
      <c r="BC300" s="1011">
        <v>1533</v>
      </c>
      <c r="BD300" s="919">
        <v>96.4</v>
      </c>
      <c r="BI300" s="1010">
        <v>43397</v>
      </c>
      <c r="BJ300" s="919">
        <v>2.92</v>
      </c>
    </row>
    <row r="301" spans="1:62" ht="14.5">
      <c r="A301" s="913" t="s">
        <v>496</v>
      </c>
      <c r="B301" s="912">
        <v>41522</v>
      </c>
      <c r="C301" s="910">
        <v>44.1</v>
      </c>
      <c r="AB301" s="1010"/>
      <c r="AC301" s="1011"/>
      <c r="AD301" s="919"/>
      <c r="AF301" s="937">
        <v>43030</v>
      </c>
      <c r="AG301" s="1022"/>
      <c r="AH301" s="1022"/>
      <c r="AI301" s="1022"/>
      <c r="AJ301" s="1012"/>
      <c r="AK301" s="1022"/>
      <c r="AL301" s="1022"/>
      <c r="AM301" s="911"/>
      <c r="AW301" s="2755">
        <v>43399</v>
      </c>
      <c r="AX301" s="1011">
        <v>1524</v>
      </c>
      <c r="AY301" s="919">
        <v>97</v>
      </c>
      <c r="AZ301" s="1010">
        <v>42666</v>
      </c>
      <c r="BA301" s="1011">
        <v>5554.6</v>
      </c>
      <c r="BB301" s="1011">
        <v>8.66</v>
      </c>
      <c r="BC301" s="1011">
        <v>1538</v>
      </c>
      <c r="BD301" s="919">
        <v>96.5</v>
      </c>
      <c r="BI301" s="1010">
        <v>43398</v>
      </c>
      <c r="BJ301" s="919">
        <v>2.58</v>
      </c>
    </row>
    <row r="302" spans="1:62" ht="14.5">
      <c r="A302" s="913" t="s">
        <v>496</v>
      </c>
      <c r="B302" s="912">
        <v>41523</v>
      </c>
      <c r="C302" s="910">
        <v>36.6</v>
      </c>
      <c r="AB302" s="1010"/>
      <c r="AC302" s="1011"/>
      <c r="AD302" s="919"/>
      <c r="AF302" s="937">
        <v>43031</v>
      </c>
      <c r="AG302" s="1022"/>
      <c r="AH302" s="1022"/>
      <c r="AI302" s="1022"/>
      <c r="AJ302" s="1012"/>
      <c r="AK302" s="1022"/>
      <c r="AL302" s="1022"/>
      <c r="AM302" s="911"/>
      <c r="AW302" s="2755">
        <v>43400</v>
      </c>
      <c r="AX302" s="1011">
        <v>1551</v>
      </c>
      <c r="AY302" s="919">
        <v>98.3</v>
      </c>
      <c r="AZ302" s="1010">
        <v>42667</v>
      </c>
      <c r="BA302" s="1011">
        <v>5554.64</v>
      </c>
      <c r="BB302" s="1011">
        <v>8.66</v>
      </c>
      <c r="BC302" s="1011">
        <v>1542</v>
      </c>
      <c r="BD302" s="919">
        <v>96.6</v>
      </c>
      <c r="BI302" s="1010">
        <v>43399</v>
      </c>
      <c r="BJ302" s="919">
        <v>2.5299999999999998</v>
      </c>
    </row>
    <row r="303" spans="1:62" ht="14.5">
      <c r="A303" s="913" t="s">
        <v>496</v>
      </c>
      <c r="B303" s="912">
        <v>41524</v>
      </c>
      <c r="C303" s="910">
        <v>29.1</v>
      </c>
      <c r="AB303" s="1010"/>
      <c r="AC303" s="1011"/>
      <c r="AD303" s="919"/>
      <c r="AF303" s="937">
        <v>43032</v>
      </c>
      <c r="AG303" s="1022"/>
      <c r="AH303" s="1022"/>
      <c r="AI303" s="1022"/>
      <c r="AJ303" s="1012"/>
      <c r="AK303" s="1022"/>
      <c r="AL303" s="1022"/>
      <c r="AM303" s="911"/>
      <c r="AW303" s="2755">
        <v>43401</v>
      </c>
      <c r="AX303" s="1011">
        <v>1553</v>
      </c>
      <c r="AY303" s="919">
        <v>98.4</v>
      </c>
      <c r="AZ303" s="1010">
        <v>42668</v>
      </c>
      <c r="BA303" s="1011">
        <v>5554.67</v>
      </c>
      <c r="BB303" s="1011">
        <v>8.66</v>
      </c>
      <c r="BC303" s="1011">
        <v>1545</v>
      </c>
      <c r="BD303" s="919">
        <v>96.7</v>
      </c>
      <c r="BI303" s="1010">
        <v>43400</v>
      </c>
      <c r="BJ303" s="919">
        <v>2.3199999999999998</v>
      </c>
    </row>
    <row r="304" spans="1:62" ht="14.5">
      <c r="A304" s="913" t="s">
        <v>496</v>
      </c>
      <c r="B304" s="912">
        <v>41525</v>
      </c>
      <c r="C304" s="910">
        <v>27.7</v>
      </c>
      <c r="AB304" s="1010"/>
      <c r="AC304" s="1011"/>
      <c r="AD304" s="919"/>
      <c r="AF304" s="937">
        <v>43033</v>
      </c>
      <c r="AG304" s="1022"/>
      <c r="AH304" s="1022"/>
      <c r="AI304" s="1022"/>
      <c r="AJ304" s="1012"/>
      <c r="AK304" s="1022"/>
      <c r="AL304" s="1022"/>
      <c r="AM304" s="911"/>
      <c r="AW304" s="2755">
        <v>43402</v>
      </c>
      <c r="AX304" s="1011">
        <v>1549</v>
      </c>
      <c r="AY304" s="919">
        <v>98.2</v>
      </c>
      <c r="AZ304" s="1010">
        <v>42669</v>
      </c>
      <c r="BA304" s="1011">
        <v>5554.68</v>
      </c>
      <c r="BB304" s="1011">
        <v>8.66</v>
      </c>
      <c r="BC304" s="1011">
        <v>1546</v>
      </c>
      <c r="BD304" s="919">
        <v>96.7</v>
      </c>
      <c r="BI304" s="1010">
        <v>43401</v>
      </c>
      <c r="BJ304" s="919">
        <v>2.4</v>
      </c>
    </row>
    <row r="305" spans="1:62" ht="14.5">
      <c r="A305" s="913" t="s">
        <v>496</v>
      </c>
      <c r="B305" s="912">
        <v>41526</v>
      </c>
      <c r="C305" s="910">
        <v>27</v>
      </c>
      <c r="AB305" s="1010"/>
      <c r="AC305" s="1011"/>
      <c r="AD305" s="919"/>
      <c r="AF305" s="937">
        <v>43034</v>
      </c>
      <c r="AG305" s="1022"/>
      <c r="AH305" s="1022"/>
      <c r="AI305" s="1022"/>
      <c r="AJ305" s="1012"/>
      <c r="AK305" s="1022"/>
      <c r="AL305" s="1022"/>
      <c r="AM305" s="911"/>
      <c r="AW305" s="2755">
        <v>43403</v>
      </c>
      <c r="AX305" s="1011">
        <v>1505</v>
      </c>
      <c r="AY305" s="919">
        <v>97.1</v>
      </c>
      <c r="AZ305" s="1010">
        <v>42670</v>
      </c>
      <c r="BA305" s="1011">
        <v>5554.64</v>
      </c>
      <c r="BB305" s="1011">
        <v>8.66</v>
      </c>
      <c r="BC305" s="1011">
        <v>1542</v>
      </c>
      <c r="BD305" s="919">
        <v>96.6</v>
      </c>
      <c r="BI305" s="1010">
        <v>43402</v>
      </c>
      <c r="BJ305" s="919">
        <v>16.600000000000001</v>
      </c>
    </row>
    <row r="306" spans="1:62" ht="14.5">
      <c r="A306" s="913" t="s">
        <v>496</v>
      </c>
      <c r="B306" s="912">
        <v>41527</v>
      </c>
      <c r="C306" s="910">
        <v>71.3</v>
      </c>
      <c r="AB306" s="1010"/>
      <c r="AC306" s="1011"/>
      <c r="AD306" s="919"/>
      <c r="AF306" s="937">
        <v>43035</v>
      </c>
      <c r="AG306" s="1022"/>
      <c r="AH306" s="1022"/>
      <c r="AI306" s="1022"/>
      <c r="AJ306" s="1012"/>
      <c r="AK306" s="1022"/>
      <c r="AL306" s="1022"/>
      <c r="AM306" s="911"/>
      <c r="AW306" s="2755">
        <v>43404</v>
      </c>
      <c r="AX306" s="1011">
        <v>1504</v>
      </c>
      <c r="AY306" s="919">
        <v>97.1</v>
      </c>
      <c r="AZ306" s="1010">
        <v>42671</v>
      </c>
      <c r="BA306" s="1011">
        <v>5554.67</v>
      </c>
      <c r="BB306" s="1011">
        <v>8.66</v>
      </c>
      <c r="BC306" s="1011">
        <v>1545</v>
      </c>
      <c r="BD306" s="919">
        <v>96.7</v>
      </c>
      <c r="BI306" s="1010">
        <v>43403</v>
      </c>
      <c r="BJ306" s="919">
        <v>18.3</v>
      </c>
    </row>
    <row r="307" spans="1:62" ht="14.5">
      <c r="A307" s="913" t="s">
        <v>496</v>
      </c>
      <c r="B307" s="912">
        <v>41528</v>
      </c>
      <c r="C307" s="910">
        <v>257</v>
      </c>
      <c r="AB307" s="1010"/>
      <c r="AC307" s="1011"/>
      <c r="AD307" s="919"/>
      <c r="AF307" s="937">
        <v>43036</v>
      </c>
      <c r="AG307" s="1022"/>
      <c r="AH307" s="1022"/>
      <c r="AI307" s="1022"/>
      <c r="AJ307" s="1012"/>
      <c r="AK307" s="1022"/>
      <c r="AL307" s="1022"/>
      <c r="AM307" s="911"/>
      <c r="AW307" s="2755">
        <v>43405</v>
      </c>
      <c r="AX307" s="1011">
        <v>1512</v>
      </c>
      <c r="AY307" s="919">
        <v>97.3</v>
      </c>
      <c r="AZ307" s="1010">
        <v>42672</v>
      </c>
      <c r="BA307" s="1011">
        <v>5554.71</v>
      </c>
      <c r="BB307" s="1011">
        <v>8.66</v>
      </c>
      <c r="BC307" s="1011">
        <v>1549</v>
      </c>
      <c r="BD307" s="919">
        <v>96.8</v>
      </c>
      <c r="BI307" s="1010">
        <v>43404</v>
      </c>
      <c r="BJ307" s="919">
        <v>5.28</v>
      </c>
    </row>
    <row r="308" spans="1:62" ht="14.5">
      <c r="A308" s="913" t="s">
        <v>496</v>
      </c>
      <c r="B308" s="912">
        <v>41529</v>
      </c>
      <c r="C308" s="910">
        <v>221</v>
      </c>
      <c r="AB308" s="1010"/>
      <c r="AC308" s="1011"/>
      <c r="AD308" s="919"/>
      <c r="AF308" s="937">
        <v>43037</v>
      </c>
      <c r="AG308" s="1022"/>
      <c r="AH308" s="1022"/>
      <c r="AI308" s="1022"/>
      <c r="AJ308" s="1012"/>
      <c r="AK308" s="1022"/>
      <c r="AL308" s="1022"/>
      <c r="AM308" s="911"/>
      <c r="AW308" s="2755">
        <v>43406</v>
      </c>
      <c r="AX308" s="1011">
        <v>1503</v>
      </c>
      <c r="AY308" s="919">
        <v>97.1</v>
      </c>
      <c r="AZ308" s="1010">
        <v>42673</v>
      </c>
      <c r="BA308" s="1011">
        <v>5554.72</v>
      </c>
      <c r="BB308" s="1011">
        <v>8.66</v>
      </c>
      <c r="BC308" s="1011">
        <v>1550</v>
      </c>
      <c r="BD308" s="919">
        <v>96.8</v>
      </c>
      <c r="BI308" s="1010">
        <v>43405</v>
      </c>
      <c r="BJ308" s="919">
        <v>6.07</v>
      </c>
    </row>
    <row r="309" spans="1:62" ht="14.5">
      <c r="A309" s="913" t="s">
        <v>496</v>
      </c>
      <c r="B309" s="912">
        <v>41530</v>
      </c>
      <c r="C309" s="910">
        <v>0</v>
      </c>
      <c r="AB309" s="1010"/>
      <c r="AC309" s="1011"/>
      <c r="AD309" s="919"/>
      <c r="AF309" s="937">
        <v>43038</v>
      </c>
      <c r="AG309" s="1022"/>
      <c r="AH309" s="1022"/>
      <c r="AI309" s="1022"/>
      <c r="AJ309" s="1012"/>
      <c r="AK309" s="1022"/>
      <c r="AL309" s="1022"/>
      <c r="AM309" s="911"/>
      <c r="AW309" s="2755">
        <v>43407</v>
      </c>
      <c r="AX309" s="1011">
        <v>1491</v>
      </c>
      <c r="AY309" s="919">
        <v>96.8</v>
      </c>
      <c r="AZ309" s="1010">
        <v>42674</v>
      </c>
      <c r="BA309" s="1011">
        <v>5554.42</v>
      </c>
      <c r="BB309" s="1011">
        <v>8.66</v>
      </c>
      <c r="BC309" s="1011">
        <v>1527</v>
      </c>
      <c r="BD309" s="919">
        <v>95.9</v>
      </c>
      <c r="BI309" s="1010">
        <v>43406</v>
      </c>
      <c r="BJ309" s="919">
        <v>6.08</v>
      </c>
    </row>
    <row r="310" spans="1:62" ht="14.5">
      <c r="A310" s="913" t="s">
        <v>496</v>
      </c>
      <c r="B310" s="912">
        <v>41531</v>
      </c>
      <c r="C310" s="910">
        <v>0</v>
      </c>
      <c r="AB310" s="1010"/>
      <c r="AC310" s="1011"/>
      <c r="AD310" s="919"/>
      <c r="AF310" s="937">
        <v>43039</v>
      </c>
      <c r="AG310" s="1022"/>
      <c r="AH310" s="1022"/>
      <c r="AI310" s="1022"/>
      <c r="AJ310" s="1012"/>
      <c r="AK310" s="1022"/>
      <c r="AL310" s="1022"/>
      <c r="AM310" s="911"/>
      <c r="AW310" s="2755">
        <v>43408</v>
      </c>
      <c r="AX310" s="1011">
        <v>1482</v>
      </c>
      <c r="AY310" s="919">
        <v>96.5</v>
      </c>
      <c r="AZ310" s="1010">
        <v>42675</v>
      </c>
      <c r="BA310" s="1011">
        <v>5554.59</v>
      </c>
      <c r="BB310" s="1011">
        <v>8.66</v>
      </c>
      <c r="BC310" s="1011">
        <v>1537</v>
      </c>
      <c r="BD310" s="919">
        <v>96.5</v>
      </c>
      <c r="BI310" s="1010">
        <v>43407</v>
      </c>
      <c r="BJ310" s="919">
        <v>5.93</v>
      </c>
    </row>
    <row r="311" spans="1:62" ht="14.5">
      <c r="A311" s="913" t="s">
        <v>496</v>
      </c>
      <c r="B311" s="912">
        <v>41532</v>
      </c>
      <c r="C311" s="910">
        <v>0</v>
      </c>
      <c r="AB311" s="1010"/>
      <c r="AC311" s="1011"/>
      <c r="AD311" s="919"/>
      <c r="AF311" s="937">
        <v>43040</v>
      </c>
      <c r="AG311" s="1022"/>
      <c r="AH311" s="1022"/>
      <c r="AI311" s="1022"/>
      <c r="AJ311" s="1012"/>
      <c r="AK311" s="1022"/>
      <c r="AL311" s="1022"/>
      <c r="AM311" s="911"/>
      <c r="AW311" s="2755">
        <v>43409</v>
      </c>
      <c r="AX311" s="1011">
        <v>1470</v>
      </c>
      <c r="AY311" s="919">
        <v>96.2</v>
      </c>
      <c r="AZ311" s="1010">
        <v>42676</v>
      </c>
      <c r="BA311" s="1011">
        <v>5554.5</v>
      </c>
      <c r="BB311" s="1011">
        <v>8.66</v>
      </c>
      <c r="BC311" s="1011">
        <v>1528</v>
      </c>
      <c r="BD311" s="919">
        <v>96.2</v>
      </c>
      <c r="BI311" s="1010">
        <v>43408</v>
      </c>
      <c r="BJ311" s="919">
        <v>6.01</v>
      </c>
    </row>
    <row r="312" spans="1:62" ht="14.5">
      <c r="A312" s="913" t="s">
        <v>496</v>
      </c>
      <c r="B312" s="912">
        <v>41533</v>
      </c>
      <c r="C312" s="910">
        <v>151</v>
      </c>
      <c r="AB312" s="1010"/>
      <c r="AC312" s="1011"/>
      <c r="AD312" s="919"/>
      <c r="AF312" s="937">
        <v>43041</v>
      </c>
      <c r="AG312" s="1022"/>
      <c r="AH312" s="1022"/>
      <c r="AI312" s="1022"/>
      <c r="AJ312" s="1012"/>
      <c r="AK312" s="1022"/>
      <c r="AL312" s="1022"/>
      <c r="AM312" s="911"/>
      <c r="AW312" s="2755">
        <v>43410</v>
      </c>
      <c r="AX312" s="1011">
        <v>1457</v>
      </c>
      <c r="AY312" s="919">
        <v>95.8</v>
      </c>
      <c r="AZ312" s="1010">
        <v>42677</v>
      </c>
      <c r="BA312" s="1011">
        <v>5554.41</v>
      </c>
      <c r="BB312" s="1011">
        <v>8.66</v>
      </c>
      <c r="BC312" s="1011">
        <v>1519</v>
      </c>
      <c r="BD312" s="919">
        <v>96</v>
      </c>
      <c r="BI312" s="1010">
        <v>43409</v>
      </c>
      <c r="BJ312" s="919">
        <v>6.25</v>
      </c>
    </row>
    <row r="313" spans="1:62" ht="14.5">
      <c r="A313" s="913" t="s">
        <v>496</v>
      </c>
      <c r="B313" s="912">
        <v>41534</v>
      </c>
      <c r="C313" s="910">
        <v>250</v>
      </c>
      <c r="AB313" s="1010"/>
      <c r="AC313" s="1011"/>
      <c r="AD313" s="919"/>
      <c r="AF313" s="937">
        <v>43042</v>
      </c>
      <c r="AG313" s="1022"/>
      <c r="AH313" s="1022"/>
      <c r="AI313" s="1022"/>
      <c r="AJ313" s="1012"/>
      <c r="AK313" s="1022"/>
      <c r="AL313" s="1022"/>
      <c r="AM313" s="911"/>
      <c r="AW313" s="2755">
        <v>43411</v>
      </c>
      <c r="AX313" s="1011">
        <v>1447</v>
      </c>
      <c r="AY313" s="919">
        <v>95.6</v>
      </c>
      <c r="AZ313" s="1010">
        <v>42678</v>
      </c>
      <c r="BA313" s="1011">
        <v>5554.35</v>
      </c>
      <c r="BB313" s="1011">
        <v>8.66</v>
      </c>
      <c r="BC313" s="1011">
        <v>1513</v>
      </c>
      <c r="BD313" s="919">
        <v>95.9</v>
      </c>
      <c r="BI313" s="1010">
        <v>43410</v>
      </c>
      <c r="BJ313" s="919">
        <v>6.22</v>
      </c>
    </row>
    <row r="314" spans="1:62" ht="14.5">
      <c r="A314" s="913" t="s">
        <v>496</v>
      </c>
      <c r="B314" s="912">
        <v>41535</v>
      </c>
      <c r="C314" s="910">
        <v>254</v>
      </c>
      <c r="AB314" s="1010"/>
      <c r="AC314" s="1011"/>
      <c r="AD314" s="919"/>
      <c r="AF314" s="937">
        <v>43043</v>
      </c>
      <c r="AG314" s="1022"/>
      <c r="AH314" s="1022"/>
      <c r="AI314" s="1022"/>
      <c r="AJ314" s="1012"/>
      <c r="AK314" s="1022"/>
      <c r="AL314" s="1022"/>
      <c r="AM314" s="911"/>
      <c r="AW314" s="2755">
        <v>43412</v>
      </c>
      <c r="AX314" s="1011">
        <v>1446</v>
      </c>
      <c r="AY314" s="919">
        <v>95.5</v>
      </c>
      <c r="AZ314" s="1010">
        <v>42679</v>
      </c>
      <c r="BA314" s="1011">
        <v>5554.4</v>
      </c>
      <c r="BB314" s="1011">
        <v>8.66</v>
      </c>
      <c r="BC314" s="1011">
        <v>1518</v>
      </c>
      <c r="BD314" s="919">
        <v>96</v>
      </c>
      <c r="BI314" s="1010">
        <v>43411</v>
      </c>
      <c r="BJ314" s="919">
        <v>4.25</v>
      </c>
    </row>
    <row r="315" spans="1:62" ht="14.5">
      <c r="A315" s="913" t="s">
        <v>496</v>
      </c>
      <c r="B315" s="912">
        <v>41536</v>
      </c>
      <c r="C315" s="910">
        <v>257</v>
      </c>
      <c r="AB315" s="1010"/>
      <c r="AC315" s="1011"/>
      <c r="AD315" s="919"/>
      <c r="AF315" s="937">
        <v>43044</v>
      </c>
      <c r="AG315" s="1022"/>
      <c r="AH315" s="1022"/>
      <c r="AI315" s="1022"/>
      <c r="AJ315" s="1012"/>
      <c r="AK315" s="1022"/>
      <c r="AL315" s="1022"/>
      <c r="AM315" s="911"/>
      <c r="AW315" s="2755">
        <v>43413</v>
      </c>
      <c r="AX315" s="1011">
        <v>1443</v>
      </c>
      <c r="AY315" s="919">
        <v>95.4</v>
      </c>
      <c r="AZ315" s="1010">
        <v>42680</v>
      </c>
      <c r="BA315" s="1011">
        <v>5554.47</v>
      </c>
      <c r="BB315" s="1011">
        <v>8.66</v>
      </c>
      <c r="BC315" s="1011">
        <v>1525</v>
      </c>
      <c r="BD315" s="919">
        <v>96.2</v>
      </c>
      <c r="BI315" s="1010">
        <v>43412</v>
      </c>
      <c r="BJ315" s="919">
        <v>3</v>
      </c>
    </row>
    <row r="316" spans="1:62" ht="14.5">
      <c r="A316" s="913" t="s">
        <v>496</v>
      </c>
      <c r="B316" s="912">
        <v>41537</v>
      </c>
      <c r="C316" s="910">
        <v>258</v>
      </c>
      <c r="AB316" s="1010"/>
      <c r="AC316" s="1011"/>
      <c r="AD316" s="919"/>
      <c r="AF316" s="937">
        <v>43045</v>
      </c>
      <c r="AG316" s="1022"/>
      <c r="AH316" s="1022"/>
      <c r="AI316" s="1022"/>
      <c r="AJ316" s="1012"/>
      <c r="AK316" s="1022"/>
      <c r="AL316" s="1022"/>
      <c r="AM316" s="911"/>
      <c r="AW316" s="2755">
        <v>43414</v>
      </c>
      <c r="AX316" s="1011">
        <v>1439</v>
      </c>
      <c r="AY316" s="919">
        <v>95.4</v>
      </c>
      <c r="AZ316" s="1010">
        <v>42681</v>
      </c>
      <c r="BA316" s="1011">
        <v>5554.53</v>
      </c>
      <c r="BB316" s="1011">
        <v>8.66</v>
      </c>
      <c r="BC316" s="1011">
        <v>1531</v>
      </c>
      <c r="BD316" s="919">
        <v>96.4</v>
      </c>
      <c r="BI316" s="1010">
        <v>43413</v>
      </c>
      <c r="BJ316" s="919">
        <v>3.04</v>
      </c>
    </row>
    <row r="317" spans="1:62" ht="14.5">
      <c r="A317" s="913" t="s">
        <v>496</v>
      </c>
      <c r="B317" s="912">
        <v>41538</v>
      </c>
      <c r="C317" s="910">
        <v>279</v>
      </c>
      <c r="AB317" s="1010"/>
      <c r="AC317" s="1011"/>
      <c r="AD317" s="919"/>
      <c r="AF317" s="937">
        <v>43046</v>
      </c>
      <c r="AG317" s="1022"/>
      <c r="AH317" s="1022"/>
      <c r="AI317" s="1022"/>
      <c r="AJ317" s="1012"/>
      <c r="AK317" s="1022"/>
      <c r="AL317" s="1022"/>
      <c r="AM317" s="911"/>
      <c r="AW317" s="2755">
        <v>43415</v>
      </c>
      <c r="AX317" s="1011">
        <v>1436</v>
      </c>
      <c r="AY317" s="919">
        <v>95.3</v>
      </c>
      <c r="AZ317" s="1010">
        <v>42682</v>
      </c>
      <c r="BA317" s="1011">
        <v>5554.54</v>
      </c>
      <c r="BB317" s="1011">
        <v>8.66</v>
      </c>
      <c r="BC317" s="1011">
        <v>1532</v>
      </c>
      <c r="BD317" s="919">
        <v>96.4</v>
      </c>
      <c r="BI317" s="1010">
        <v>43414</v>
      </c>
      <c r="BJ317" s="919">
        <v>3.06</v>
      </c>
    </row>
    <row r="318" spans="1:62" ht="14.5">
      <c r="A318" s="913" t="s">
        <v>496</v>
      </c>
      <c r="B318" s="912">
        <v>41539</v>
      </c>
      <c r="C318" s="910">
        <v>357</v>
      </c>
      <c r="AB318" s="1010"/>
      <c r="AC318" s="1011"/>
      <c r="AD318" s="919"/>
      <c r="AF318" s="937">
        <v>43047</v>
      </c>
      <c r="AG318" s="1022"/>
      <c r="AH318" s="1022"/>
      <c r="AI318" s="1022"/>
      <c r="AJ318" s="1012"/>
      <c r="AK318" s="1022"/>
      <c r="AL318" s="1022"/>
      <c r="AM318" s="911"/>
      <c r="AW318" s="2755">
        <v>43416</v>
      </c>
      <c r="AX318" s="1011">
        <v>1437</v>
      </c>
      <c r="AY318" s="919">
        <v>95.3</v>
      </c>
      <c r="AZ318" s="1010">
        <v>42683</v>
      </c>
      <c r="BA318" s="1011">
        <v>5554.48</v>
      </c>
      <c r="BB318" s="1011">
        <v>8.66</v>
      </c>
      <c r="BC318" s="1011">
        <v>1526</v>
      </c>
      <c r="BD318" s="919">
        <v>96.2</v>
      </c>
      <c r="BI318" s="1010">
        <v>43415</v>
      </c>
      <c r="BJ318" s="919">
        <v>2.96</v>
      </c>
    </row>
    <row r="319" spans="1:62" ht="14.5">
      <c r="A319" s="913" t="s">
        <v>496</v>
      </c>
      <c r="B319" s="912">
        <v>41540</v>
      </c>
      <c r="C319" s="910">
        <v>390</v>
      </c>
      <c r="AB319" s="1010"/>
      <c r="AC319" s="1011"/>
      <c r="AD319" s="919"/>
      <c r="AF319" s="937">
        <v>43048</v>
      </c>
      <c r="AG319" s="1022"/>
      <c r="AH319" s="1022"/>
      <c r="AI319" s="1022"/>
      <c r="AJ319" s="1012"/>
      <c r="AK319" s="1022"/>
      <c r="AL319" s="1022"/>
      <c r="AM319" s="911"/>
      <c r="AW319" s="2755">
        <v>43417</v>
      </c>
      <c r="AX319" s="1011">
        <v>1434</v>
      </c>
      <c r="AY319" s="919">
        <v>95.2</v>
      </c>
      <c r="AZ319" s="1010">
        <v>42684</v>
      </c>
      <c r="BA319" s="1011">
        <v>5554.41</v>
      </c>
      <c r="BB319" s="1011">
        <v>8.66</v>
      </c>
      <c r="BC319" s="1011">
        <v>1519</v>
      </c>
      <c r="BD319" s="919">
        <v>96</v>
      </c>
      <c r="BI319" s="1010">
        <v>43416</v>
      </c>
      <c r="BJ319" s="919">
        <v>2.4900000000000002</v>
      </c>
    </row>
    <row r="320" spans="1:62" ht="14.5">
      <c r="A320" s="913" t="s">
        <v>496</v>
      </c>
      <c r="B320" s="912">
        <v>41541</v>
      </c>
      <c r="C320" s="910">
        <v>460</v>
      </c>
      <c r="AB320" s="1010"/>
      <c r="AC320" s="1011"/>
      <c r="AD320" s="919"/>
      <c r="AF320" s="937">
        <v>43049</v>
      </c>
      <c r="AG320" s="1022"/>
      <c r="AH320" s="1022"/>
      <c r="AI320" s="1022"/>
      <c r="AJ320" s="1012"/>
      <c r="AK320" s="1022"/>
      <c r="AL320" s="1022"/>
      <c r="AM320" s="911"/>
      <c r="AW320" s="2755">
        <v>43418</v>
      </c>
      <c r="AX320" s="1011">
        <v>1433</v>
      </c>
      <c r="AY320" s="919">
        <v>95.2</v>
      </c>
      <c r="AZ320" s="1010">
        <v>42685</v>
      </c>
      <c r="BA320" s="1011">
        <v>5554.42</v>
      </c>
      <c r="BB320" s="1011">
        <v>8.66</v>
      </c>
      <c r="BC320" s="1011">
        <v>1520</v>
      </c>
      <c r="BD320" s="919">
        <v>96</v>
      </c>
      <c r="BI320" s="1010">
        <v>43417</v>
      </c>
      <c r="BJ320" s="919">
        <v>2.56</v>
      </c>
    </row>
    <row r="321" spans="1:62" ht="14.5">
      <c r="A321" s="913" t="s">
        <v>496</v>
      </c>
      <c r="B321" s="912">
        <v>41542</v>
      </c>
      <c r="C321" s="910">
        <v>490</v>
      </c>
      <c r="AB321" s="1010"/>
      <c r="AC321" s="1011"/>
      <c r="AD321" s="919"/>
      <c r="AF321" s="937">
        <v>43050</v>
      </c>
      <c r="AG321" s="1022"/>
      <c r="AH321" s="1022"/>
      <c r="AI321" s="1022"/>
      <c r="AJ321" s="1012"/>
      <c r="AK321" s="1022"/>
      <c r="AL321" s="1022"/>
      <c r="AM321" s="911"/>
      <c r="AW321" s="2755">
        <v>43419</v>
      </c>
      <c r="AX321" s="1011">
        <v>1434</v>
      </c>
      <c r="AY321" s="919">
        <v>95.2</v>
      </c>
      <c r="AZ321" s="1010">
        <v>42686</v>
      </c>
      <c r="BA321" s="1011">
        <v>5554.43</v>
      </c>
      <c r="BB321" s="1011">
        <v>8.66</v>
      </c>
      <c r="BC321" s="1011">
        <v>1521</v>
      </c>
      <c r="BD321" s="919">
        <v>96.1</v>
      </c>
      <c r="BI321" s="1010">
        <v>43418</v>
      </c>
      <c r="BJ321" s="919">
        <v>2.62</v>
      </c>
    </row>
    <row r="322" spans="1:62" ht="14.5">
      <c r="A322" s="913" t="s">
        <v>496</v>
      </c>
      <c r="B322" s="912">
        <v>41543</v>
      </c>
      <c r="C322" s="910">
        <v>486</v>
      </c>
      <c r="AB322" s="1010"/>
      <c r="AC322" s="1011"/>
      <c r="AD322" s="919"/>
      <c r="AF322" s="937">
        <v>43051</v>
      </c>
      <c r="AG322" s="1022"/>
      <c r="AH322" s="1022"/>
      <c r="AI322" s="1022"/>
      <c r="AJ322" s="1012"/>
      <c r="AK322" s="1022"/>
      <c r="AL322" s="1022"/>
      <c r="AM322" s="911"/>
      <c r="AW322" s="2755">
        <v>43420</v>
      </c>
      <c r="AX322" s="1011">
        <v>1435</v>
      </c>
      <c r="AY322" s="919">
        <v>95.2</v>
      </c>
      <c r="AZ322" s="1010">
        <v>42687</v>
      </c>
      <c r="BA322" s="1011">
        <v>5554.44</v>
      </c>
      <c r="BB322" s="1011">
        <v>8.66</v>
      </c>
      <c r="BC322" s="1011">
        <v>1522</v>
      </c>
      <c r="BD322" s="919">
        <v>96.1</v>
      </c>
      <c r="BI322" s="1010">
        <v>43419</v>
      </c>
      <c r="BJ322" s="919">
        <v>2.46</v>
      </c>
    </row>
    <row r="323" spans="1:62" ht="14.5">
      <c r="A323" s="913" t="s">
        <v>496</v>
      </c>
      <c r="B323" s="912">
        <v>41544</v>
      </c>
      <c r="C323" s="910">
        <v>496</v>
      </c>
      <c r="AB323" s="1010"/>
      <c r="AC323" s="1011"/>
      <c r="AD323" s="919"/>
      <c r="AF323" s="937">
        <v>43052</v>
      </c>
      <c r="AG323" s="1022"/>
      <c r="AH323" s="1022"/>
      <c r="AI323" s="1022"/>
      <c r="AJ323" s="1012"/>
      <c r="AK323" s="1022"/>
      <c r="AL323" s="1022"/>
      <c r="AM323" s="911"/>
      <c r="AW323" s="2755">
        <v>43421</v>
      </c>
      <c r="AX323" s="1011">
        <v>1436</v>
      </c>
      <c r="AY323" s="919">
        <v>95.3</v>
      </c>
      <c r="AZ323" s="1010">
        <v>42688</v>
      </c>
      <c r="BA323" s="1011">
        <v>5554.43</v>
      </c>
      <c r="BB323" s="1011">
        <v>8.66</v>
      </c>
      <c r="BC323" s="1011">
        <v>1521</v>
      </c>
      <c r="BD323" s="919">
        <v>96.1</v>
      </c>
      <c r="BI323" s="1010">
        <v>43420</v>
      </c>
      <c r="BJ323" s="919">
        <v>2.41</v>
      </c>
    </row>
    <row r="324" spans="1:62" ht="14.5">
      <c r="A324" s="913" t="s">
        <v>496</v>
      </c>
      <c r="B324" s="912">
        <v>41545</v>
      </c>
      <c r="C324" s="910">
        <v>492</v>
      </c>
      <c r="AB324" s="1010"/>
      <c r="AC324" s="1011"/>
      <c r="AD324" s="919"/>
      <c r="AF324" s="937">
        <v>43053</v>
      </c>
      <c r="AG324" s="1022"/>
      <c r="AH324" s="1022"/>
      <c r="AI324" s="1022"/>
      <c r="AJ324" s="1012"/>
      <c r="AK324" s="1022"/>
      <c r="AL324" s="1022"/>
      <c r="AM324" s="911"/>
      <c r="AW324" s="2755">
        <v>43422</v>
      </c>
      <c r="AX324" s="1011">
        <v>1436</v>
      </c>
      <c r="AY324" s="919">
        <v>95.3</v>
      </c>
      <c r="AZ324" s="1010">
        <v>42689</v>
      </c>
      <c r="BA324" s="1011">
        <v>5554.43</v>
      </c>
      <c r="BB324" s="1011">
        <v>8.66</v>
      </c>
      <c r="BC324" s="1011">
        <v>1521</v>
      </c>
      <c r="BD324" s="919">
        <v>96.1</v>
      </c>
      <c r="BI324" s="1010">
        <v>43421</v>
      </c>
      <c r="BJ324" s="919">
        <v>2.41</v>
      </c>
    </row>
    <row r="325" spans="1:62" ht="14.5">
      <c r="A325" s="913" t="s">
        <v>496</v>
      </c>
      <c r="B325" s="912">
        <v>41546</v>
      </c>
      <c r="C325" s="910">
        <v>487</v>
      </c>
      <c r="AB325" s="1010"/>
      <c r="AC325" s="1011"/>
      <c r="AD325" s="919"/>
      <c r="AF325" s="937">
        <v>43054</v>
      </c>
      <c r="AG325" s="1022"/>
      <c r="AH325" s="1022"/>
      <c r="AI325" s="1022"/>
      <c r="AJ325" s="1012"/>
      <c r="AK325" s="1022"/>
      <c r="AL325" s="1022"/>
      <c r="AM325" s="911"/>
      <c r="AW325" s="2755">
        <v>43423</v>
      </c>
      <c r="AX325" s="1011">
        <v>1433</v>
      </c>
      <c r="AY325" s="919">
        <v>95.2</v>
      </c>
      <c r="AZ325" s="1010">
        <v>42690</v>
      </c>
      <c r="BA325" s="1011">
        <v>5554.4</v>
      </c>
      <c r="BB325" s="1011">
        <v>8.66</v>
      </c>
      <c r="BC325" s="1011">
        <v>1518</v>
      </c>
      <c r="BD325" s="919">
        <v>96</v>
      </c>
      <c r="BI325" s="1010">
        <v>43422</v>
      </c>
      <c r="BJ325" s="919">
        <v>2.61</v>
      </c>
    </row>
    <row r="326" spans="1:62" ht="14.5">
      <c r="A326" s="913" t="s">
        <v>496</v>
      </c>
      <c r="B326" s="912">
        <v>41547</v>
      </c>
      <c r="C326" s="910">
        <v>488</v>
      </c>
      <c r="AB326" s="1010"/>
      <c r="AC326" s="1011"/>
      <c r="AD326" s="919"/>
      <c r="AF326" s="937">
        <v>43055</v>
      </c>
      <c r="AG326" s="1022"/>
      <c r="AH326" s="1022"/>
      <c r="AI326" s="1022"/>
      <c r="AJ326" s="1012"/>
      <c r="AK326" s="1022"/>
      <c r="AL326" s="1022"/>
      <c r="AM326" s="911"/>
      <c r="AW326" s="2755">
        <v>43424</v>
      </c>
      <c r="AX326" s="1011">
        <v>1431</v>
      </c>
      <c r="AY326" s="919">
        <v>95.1</v>
      </c>
      <c r="AZ326" s="1010">
        <v>42691</v>
      </c>
      <c r="BA326" s="1011">
        <v>5554.4</v>
      </c>
      <c r="BB326" s="1011">
        <v>8.66</v>
      </c>
      <c r="BC326" s="1011">
        <v>1518</v>
      </c>
      <c r="BD326" s="919">
        <v>96</v>
      </c>
      <c r="BI326" s="1010">
        <v>43423</v>
      </c>
      <c r="BJ326" s="919">
        <v>2.5099999999999998</v>
      </c>
    </row>
    <row r="327" spans="1:62" ht="14.5">
      <c r="A327" s="913" t="s">
        <v>496</v>
      </c>
      <c r="B327" s="912">
        <v>41548</v>
      </c>
      <c r="C327" s="910">
        <v>487</v>
      </c>
      <c r="D327" s="910">
        <f>AVERAGE(C327:C357)</f>
        <v>219.40322580645159</v>
      </c>
      <c r="AB327" s="1010"/>
      <c r="AC327" s="1011"/>
      <c r="AD327" s="919"/>
      <c r="AF327" s="937">
        <v>43056</v>
      </c>
      <c r="AG327" s="1022"/>
      <c r="AH327" s="1022"/>
      <c r="AI327" s="1022"/>
      <c r="AJ327" s="1012"/>
      <c r="AK327" s="1022"/>
      <c r="AL327" s="1022"/>
      <c r="AM327" s="911"/>
      <c r="AW327" s="2755">
        <v>43425</v>
      </c>
      <c r="AX327" s="1011">
        <v>1428</v>
      </c>
      <c r="AY327" s="919">
        <v>95</v>
      </c>
      <c r="AZ327" s="1010">
        <v>42692</v>
      </c>
      <c r="BA327" s="1011">
        <v>5554.47</v>
      </c>
      <c r="BB327" s="1011">
        <v>8.66</v>
      </c>
      <c r="BC327" s="1011">
        <v>1525</v>
      </c>
      <c r="BD327" s="919">
        <v>96.2</v>
      </c>
      <c r="BI327" s="1010">
        <v>43424</v>
      </c>
      <c r="BJ327" s="919">
        <v>2.52</v>
      </c>
    </row>
    <row r="328" spans="1:62" ht="14.5">
      <c r="A328" s="913" t="s">
        <v>496</v>
      </c>
      <c r="B328" s="912">
        <v>41549</v>
      </c>
      <c r="C328" s="910">
        <v>478</v>
      </c>
      <c r="AB328" s="1010"/>
      <c r="AC328" s="1011"/>
      <c r="AD328" s="919"/>
      <c r="AF328" s="937">
        <v>43057</v>
      </c>
      <c r="AG328" s="1022"/>
      <c r="AH328" s="1022"/>
      <c r="AI328" s="1022"/>
      <c r="AJ328" s="1012"/>
      <c r="AK328" s="1022"/>
      <c r="AL328" s="1022"/>
      <c r="AM328" s="911"/>
      <c r="AW328" s="2755">
        <v>43426</v>
      </c>
      <c r="AX328" s="1011">
        <v>1425</v>
      </c>
      <c r="AY328" s="919">
        <v>95</v>
      </c>
      <c r="AZ328" s="1010">
        <v>42693</v>
      </c>
      <c r="BA328" s="1011">
        <v>5554.48</v>
      </c>
      <c r="BB328" s="1011">
        <v>8.66</v>
      </c>
      <c r="BC328" s="1011">
        <v>1526</v>
      </c>
      <c r="BD328" s="919">
        <v>96.2</v>
      </c>
      <c r="BI328" s="1010">
        <v>43425</v>
      </c>
      <c r="BJ328" s="919">
        <v>2.48</v>
      </c>
    </row>
    <row r="329" spans="1:62" ht="14.5">
      <c r="A329" s="913" t="s">
        <v>496</v>
      </c>
      <c r="B329" s="912">
        <v>41550</v>
      </c>
      <c r="C329" s="910">
        <v>470</v>
      </c>
      <c r="AB329" s="1010"/>
      <c r="AC329" s="1011"/>
      <c r="AD329" s="919"/>
      <c r="AF329" s="937">
        <v>43058</v>
      </c>
      <c r="AG329" s="1022"/>
      <c r="AH329" s="1022"/>
      <c r="AI329" s="1022"/>
      <c r="AJ329" s="1012"/>
      <c r="AK329" s="1022"/>
      <c r="AL329" s="1022"/>
      <c r="AM329" s="911"/>
      <c r="AW329" s="2755">
        <v>43427</v>
      </c>
      <c r="AX329" s="1011">
        <v>1423</v>
      </c>
      <c r="AY329" s="919">
        <v>94.9</v>
      </c>
      <c r="AZ329" s="1010">
        <v>42694</v>
      </c>
      <c r="BA329" s="1011">
        <v>5554.49</v>
      </c>
      <c r="BB329" s="1011">
        <v>8.66</v>
      </c>
      <c r="BC329" s="1011">
        <v>1527</v>
      </c>
      <c r="BD329" s="919">
        <v>96.2</v>
      </c>
      <c r="BI329" s="1010">
        <v>43426</v>
      </c>
      <c r="BJ329" s="919">
        <v>2.41</v>
      </c>
    </row>
    <row r="330" spans="1:62" ht="14.5">
      <c r="A330" s="913" t="s">
        <v>496</v>
      </c>
      <c r="B330" s="912">
        <v>41551</v>
      </c>
      <c r="C330" s="910">
        <v>400</v>
      </c>
      <c r="AB330" s="1010"/>
      <c r="AC330" s="1011"/>
      <c r="AD330" s="919"/>
      <c r="AF330" s="937">
        <v>43059</v>
      </c>
      <c r="AG330" s="1022"/>
      <c r="AH330" s="1022"/>
      <c r="AI330" s="1022"/>
      <c r="AJ330" s="1012"/>
      <c r="AK330" s="1022"/>
      <c r="AL330" s="1022"/>
      <c r="AM330" s="911"/>
      <c r="AW330" s="2755">
        <v>43428</v>
      </c>
      <c r="AX330" s="1011">
        <v>1420</v>
      </c>
      <c r="AY330" s="919">
        <v>94.8</v>
      </c>
      <c r="AZ330" s="1010">
        <v>42695</v>
      </c>
      <c r="BA330" s="1011">
        <v>5554.63</v>
      </c>
      <c r="BB330" s="1011">
        <v>8.66</v>
      </c>
      <c r="BC330" s="1011">
        <v>1541</v>
      </c>
      <c r="BD330" s="919">
        <v>96.6</v>
      </c>
      <c r="BI330" s="1010">
        <v>43427</v>
      </c>
      <c r="BJ330" s="919">
        <v>2.46</v>
      </c>
    </row>
    <row r="331" spans="1:62" ht="14.5">
      <c r="A331" s="913" t="s">
        <v>496</v>
      </c>
      <c r="B331" s="912">
        <v>41552</v>
      </c>
      <c r="C331" s="910">
        <v>350</v>
      </c>
      <c r="AB331" s="1010"/>
      <c r="AC331" s="1011"/>
      <c r="AD331" s="919"/>
      <c r="AF331" s="937">
        <v>43060</v>
      </c>
      <c r="AG331" s="1022"/>
      <c r="AH331" s="1022"/>
      <c r="AI331" s="1022"/>
      <c r="AJ331" s="1012"/>
      <c r="AK331" s="1022"/>
      <c r="AL331" s="1022"/>
      <c r="AM331" s="911"/>
      <c r="AW331" s="2755">
        <v>43429</v>
      </c>
      <c r="AX331" s="1011">
        <v>1417</v>
      </c>
      <c r="AY331" s="919">
        <v>94.7</v>
      </c>
      <c r="AZ331" s="1010">
        <v>42696</v>
      </c>
      <c r="BA331" s="1011">
        <v>5554.77</v>
      </c>
      <c r="BB331" s="1011">
        <v>8.66</v>
      </c>
      <c r="BC331" s="1011">
        <v>1555</v>
      </c>
      <c r="BD331" s="919">
        <v>96.9</v>
      </c>
      <c r="BI331" s="1010">
        <v>43428</v>
      </c>
      <c r="BJ331" s="919">
        <v>2.2200000000000002</v>
      </c>
    </row>
    <row r="332" spans="1:62" ht="14.5">
      <c r="A332" s="913" t="s">
        <v>496</v>
      </c>
      <c r="B332" s="912">
        <v>41553</v>
      </c>
      <c r="C332" s="910">
        <v>347</v>
      </c>
      <c r="AB332" s="1010"/>
      <c r="AC332" s="1011"/>
      <c r="AD332" s="919"/>
      <c r="AF332" s="937">
        <v>43061</v>
      </c>
      <c r="AG332" s="1022"/>
      <c r="AH332" s="1022"/>
      <c r="AI332" s="1022"/>
      <c r="AJ332" s="1012"/>
      <c r="AK332" s="1022"/>
      <c r="AL332" s="1022"/>
      <c r="AM332" s="911"/>
      <c r="AW332" s="2755">
        <v>43430</v>
      </c>
      <c r="AX332" s="1011">
        <v>1414</v>
      </c>
      <c r="AY332" s="919">
        <v>94.6</v>
      </c>
      <c r="AZ332" s="1010">
        <v>42697</v>
      </c>
      <c r="BA332" s="1011">
        <v>5554.85</v>
      </c>
      <c r="BB332" s="1011">
        <v>8.66</v>
      </c>
      <c r="BC332" s="1011">
        <v>1562</v>
      </c>
      <c r="BD332" s="919">
        <v>97.1</v>
      </c>
      <c r="BI332" s="1010">
        <v>43429</v>
      </c>
      <c r="BJ332" s="919">
        <v>2.42</v>
      </c>
    </row>
    <row r="333" spans="1:62" ht="14.5">
      <c r="A333" s="913" t="s">
        <v>496</v>
      </c>
      <c r="B333" s="912">
        <v>41554</v>
      </c>
      <c r="C333" s="910">
        <v>342</v>
      </c>
      <c r="AB333" s="1010"/>
      <c r="AC333" s="1011"/>
      <c r="AD333" s="919"/>
      <c r="AF333" s="937">
        <v>43062</v>
      </c>
      <c r="AG333" s="1022"/>
      <c r="AH333" s="1022"/>
      <c r="AI333" s="1022"/>
      <c r="AJ333" s="1012"/>
      <c r="AK333" s="1022"/>
      <c r="AL333" s="1022"/>
      <c r="AM333" s="911"/>
      <c r="AW333" s="2755">
        <v>43431</v>
      </c>
      <c r="AX333" s="1011">
        <v>1413</v>
      </c>
      <c r="AY333" s="919">
        <v>94.6</v>
      </c>
      <c r="AZ333" s="1010">
        <v>42698</v>
      </c>
      <c r="BA333" s="1011">
        <v>5554.82</v>
      </c>
      <c r="BB333" s="1011">
        <v>8.66</v>
      </c>
      <c r="BC333" s="1011">
        <v>1559</v>
      </c>
      <c r="BD333" s="919">
        <v>97</v>
      </c>
      <c r="BI333" s="1010">
        <v>43430</v>
      </c>
      <c r="BJ333" s="919">
        <v>2.5499999999999998</v>
      </c>
    </row>
    <row r="334" spans="1:62" ht="14.5">
      <c r="A334" s="913" t="s">
        <v>496</v>
      </c>
      <c r="B334" s="912">
        <v>41555</v>
      </c>
      <c r="C334" s="910">
        <v>344</v>
      </c>
      <c r="AB334" s="1010"/>
      <c r="AC334" s="1011"/>
      <c r="AD334" s="919"/>
      <c r="AF334" s="937">
        <v>43063</v>
      </c>
      <c r="AG334" s="1022"/>
      <c r="AH334" s="1022"/>
      <c r="AI334" s="1022"/>
      <c r="AJ334" s="1012"/>
      <c r="AK334" s="1022"/>
      <c r="AL334" s="1022"/>
      <c r="AM334" s="911"/>
      <c r="AW334" s="2755">
        <v>43432</v>
      </c>
      <c r="AX334" s="1011">
        <v>1410</v>
      </c>
      <c r="AY334" s="919">
        <v>94.4</v>
      </c>
      <c r="AZ334" s="1010">
        <v>42699</v>
      </c>
      <c r="BA334" s="1011">
        <v>5554.8</v>
      </c>
      <c r="BB334" s="1011">
        <v>8.66</v>
      </c>
      <c r="BC334" s="1011">
        <v>1557</v>
      </c>
      <c r="BD334" s="919">
        <v>97</v>
      </c>
      <c r="BI334" s="1010">
        <v>43431</v>
      </c>
      <c r="BJ334" s="919">
        <v>2.46</v>
      </c>
    </row>
    <row r="335" spans="1:62" ht="14.5">
      <c r="A335" s="913" t="s">
        <v>496</v>
      </c>
      <c r="B335" s="912">
        <v>41556</v>
      </c>
      <c r="C335" s="910">
        <v>343</v>
      </c>
      <c r="AB335" s="1010"/>
      <c r="AC335" s="1011"/>
      <c r="AD335" s="919"/>
      <c r="AF335" s="937">
        <v>43064</v>
      </c>
      <c r="AG335" s="1022"/>
      <c r="AH335" s="1022"/>
      <c r="AI335" s="1022"/>
      <c r="AJ335" s="1012"/>
      <c r="AK335" s="1022"/>
      <c r="AL335" s="1022"/>
      <c r="AM335" s="911"/>
      <c r="AW335" s="2755">
        <v>43433</v>
      </c>
      <c r="AX335" s="1011">
        <v>1406</v>
      </c>
      <c r="AY335" s="919">
        <v>94.3</v>
      </c>
      <c r="AZ335" s="1010">
        <v>42700</v>
      </c>
      <c r="BA335" s="1011">
        <v>5554.76</v>
      </c>
      <c r="BB335" s="1011">
        <v>8.66</v>
      </c>
      <c r="BC335" s="1011">
        <v>1554</v>
      </c>
      <c r="BD335" s="919">
        <v>96.9</v>
      </c>
      <c r="BI335" s="1010">
        <v>43432</v>
      </c>
      <c r="BJ335" s="919">
        <v>2.5499999999999998</v>
      </c>
    </row>
    <row r="336" spans="1:62" ht="14.5">
      <c r="A336" s="913" t="s">
        <v>496</v>
      </c>
      <c r="B336" s="912">
        <v>41557</v>
      </c>
      <c r="C336" s="910">
        <v>347</v>
      </c>
      <c r="AB336" s="1010"/>
      <c r="AC336" s="1011"/>
      <c r="AD336" s="919"/>
      <c r="AF336" s="937">
        <v>43065</v>
      </c>
      <c r="AG336" s="1022"/>
      <c r="AH336" s="1022"/>
      <c r="AI336" s="1022"/>
      <c r="AJ336" s="1012"/>
      <c r="AK336" s="1022"/>
      <c r="AL336" s="1022"/>
      <c r="AM336" s="911"/>
      <c r="AW336" s="2755">
        <v>43434</v>
      </c>
      <c r="AX336" s="1011">
        <v>1406</v>
      </c>
      <c r="AY336" s="919">
        <v>94.3</v>
      </c>
      <c r="AZ336" s="1010">
        <v>42701</v>
      </c>
      <c r="BA336" s="1011">
        <v>5554.73</v>
      </c>
      <c r="BB336" s="1011">
        <v>8.66</v>
      </c>
      <c r="BC336" s="1011">
        <v>1551</v>
      </c>
      <c r="BD336" s="919">
        <v>96.8</v>
      </c>
      <c r="BI336" s="1010">
        <v>43433</v>
      </c>
      <c r="BJ336" s="919">
        <v>2.42</v>
      </c>
    </row>
    <row r="337" spans="1:62" ht="14.5">
      <c r="A337" s="913" t="s">
        <v>496</v>
      </c>
      <c r="B337" s="912">
        <v>41558</v>
      </c>
      <c r="C337" s="910">
        <v>275</v>
      </c>
      <c r="AB337" s="1010"/>
      <c r="AC337" s="1011"/>
      <c r="AD337" s="919"/>
      <c r="AF337" s="937">
        <v>43066</v>
      </c>
      <c r="AG337" s="1022"/>
      <c r="AH337" s="1022"/>
      <c r="AI337" s="1022"/>
      <c r="AJ337" s="1012"/>
      <c r="AK337" s="1022"/>
      <c r="AL337" s="1022"/>
      <c r="AM337" s="911"/>
      <c r="AW337" s="2755">
        <v>43435</v>
      </c>
      <c r="AX337" s="1011">
        <v>1408</v>
      </c>
      <c r="AY337" s="919">
        <v>94.4</v>
      </c>
      <c r="AZ337" s="1010">
        <v>42702</v>
      </c>
      <c r="BA337" s="1011">
        <v>5554.71</v>
      </c>
      <c r="BB337" s="1011">
        <v>8.66</v>
      </c>
      <c r="BC337" s="1011">
        <v>1549</v>
      </c>
      <c r="BD337" s="919">
        <v>96.8</v>
      </c>
      <c r="BI337" s="1010">
        <v>43434</v>
      </c>
      <c r="BJ337" s="919">
        <v>2.4</v>
      </c>
    </row>
    <row r="338" spans="1:62" ht="14.5">
      <c r="A338" s="913" t="s">
        <v>496</v>
      </c>
      <c r="B338" s="912">
        <v>41559</v>
      </c>
      <c r="C338" s="910">
        <v>230</v>
      </c>
      <c r="AB338" s="1010"/>
      <c r="AC338" s="1011"/>
      <c r="AD338" s="919"/>
      <c r="AF338" s="937">
        <v>43067</v>
      </c>
      <c r="AG338" s="1022"/>
      <c r="AH338" s="1022"/>
      <c r="AI338" s="1022"/>
      <c r="AJ338" s="1012"/>
      <c r="AK338" s="1022"/>
      <c r="AL338" s="1022"/>
      <c r="AM338" s="911"/>
      <c r="AW338" s="2755">
        <v>43436</v>
      </c>
      <c r="AX338" s="1011">
        <v>1407</v>
      </c>
      <c r="AY338" s="919">
        <v>94.4</v>
      </c>
      <c r="AZ338" s="1010">
        <v>42703</v>
      </c>
      <c r="BA338" s="1011">
        <v>5554.75</v>
      </c>
      <c r="BB338" s="1011">
        <v>8.66</v>
      </c>
      <c r="BC338" s="1011">
        <v>1552</v>
      </c>
      <c r="BD338" s="919">
        <v>96.9</v>
      </c>
      <c r="BI338" s="1010">
        <v>43435</v>
      </c>
      <c r="BJ338" s="919">
        <v>2.48</v>
      </c>
    </row>
    <row r="339" spans="1:62" ht="14.5">
      <c r="A339" s="913" t="s">
        <v>496</v>
      </c>
      <c r="B339" s="912">
        <v>41560</v>
      </c>
      <c r="C339" s="910">
        <v>228</v>
      </c>
      <c r="AB339" s="1010"/>
      <c r="AC339" s="1011"/>
      <c r="AD339" s="919"/>
      <c r="AF339" s="937">
        <v>43068</v>
      </c>
      <c r="AG339" s="1022"/>
      <c r="AH339" s="1022"/>
      <c r="AI339" s="1022"/>
      <c r="AJ339" s="1012"/>
      <c r="AK339" s="1022"/>
      <c r="AL339" s="1022"/>
      <c r="AM339" s="911"/>
      <c r="AW339" s="2755">
        <v>43437</v>
      </c>
      <c r="AX339" s="1011">
        <v>1406</v>
      </c>
      <c r="AY339" s="919">
        <v>94.3</v>
      </c>
      <c r="AZ339" s="1010">
        <v>42704</v>
      </c>
      <c r="BA339" s="1011">
        <v>5554.79</v>
      </c>
      <c r="BB339" s="1011">
        <v>8.66</v>
      </c>
      <c r="BC339" s="1011">
        <v>1556</v>
      </c>
      <c r="BD339" s="919">
        <v>97</v>
      </c>
      <c r="BI339" s="1010">
        <v>43436</v>
      </c>
      <c r="BJ339" s="919">
        <v>2.4</v>
      </c>
    </row>
    <row r="340" spans="1:62" ht="14.5">
      <c r="A340" s="913" t="s">
        <v>496</v>
      </c>
      <c r="B340" s="912">
        <v>41561</v>
      </c>
      <c r="C340" s="910">
        <v>224</v>
      </c>
      <c r="AB340" s="1010"/>
      <c r="AC340" s="1011"/>
      <c r="AD340" s="919"/>
      <c r="AF340" s="937">
        <v>43069</v>
      </c>
      <c r="AG340" s="1022"/>
      <c r="AH340" s="1022"/>
      <c r="AI340" s="1022"/>
      <c r="AJ340" s="1012"/>
      <c r="AK340" s="1022"/>
      <c r="AL340" s="1022"/>
      <c r="AM340" s="911"/>
      <c r="AW340" s="2755">
        <v>43438</v>
      </c>
      <c r="AX340" s="1011">
        <v>1402</v>
      </c>
      <c r="AY340" s="919">
        <v>94.2</v>
      </c>
      <c r="AZ340" s="1010">
        <v>42705</v>
      </c>
      <c r="BA340" s="1011">
        <v>5554.92</v>
      </c>
      <c r="BB340" s="1011">
        <v>8.66</v>
      </c>
      <c r="BC340" s="1011">
        <v>1569</v>
      </c>
      <c r="BD340" s="919">
        <v>97.3</v>
      </c>
      <c r="BI340" s="1010">
        <v>43437</v>
      </c>
      <c r="BJ340" s="919">
        <v>2.4</v>
      </c>
    </row>
    <row r="341" spans="1:62" ht="14.5">
      <c r="A341" s="913" t="s">
        <v>496</v>
      </c>
      <c r="B341" s="912">
        <v>41562</v>
      </c>
      <c r="C341" s="910">
        <v>220</v>
      </c>
      <c r="AB341" s="1010"/>
      <c r="AC341" s="1011"/>
      <c r="AD341" s="919"/>
      <c r="AF341" s="937">
        <v>43070</v>
      </c>
      <c r="AG341" s="1022"/>
      <c r="AH341" s="1022"/>
      <c r="AI341" s="1022"/>
      <c r="AJ341" s="1012"/>
      <c r="AK341" s="1022"/>
      <c r="AL341" s="1022"/>
      <c r="AM341" s="911"/>
      <c r="AW341" s="2755">
        <v>43439</v>
      </c>
      <c r="AX341" s="1011">
        <v>1398</v>
      </c>
      <c r="AY341" s="919">
        <v>94</v>
      </c>
      <c r="AZ341" s="1010">
        <v>42706</v>
      </c>
      <c r="BA341" s="1011">
        <v>5555.1</v>
      </c>
      <c r="BB341" s="1011">
        <v>8.66</v>
      </c>
      <c r="BC341" s="1011">
        <v>1587</v>
      </c>
      <c r="BD341" s="919">
        <v>97.7</v>
      </c>
      <c r="BI341" s="1010">
        <v>43438</v>
      </c>
      <c r="BJ341" s="919">
        <v>2.59</v>
      </c>
    </row>
    <row r="342" spans="1:62" ht="15" thickBot="1">
      <c r="A342" s="913" t="s">
        <v>496</v>
      </c>
      <c r="B342" s="912">
        <v>41563</v>
      </c>
      <c r="C342" s="910">
        <v>225</v>
      </c>
      <c r="AB342" s="1010"/>
      <c r="AC342" s="1011"/>
      <c r="AD342" s="919"/>
      <c r="AF342" s="937">
        <v>43071</v>
      </c>
      <c r="AG342" s="1022"/>
      <c r="AH342" s="1022"/>
      <c r="AI342" s="1022"/>
      <c r="AJ342" s="1012"/>
      <c r="AK342" s="1022"/>
      <c r="AL342" s="1022"/>
      <c r="AM342" s="911"/>
      <c r="AW342" s="2755">
        <v>43440</v>
      </c>
      <c r="AX342" s="1011">
        <v>1393</v>
      </c>
      <c r="AY342" s="919">
        <v>93.9</v>
      </c>
      <c r="AZ342" s="1010">
        <v>42707</v>
      </c>
      <c r="BA342" s="1011">
        <v>5555.29</v>
      </c>
      <c r="BB342" s="1011">
        <v>8.66</v>
      </c>
      <c r="BC342" s="1011">
        <v>1606</v>
      </c>
      <c r="BD342" s="919">
        <v>98.2</v>
      </c>
      <c r="BI342" s="1010">
        <v>43439</v>
      </c>
      <c r="BJ342" s="919">
        <v>2.8</v>
      </c>
    </row>
    <row r="343" spans="1:62" ht="14.5">
      <c r="A343" s="913" t="s">
        <v>496</v>
      </c>
      <c r="B343" s="912">
        <v>41564</v>
      </c>
      <c r="C343" s="910">
        <v>228</v>
      </c>
      <c r="AB343" s="1010"/>
      <c r="AC343" s="1011"/>
      <c r="AD343" s="919"/>
      <c r="AF343" s="937">
        <v>43072</v>
      </c>
      <c r="AG343" s="999"/>
      <c r="AH343" s="999"/>
      <c r="AI343" s="999"/>
      <c r="AJ343" s="1012"/>
      <c r="AK343" s="999"/>
      <c r="AL343" s="999"/>
      <c r="AM343" s="911"/>
      <c r="AW343" s="2755">
        <v>43441</v>
      </c>
      <c r="AX343" s="1011">
        <v>1389</v>
      </c>
      <c r="AY343" s="919">
        <v>93.7</v>
      </c>
      <c r="AZ343" s="1010">
        <v>42708</v>
      </c>
      <c r="BA343" s="1011">
        <v>5555.51</v>
      </c>
      <c r="BB343" s="1011">
        <v>8.66</v>
      </c>
      <c r="BC343" s="1011">
        <v>1627</v>
      </c>
      <c r="BD343" s="919">
        <v>98.8</v>
      </c>
      <c r="BI343" s="1010">
        <v>43440</v>
      </c>
      <c r="BJ343" s="919">
        <v>3</v>
      </c>
    </row>
    <row r="344" spans="1:62" ht="14.5">
      <c r="A344" s="913" t="s">
        <v>496</v>
      </c>
      <c r="B344" s="912">
        <v>41565</v>
      </c>
      <c r="C344" s="910">
        <v>209</v>
      </c>
      <c r="AB344" s="1010"/>
      <c r="AC344" s="1011"/>
      <c r="AD344" s="919"/>
      <c r="AF344" s="937">
        <v>43073</v>
      </c>
      <c r="AG344" s="981"/>
      <c r="AH344" s="981"/>
      <c r="AI344" s="981"/>
      <c r="AJ344" s="1012"/>
      <c r="AK344" s="981"/>
      <c r="AL344" s="981"/>
      <c r="AM344" s="911"/>
      <c r="AW344" s="2755">
        <v>43442</v>
      </c>
      <c r="AX344" s="1011">
        <v>1384</v>
      </c>
      <c r="AY344" s="919">
        <v>93.6</v>
      </c>
      <c r="AZ344" s="1010">
        <v>42709</v>
      </c>
      <c r="BA344" s="1011">
        <v>5555.79</v>
      </c>
      <c r="BB344" s="1011">
        <v>8.66</v>
      </c>
      <c r="BC344" s="1011">
        <v>1655</v>
      </c>
      <c r="BD344" s="919">
        <v>99.5</v>
      </c>
      <c r="BI344" s="1010">
        <v>43441</v>
      </c>
      <c r="BJ344" s="919">
        <v>2.99</v>
      </c>
    </row>
    <row r="345" spans="1:62" ht="14.5">
      <c r="A345" s="913" t="s">
        <v>496</v>
      </c>
      <c r="B345" s="912">
        <v>41566</v>
      </c>
      <c r="C345" s="910">
        <v>103</v>
      </c>
      <c r="AB345" s="1010"/>
      <c r="AC345" s="1011"/>
      <c r="AD345" s="919"/>
      <c r="AF345" s="937">
        <v>43074</v>
      </c>
      <c r="AG345" s="981"/>
      <c r="AH345" s="981"/>
      <c r="AI345" s="981"/>
      <c r="AJ345" s="1012"/>
      <c r="AK345" s="981"/>
      <c r="AL345" s="981"/>
      <c r="AM345" s="911"/>
      <c r="AW345" s="2755">
        <v>43443</v>
      </c>
      <c r="AX345" s="1011">
        <v>1380</v>
      </c>
      <c r="AY345" s="919">
        <v>93.4</v>
      </c>
      <c r="AZ345" s="1010">
        <v>42710</v>
      </c>
      <c r="BA345" s="1011">
        <v>5556.05</v>
      </c>
      <c r="BB345" s="1011">
        <v>8.66</v>
      </c>
      <c r="BC345" s="1011">
        <v>1680</v>
      </c>
      <c r="BD345" s="919">
        <v>100</v>
      </c>
      <c r="BI345" s="1010">
        <v>43442</v>
      </c>
      <c r="BJ345" s="919">
        <v>2.95</v>
      </c>
    </row>
    <row r="346" spans="1:62" ht="14.5">
      <c r="A346" s="913" t="s">
        <v>496</v>
      </c>
      <c r="B346" s="912">
        <v>41567</v>
      </c>
      <c r="C346" s="910">
        <v>88.3</v>
      </c>
      <c r="AB346" s="1010"/>
      <c r="AC346" s="1011"/>
      <c r="AD346" s="919"/>
      <c r="AF346" s="937">
        <v>43075</v>
      </c>
      <c r="AG346" s="981"/>
      <c r="AH346" s="981"/>
      <c r="AI346" s="981"/>
      <c r="AJ346" s="1012"/>
      <c r="AK346" s="981"/>
      <c r="AL346" s="981"/>
      <c r="AM346" s="911"/>
      <c r="AW346" s="2755">
        <v>43444</v>
      </c>
      <c r="AX346" s="1011">
        <v>1374</v>
      </c>
      <c r="AY346" s="919">
        <v>93.3</v>
      </c>
      <c r="AZ346" s="1010">
        <v>42711</v>
      </c>
      <c r="BA346" s="1011">
        <v>5556.23</v>
      </c>
      <c r="BB346" s="1011">
        <v>8.66</v>
      </c>
      <c r="BC346" s="1011">
        <v>1699</v>
      </c>
      <c r="BD346" s="919">
        <v>101</v>
      </c>
      <c r="BI346" s="1010">
        <v>43443</v>
      </c>
      <c r="BJ346" s="919">
        <v>2.92</v>
      </c>
    </row>
    <row r="347" spans="1:62" ht="14.5">
      <c r="A347" s="913" t="s">
        <v>496</v>
      </c>
      <c r="B347" s="912">
        <v>41568</v>
      </c>
      <c r="C347" s="910">
        <v>87.9</v>
      </c>
      <c r="AB347" s="1010"/>
      <c r="AC347" s="1011"/>
      <c r="AD347" s="919"/>
      <c r="AF347" s="937">
        <v>43076</v>
      </c>
      <c r="AG347" s="981"/>
      <c r="AH347" s="981"/>
      <c r="AI347" s="981"/>
      <c r="AJ347" s="1012"/>
      <c r="AK347" s="981"/>
      <c r="AL347" s="981"/>
      <c r="AM347" s="911"/>
      <c r="AW347" s="2755">
        <v>43445</v>
      </c>
      <c r="AX347" s="1011">
        <v>1369</v>
      </c>
      <c r="AY347" s="919">
        <v>93.1</v>
      </c>
      <c r="AZ347" s="1010">
        <v>42712</v>
      </c>
      <c r="BA347" s="1011">
        <v>5556.2</v>
      </c>
      <c r="BB347" s="1011">
        <v>8.66</v>
      </c>
      <c r="BC347" s="1011">
        <v>1696</v>
      </c>
      <c r="BD347" s="919">
        <v>101</v>
      </c>
      <c r="BI347" s="1010">
        <v>43444</v>
      </c>
      <c r="BJ347" s="919">
        <v>2.84</v>
      </c>
    </row>
    <row r="348" spans="1:62" ht="14.5">
      <c r="A348" s="913" t="s">
        <v>496</v>
      </c>
      <c r="B348" s="912">
        <v>41569</v>
      </c>
      <c r="C348" s="910">
        <v>85.2</v>
      </c>
      <c r="AB348" s="1010"/>
      <c r="AC348" s="1011"/>
      <c r="AD348" s="919"/>
      <c r="AF348" s="937">
        <v>43077</v>
      </c>
      <c r="AG348" s="981"/>
      <c r="AH348" s="981"/>
      <c r="AI348" s="981"/>
      <c r="AJ348" s="1012"/>
      <c r="AK348" s="981"/>
      <c r="AL348" s="981"/>
      <c r="AM348" s="911"/>
      <c r="AW348" s="2755">
        <v>43446</v>
      </c>
      <c r="AX348" s="1011">
        <v>1364</v>
      </c>
      <c r="AY348" s="919">
        <v>92.9</v>
      </c>
      <c r="AZ348" s="1010">
        <v>42713</v>
      </c>
      <c r="BA348" s="1011">
        <v>5556.12</v>
      </c>
      <c r="BB348" s="1011">
        <v>8.66</v>
      </c>
      <c r="BC348" s="1011">
        <v>1687</v>
      </c>
      <c r="BD348" s="919">
        <v>100</v>
      </c>
      <c r="BI348" s="1010">
        <v>43445</v>
      </c>
      <c r="BJ348" s="919">
        <v>3</v>
      </c>
    </row>
    <row r="349" spans="1:62" ht="14.5">
      <c r="A349" s="913" t="s">
        <v>496</v>
      </c>
      <c r="B349" s="912">
        <v>41570</v>
      </c>
      <c r="C349" s="910">
        <v>82.4</v>
      </c>
      <c r="AB349" s="1010"/>
      <c r="AC349" s="1011"/>
      <c r="AD349" s="919"/>
      <c r="AF349" s="937">
        <v>43078</v>
      </c>
      <c r="AG349" s="981"/>
      <c r="AH349" s="981"/>
      <c r="AI349" s="981"/>
      <c r="AJ349" s="1012"/>
      <c r="AK349" s="981"/>
      <c r="AL349" s="981"/>
      <c r="AM349" s="911"/>
      <c r="AW349" s="2755">
        <v>43447</v>
      </c>
      <c r="AX349" s="1011">
        <v>1359</v>
      </c>
      <c r="AY349" s="919">
        <v>92.7</v>
      </c>
      <c r="AZ349" s="1010">
        <v>42714</v>
      </c>
      <c r="BA349" s="1011">
        <v>5556.19</v>
      </c>
      <c r="BB349" s="1011">
        <v>8.66</v>
      </c>
      <c r="BC349" s="1011">
        <v>1695</v>
      </c>
      <c r="BD349" s="919">
        <v>101</v>
      </c>
      <c r="BI349" s="1010">
        <v>43446</v>
      </c>
      <c r="BJ349" s="919">
        <v>2.94</v>
      </c>
    </row>
    <row r="350" spans="1:62" ht="14.5">
      <c r="A350" s="913" t="s">
        <v>496</v>
      </c>
      <c r="B350" s="912">
        <v>41571</v>
      </c>
      <c r="C350" s="910">
        <v>80.5</v>
      </c>
      <c r="AB350" s="1010"/>
      <c r="AC350" s="1011"/>
      <c r="AD350" s="919"/>
      <c r="AF350" s="937">
        <v>43079</v>
      </c>
      <c r="AG350" s="981"/>
      <c r="AH350" s="981"/>
      <c r="AI350" s="981"/>
      <c r="AJ350" s="1012"/>
      <c r="AK350" s="981"/>
      <c r="AL350" s="981"/>
      <c r="AM350" s="911"/>
      <c r="AW350" s="2755">
        <v>43448</v>
      </c>
      <c r="AX350" s="1011">
        <v>1354</v>
      </c>
      <c r="AY350" s="919">
        <v>92.6</v>
      </c>
      <c r="AZ350" s="1010">
        <v>42715</v>
      </c>
      <c r="BA350" s="1011">
        <v>5556.34</v>
      </c>
      <c r="BB350" s="1011">
        <v>8.66</v>
      </c>
      <c r="BC350" s="1011">
        <v>1710</v>
      </c>
      <c r="BD350" s="919">
        <v>101</v>
      </c>
      <c r="BI350" s="1010">
        <v>43447</v>
      </c>
      <c r="BJ350" s="919">
        <v>2.98</v>
      </c>
    </row>
    <row r="351" spans="1:62" ht="14.5">
      <c r="A351" s="913" t="s">
        <v>496</v>
      </c>
      <c r="B351" s="912">
        <v>41572</v>
      </c>
      <c r="C351" s="910">
        <v>76.7</v>
      </c>
      <c r="AB351" s="1010"/>
      <c r="AC351" s="1011"/>
      <c r="AD351" s="919"/>
      <c r="AF351" s="937">
        <v>43080</v>
      </c>
      <c r="AG351" s="981"/>
      <c r="AH351" s="981"/>
      <c r="AI351" s="981"/>
      <c r="AJ351" s="1012"/>
      <c r="AK351" s="981"/>
      <c r="AL351" s="981"/>
      <c r="AM351" s="911"/>
      <c r="AW351" s="2755">
        <v>43449</v>
      </c>
      <c r="AX351" s="1011">
        <v>1349</v>
      </c>
      <c r="AY351" s="919">
        <v>92.4</v>
      </c>
      <c r="AZ351" s="1010">
        <v>42716</v>
      </c>
      <c r="BA351" s="1011">
        <v>5556.42</v>
      </c>
      <c r="BB351" s="1011">
        <v>8.66</v>
      </c>
      <c r="BC351" s="1011">
        <v>1719</v>
      </c>
      <c r="BD351" s="919">
        <v>101</v>
      </c>
      <c r="BI351" s="1010">
        <v>43448</v>
      </c>
      <c r="BJ351" s="919">
        <v>2.98</v>
      </c>
    </row>
    <row r="352" spans="1:62" ht="14.5">
      <c r="A352" s="913" t="s">
        <v>496</v>
      </c>
      <c r="B352" s="912">
        <v>41573</v>
      </c>
      <c r="C352" s="910">
        <v>75.5</v>
      </c>
      <c r="AB352" s="1010"/>
      <c r="AC352" s="1011"/>
      <c r="AD352" s="919"/>
      <c r="AF352" s="937">
        <v>43081</v>
      </c>
      <c r="AG352" s="981"/>
      <c r="AH352" s="981"/>
      <c r="AI352" s="981"/>
      <c r="AJ352" s="1012"/>
      <c r="AK352" s="981"/>
      <c r="AL352" s="981"/>
      <c r="AM352" s="911"/>
      <c r="AW352" s="2755">
        <v>43450</v>
      </c>
      <c r="AX352" s="1011">
        <v>1344</v>
      </c>
      <c r="AY352" s="919">
        <v>92.2</v>
      </c>
      <c r="AZ352" s="1010">
        <v>42717</v>
      </c>
      <c r="BA352" s="1011">
        <v>5556.61</v>
      </c>
      <c r="BB352" s="1011">
        <v>8.66</v>
      </c>
      <c r="BC352" s="1011">
        <v>1738</v>
      </c>
      <c r="BD352" s="919">
        <v>102</v>
      </c>
      <c r="BI352" s="1010">
        <v>43449</v>
      </c>
      <c r="BJ352" s="919">
        <v>2.8</v>
      </c>
    </row>
    <row r="353" spans="1:62" ht="14.5">
      <c r="A353" s="913" t="s">
        <v>496</v>
      </c>
      <c r="B353" s="912">
        <v>41574</v>
      </c>
      <c r="C353" s="910">
        <v>73.7</v>
      </c>
      <c r="AB353" s="1010"/>
      <c r="AC353" s="1011"/>
      <c r="AD353" s="919"/>
      <c r="AF353" s="937">
        <v>43082</v>
      </c>
      <c r="AG353" s="981"/>
      <c r="AH353" s="981"/>
      <c r="AI353" s="981"/>
      <c r="AJ353" s="1012"/>
      <c r="AK353" s="981"/>
      <c r="AL353" s="981"/>
      <c r="AM353" s="911"/>
      <c r="AW353" s="2755">
        <v>43451</v>
      </c>
      <c r="AX353" s="1011">
        <v>1340</v>
      </c>
      <c r="AY353" s="919">
        <v>92.1</v>
      </c>
      <c r="AZ353" s="1010">
        <v>42718</v>
      </c>
      <c r="BA353" s="1011">
        <v>5556.8</v>
      </c>
      <c r="BB353" s="1011">
        <v>8.66</v>
      </c>
      <c r="BC353" s="1011">
        <v>1758</v>
      </c>
      <c r="BD353" s="919">
        <v>102</v>
      </c>
      <c r="BI353" s="1010">
        <v>43450</v>
      </c>
      <c r="BJ353" s="919">
        <v>2.99</v>
      </c>
    </row>
    <row r="354" spans="1:62" ht="14.5">
      <c r="A354" s="913" t="s">
        <v>496</v>
      </c>
      <c r="B354" s="912">
        <v>41575</v>
      </c>
      <c r="C354" s="910">
        <v>73.099999999999994</v>
      </c>
      <c r="AB354" s="1010"/>
      <c r="AC354" s="1011"/>
      <c r="AD354" s="919"/>
      <c r="AF354" s="937">
        <v>43083</v>
      </c>
      <c r="AG354" s="981"/>
      <c r="AH354" s="981"/>
      <c r="AI354" s="981"/>
      <c r="AJ354" s="1012"/>
      <c r="AK354" s="981"/>
      <c r="AL354" s="981"/>
      <c r="AM354" s="911"/>
      <c r="AW354" s="2755">
        <v>43452</v>
      </c>
      <c r="AX354" s="1011">
        <v>1335</v>
      </c>
      <c r="AY354" s="919">
        <v>91.9</v>
      </c>
      <c r="AZ354" s="1010">
        <v>42719</v>
      </c>
      <c r="BA354" s="1011">
        <v>5556.96</v>
      </c>
      <c r="BB354" s="1011">
        <v>8.66</v>
      </c>
      <c r="BC354" s="1011">
        <v>1774</v>
      </c>
      <c r="BD354" s="919">
        <v>103</v>
      </c>
      <c r="BI354" s="1010">
        <v>43451</v>
      </c>
      <c r="BJ354" s="919">
        <v>3</v>
      </c>
    </row>
    <row r="355" spans="1:62" ht="14.5">
      <c r="A355" s="913" t="s">
        <v>496</v>
      </c>
      <c r="B355" s="912">
        <v>41576</v>
      </c>
      <c r="C355" s="910">
        <v>70</v>
      </c>
      <c r="AB355" s="1010"/>
      <c r="AC355" s="1011"/>
      <c r="AD355" s="919"/>
      <c r="AF355" s="937">
        <v>43084</v>
      </c>
      <c r="AG355" s="981"/>
      <c r="AH355" s="981"/>
      <c r="AI355" s="981"/>
      <c r="AJ355" s="1012"/>
      <c r="AK355" s="981"/>
      <c r="AL355" s="981"/>
      <c r="AM355" s="911"/>
      <c r="AW355" s="2755">
        <v>43453</v>
      </c>
      <c r="AX355" s="1011">
        <v>1330</v>
      </c>
      <c r="AY355" s="919">
        <v>91.8</v>
      </c>
      <c r="AZ355" s="1010">
        <v>42720</v>
      </c>
      <c r="BA355" s="1011">
        <v>5557.18</v>
      </c>
      <c r="BB355" s="1011">
        <v>8.66</v>
      </c>
      <c r="BC355" s="1011">
        <v>1797</v>
      </c>
      <c r="BD355" s="919">
        <v>104</v>
      </c>
      <c r="BI355" s="1010">
        <v>43452</v>
      </c>
      <c r="BJ355" s="919">
        <v>2.99</v>
      </c>
    </row>
    <row r="356" spans="1:62" ht="14.5">
      <c r="A356" s="913" t="s">
        <v>496</v>
      </c>
      <c r="B356" s="912">
        <v>41577</v>
      </c>
      <c r="C356" s="910">
        <v>71.2</v>
      </c>
      <c r="AB356" s="1010"/>
      <c r="AC356" s="1011"/>
      <c r="AD356" s="919"/>
      <c r="AF356" s="937">
        <v>43085</v>
      </c>
      <c r="AG356" s="981"/>
      <c r="AH356" s="981"/>
      <c r="AI356" s="981"/>
      <c r="AJ356" s="1012"/>
      <c r="AK356" s="981"/>
      <c r="AL356" s="981"/>
      <c r="AM356" s="911"/>
      <c r="AW356" s="2755">
        <v>43454</v>
      </c>
      <c r="AX356" s="1011">
        <v>1325</v>
      </c>
      <c r="AY356" s="919">
        <v>91.6</v>
      </c>
      <c r="AZ356" s="1010">
        <v>42721</v>
      </c>
      <c r="BA356" s="1011">
        <v>5557.38</v>
      </c>
      <c r="BB356" s="1011">
        <v>8.66</v>
      </c>
      <c r="BC356" s="1011">
        <v>1818</v>
      </c>
      <c r="BD356" s="919">
        <v>104</v>
      </c>
      <c r="BI356" s="1010">
        <v>43453</v>
      </c>
      <c r="BJ356" s="919">
        <v>3</v>
      </c>
    </row>
    <row r="357" spans="1:62" ht="14.5">
      <c r="A357" s="913" t="s">
        <v>496</v>
      </c>
      <c r="B357" s="912">
        <v>41578</v>
      </c>
      <c r="C357" s="910">
        <v>87</v>
      </c>
      <c r="AB357" s="1010"/>
      <c r="AC357" s="1011"/>
      <c r="AD357" s="919"/>
      <c r="AF357" s="937">
        <v>43086</v>
      </c>
      <c r="AG357" s="981"/>
      <c r="AH357" s="981"/>
      <c r="AI357" s="981"/>
      <c r="AJ357" s="1012"/>
      <c r="AK357" s="981"/>
      <c r="AL357" s="981"/>
      <c r="AM357" s="911"/>
      <c r="AW357" s="2755">
        <v>43455</v>
      </c>
      <c r="AX357" s="1011">
        <v>1321</v>
      </c>
      <c r="AY357" s="919">
        <v>91.4</v>
      </c>
      <c r="AZ357" s="1010">
        <v>42722</v>
      </c>
      <c r="BA357" s="1011">
        <v>5557.45</v>
      </c>
      <c r="BB357" s="1011">
        <v>8.66</v>
      </c>
      <c r="BC357" s="1011">
        <v>1825</v>
      </c>
      <c r="BD357" s="919">
        <v>104</v>
      </c>
      <c r="BI357" s="1010">
        <v>43454</v>
      </c>
      <c r="BJ357" s="919">
        <v>2.99</v>
      </c>
    </row>
    <row r="358" spans="1:62" ht="14.5">
      <c r="A358" s="913" t="s">
        <v>496</v>
      </c>
      <c r="B358" s="912">
        <v>41579</v>
      </c>
      <c r="C358" s="910">
        <v>88.5</v>
      </c>
      <c r="AB358" s="1010"/>
      <c r="AC358" s="1011"/>
      <c r="AD358" s="919"/>
      <c r="AF358" s="937">
        <v>43087</v>
      </c>
      <c r="AG358" s="981"/>
      <c r="AH358" s="981"/>
      <c r="AI358" s="981"/>
      <c r="AJ358" s="1012"/>
      <c r="AK358" s="981"/>
      <c r="AL358" s="981"/>
      <c r="AM358" s="911"/>
      <c r="AW358" s="2755">
        <v>43456</v>
      </c>
      <c r="AX358" s="1011">
        <v>1317</v>
      </c>
      <c r="AY358" s="919">
        <v>91.3</v>
      </c>
      <c r="AZ358" s="1010">
        <v>42723</v>
      </c>
      <c r="BA358" s="1011">
        <v>5557.53</v>
      </c>
      <c r="BB358" s="1011">
        <v>8.66</v>
      </c>
      <c r="BC358" s="1011">
        <v>1833</v>
      </c>
      <c r="BD358" s="919">
        <v>105</v>
      </c>
      <c r="BI358" s="1010">
        <v>43455</v>
      </c>
      <c r="BJ358" s="919">
        <v>2.96</v>
      </c>
    </row>
    <row r="359" spans="1:62" ht="14.5">
      <c r="A359" s="913" t="s">
        <v>496</v>
      </c>
      <c r="B359" s="912">
        <v>41580</v>
      </c>
      <c r="C359" s="910">
        <v>81.900000000000006</v>
      </c>
      <c r="AB359" s="1010"/>
      <c r="AC359" s="1011"/>
      <c r="AD359" s="919"/>
      <c r="AF359" s="937">
        <v>43088</v>
      </c>
      <c r="AG359" s="981"/>
      <c r="AH359" s="981"/>
      <c r="AI359" s="981"/>
      <c r="AJ359" s="1012"/>
      <c r="AK359" s="981"/>
      <c r="AL359" s="981"/>
      <c r="AM359" s="911"/>
      <c r="AW359" s="2755">
        <v>43457</v>
      </c>
      <c r="AX359" s="1011">
        <v>1313</v>
      </c>
      <c r="AY359" s="919">
        <v>91.1</v>
      </c>
      <c r="AZ359" s="1010">
        <v>42724</v>
      </c>
      <c r="BA359" s="1011">
        <v>5557.54</v>
      </c>
      <c r="BB359" s="1011">
        <v>9.69</v>
      </c>
      <c r="BC359" s="1011">
        <v>1834</v>
      </c>
      <c r="BD359" s="919">
        <v>105</v>
      </c>
      <c r="BI359" s="1010">
        <v>43456</v>
      </c>
      <c r="BJ359" s="919">
        <v>2.94</v>
      </c>
    </row>
    <row r="360" spans="1:62" ht="14.5">
      <c r="A360" s="913" t="s">
        <v>496</v>
      </c>
      <c r="B360" s="912">
        <v>41581</v>
      </c>
      <c r="C360" s="910">
        <v>81.8</v>
      </c>
      <c r="AB360" s="1010"/>
      <c r="AC360" s="1011"/>
      <c r="AD360" s="919"/>
      <c r="AF360" s="937">
        <v>43089</v>
      </c>
      <c r="AG360" s="981"/>
      <c r="AH360" s="981"/>
      <c r="AI360" s="981"/>
      <c r="AJ360" s="1012"/>
      <c r="AK360" s="981"/>
      <c r="AL360" s="981"/>
      <c r="AM360" s="911"/>
      <c r="AW360" s="2755">
        <v>43458</v>
      </c>
      <c r="AX360" s="1011">
        <v>1309</v>
      </c>
      <c r="AY360" s="919">
        <v>91</v>
      </c>
      <c r="AZ360" s="1010">
        <v>42725</v>
      </c>
      <c r="BA360" s="1011">
        <v>5557.62</v>
      </c>
      <c r="BB360" s="1011">
        <v>9.74</v>
      </c>
      <c r="BC360" s="1011">
        <v>1843</v>
      </c>
      <c r="BD360" s="919">
        <v>105</v>
      </c>
      <c r="BI360" s="1010">
        <v>43457</v>
      </c>
      <c r="BJ360" s="919">
        <v>2.99</v>
      </c>
    </row>
    <row r="361" spans="1:62" ht="14.5">
      <c r="A361" s="913" t="s">
        <v>496</v>
      </c>
      <c r="B361" s="912">
        <v>41582</v>
      </c>
      <c r="C361" s="910">
        <v>81.2</v>
      </c>
      <c r="AB361" s="1010"/>
      <c r="AC361" s="1011"/>
      <c r="AD361" s="919"/>
      <c r="AF361" s="937">
        <v>43090</v>
      </c>
      <c r="AG361" s="981"/>
      <c r="AH361" s="981"/>
      <c r="AI361" s="981"/>
      <c r="AJ361" s="1012"/>
      <c r="AK361" s="981"/>
      <c r="AL361" s="981"/>
      <c r="AM361" s="911"/>
      <c r="AW361" s="2755">
        <v>43459</v>
      </c>
      <c r="AX361" s="1011">
        <v>1315</v>
      </c>
      <c r="AY361" s="919">
        <v>91.2</v>
      </c>
      <c r="AZ361" s="1010">
        <v>42726</v>
      </c>
      <c r="BA361" s="1011">
        <v>5557.83</v>
      </c>
      <c r="BB361" s="1011">
        <v>9.74</v>
      </c>
      <c r="BC361" s="1011">
        <v>1864</v>
      </c>
      <c r="BD361" s="919">
        <v>105</v>
      </c>
      <c r="BI361" s="1010">
        <v>43458</v>
      </c>
      <c r="BJ361" s="919">
        <v>3</v>
      </c>
    </row>
    <row r="362" spans="1:62" ht="14.5">
      <c r="A362" s="913" t="s">
        <v>496</v>
      </c>
      <c r="B362" s="912">
        <v>41583</v>
      </c>
      <c r="C362" s="910">
        <v>32.1</v>
      </c>
      <c r="AB362" s="1010"/>
      <c r="AC362" s="1011"/>
      <c r="AD362" s="919"/>
      <c r="AF362" s="937">
        <v>43091</v>
      </c>
      <c r="AG362" s="981"/>
      <c r="AH362" s="981"/>
      <c r="AI362" s="981"/>
      <c r="AJ362" s="1012"/>
      <c r="AK362" s="981"/>
      <c r="AL362" s="981"/>
      <c r="AM362" s="911"/>
      <c r="AW362" s="2755">
        <v>43460</v>
      </c>
      <c r="AX362" s="1011">
        <v>1322</v>
      </c>
      <c r="AY362" s="919">
        <v>91.5</v>
      </c>
      <c r="AZ362" s="1010">
        <v>42727</v>
      </c>
      <c r="BA362" s="1011">
        <v>5558.03</v>
      </c>
      <c r="BB362" s="1011">
        <v>9.74</v>
      </c>
      <c r="BC362" s="1011">
        <v>1885</v>
      </c>
      <c r="BD362" s="919">
        <v>106</v>
      </c>
      <c r="BI362" s="1010">
        <v>43459</v>
      </c>
      <c r="BJ362" s="919">
        <v>2.99</v>
      </c>
    </row>
    <row r="363" spans="1:62" ht="14.5">
      <c r="A363" s="913" t="s">
        <v>496</v>
      </c>
      <c r="B363" s="912">
        <v>41584</v>
      </c>
      <c r="C363" s="910">
        <v>4.71</v>
      </c>
      <c r="AB363" s="1010"/>
      <c r="AC363" s="1011"/>
      <c r="AD363" s="919"/>
      <c r="AF363" s="937">
        <v>43092</v>
      </c>
      <c r="AG363" s="981"/>
      <c r="AH363" s="981"/>
      <c r="AI363" s="981"/>
      <c r="AJ363" s="1012"/>
      <c r="AK363" s="981"/>
      <c r="AL363" s="981"/>
      <c r="AM363" s="911"/>
      <c r="AW363" s="2755">
        <v>43461</v>
      </c>
      <c r="AX363" s="1011">
        <v>1332</v>
      </c>
      <c r="AY363" s="919">
        <v>91.8</v>
      </c>
      <c r="AZ363" s="1010">
        <v>42728</v>
      </c>
      <c r="BA363" s="1011">
        <v>5558.2</v>
      </c>
      <c r="BB363" s="1011">
        <v>9.75</v>
      </c>
      <c r="BC363" s="1011">
        <v>1904</v>
      </c>
      <c r="BD363" s="919">
        <v>107</v>
      </c>
      <c r="BI363" s="1010">
        <v>43460</v>
      </c>
      <c r="BJ363" s="919">
        <v>2.99</v>
      </c>
    </row>
    <row r="364" spans="1:62" ht="14.5">
      <c r="A364" s="913" t="s">
        <v>496</v>
      </c>
      <c r="B364" s="912">
        <v>41585</v>
      </c>
      <c r="C364" s="910">
        <v>31</v>
      </c>
      <c r="AB364" s="1010"/>
      <c r="AC364" s="1011"/>
      <c r="AD364" s="919"/>
      <c r="AF364" s="937">
        <v>43093</v>
      </c>
      <c r="AG364" s="981"/>
      <c r="AH364" s="981"/>
      <c r="AI364" s="981"/>
      <c r="AJ364" s="1012"/>
      <c r="AK364" s="981"/>
      <c r="AL364" s="981"/>
      <c r="AM364" s="911"/>
      <c r="AW364" s="2755">
        <v>43462</v>
      </c>
      <c r="AX364" s="1011">
        <v>1336</v>
      </c>
      <c r="AY364" s="919">
        <v>91.9</v>
      </c>
      <c r="AZ364" s="1010">
        <v>42729</v>
      </c>
      <c r="BA364" s="1011">
        <v>5558.37</v>
      </c>
      <c r="BB364" s="1011">
        <v>9.75</v>
      </c>
      <c r="BC364" s="1011">
        <v>1922</v>
      </c>
      <c r="BD364" s="919">
        <v>107</v>
      </c>
      <c r="BI364" s="1010">
        <v>43461</v>
      </c>
      <c r="BJ364" s="919">
        <v>3</v>
      </c>
    </row>
    <row r="365" spans="1:62" ht="14.5">
      <c r="A365" s="913" t="s">
        <v>496</v>
      </c>
      <c r="B365" s="912">
        <v>41586</v>
      </c>
      <c r="C365" s="910">
        <v>44.4</v>
      </c>
      <c r="AB365" s="1010"/>
      <c r="AC365" s="1011"/>
      <c r="AD365" s="919"/>
      <c r="AF365" s="937">
        <v>43094</v>
      </c>
      <c r="AG365" s="981"/>
      <c r="AH365" s="981"/>
      <c r="AI365" s="981"/>
      <c r="AJ365" s="1012"/>
      <c r="AK365" s="981"/>
      <c r="AL365" s="981"/>
      <c r="AM365" s="911"/>
      <c r="AW365" s="2755">
        <v>43463</v>
      </c>
      <c r="AX365" s="1011">
        <v>1338</v>
      </c>
      <c r="AY365" s="919">
        <v>92</v>
      </c>
      <c r="AZ365" s="1010">
        <v>42730</v>
      </c>
      <c r="BA365" s="1011">
        <v>5558.5</v>
      </c>
      <c r="BB365" s="1011">
        <v>9.75</v>
      </c>
      <c r="BC365" s="1011">
        <v>1937</v>
      </c>
      <c r="BD365" s="919">
        <v>108</v>
      </c>
      <c r="BI365" s="1010">
        <v>43462</v>
      </c>
      <c r="BJ365" s="919">
        <v>3</v>
      </c>
    </row>
    <row r="366" spans="1:62" ht="14.5">
      <c r="A366" s="913" t="s">
        <v>496</v>
      </c>
      <c r="B366" s="912">
        <v>41587</v>
      </c>
      <c r="C366" s="910">
        <v>45.2</v>
      </c>
      <c r="AB366" s="1010"/>
      <c r="AC366" s="1011"/>
      <c r="AD366" s="919"/>
      <c r="AF366" s="937">
        <v>43095</v>
      </c>
      <c r="AG366" s="981"/>
      <c r="AH366" s="981"/>
      <c r="AI366" s="981"/>
      <c r="AJ366" s="1012"/>
      <c r="AK366" s="981"/>
      <c r="AL366" s="981"/>
      <c r="AM366" s="911"/>
      <c r="AW366" s="2755">
        <v>43464</v>
      </c>
      <c r="AX366" s="1011">
        <v>1344</v>
      </c>
      <c r="AY366" s="919">
        <v>92.3</v>
      </c>
      <c r="AZ366" s="1010">
        <v>42731</v>
      </c>
      <c r="BA366" s="1011">
        <v>5558.52</v>
      </c>
      <c r="BB366" s="1011">
        <v>9.75</v>
      </c>
      <c r="BC366" s="1011">
        <v>1939</v>
      </c>
      <c r="BD366" s="919">
        <v>108</v>
      </c>
      <c r="BI366" s="1010">
        <v>43463</v>
      </c>
      <c r="BJ366" s="919">
        <v>3</v>
      </c>
    </row>
    <row r="367" spans="1:62" ht="14.5">
      <c r="A367" s="913" t="s">
        <v>496</v>
      </c>
      <c r="B367" s="912">
        <v>41588</v>
      </c>
      <c r="C367" s="910">
        <v>40.799999999999997</v>
      </c>
      <c r="AB367" s="1010"/>
      <c r="AC367" s="1011"/>
      <c r="AD367" s="919"/>
      <c r="AF367" s="937">
        <v>43096</v>
      </c>
      <c r="AG367" s="981"/>
      <c r="AH367" s="981"/>
      <c r="AI367" s="981"/>
      <c r="AJ367" s="1012"/>
      <c r="AK367" s="981"/>
      <c r="AL367" s="981"/>
      <c r="AM367" s="911"/>
      <c r="AW367" s="2755">
        <v>43465</v>
      </c>
      <c r="AX367" s="1011">
        <v>1352</v>
      </c>
      <c r="AY367" s="919">
        <v>92.5</v>
      </c>
      <c r="AZ367" s="1010">
        <v>42732</v>
      </c>
      <c r="BA367" s="1011">
        <v>5558.4</v>
      </c>
      <c r="BB367" s="1011">
        <v>9.75</v>
      </c>
      <c r="BC367" s="1011">
        <v>1926</v>
      </c>
      <c r="BD367" s="919">
        <v>107</v>
      </c>
      <c r="BI367" s="1010">
        <v>43464</v>
      </c>
      <c r="BJ367" s="919">
        <v>3</v>
      </c>
    </row>
    <row r="368" spans="1:62" ht="15" thickBot="1">
      <c r="A368" s="913" t="s">
        <v>496</v>
      </c>
      <c r="B368" s="912">
        <v>41589</v>
      </c>
      <c r="C368" s="910">
        <v>38.6</v>
      </c>
      <c r="AB368" s="1010"/>
      <c r="AC368" s="1011"/>
      <c r="AD368" s="919"/>
      <c r="AF368" s="937">
        <v>43097</v>
      </c>
      <c r="AG368" s="981"/>
      <c r="AH368" s="981"/>
      <c r="AI368" s="981"/>
      <c r="AJ368" s="1012"/>
      <c r="AK368" s="981"/>
      <c r="AL368" s="981"/>
      <c r="AM368" s="911"/>
      <c r="AW368" s="2755">
        <v>43466</v>
      </c>
      <c r="AX368" s="1011">
        <v>1357</v>
      </c>
      <c r="AY368" s="919">
        <v>92.6</v>
      </c>
      <c r="AZ368" s="1010">
        <v>42733</v>
      </c>
      <c r="BA368" s="1011">
        <v>5558.34</v>
      </c>
      <c r="BB368" s="1011">
        <v>9.75</v>
      </c>
      <c r="BC368" s="1011">
        <v>1919</v>
      </c>
      <c r="BD368" s="919">
        <v>107</v>
      </c>
      <c r="BI368" s="1018">
        <v>43465</v>
      </c>
      <c r="BJ368" s="951">
        <v>3</v>
      </c>
    </row>
    <row r="369" spans="28:62" ht="15" thickBot="1">
      <c r="AB369" s="1010"/>
      <c r="AC369" s="1011"/>
      <c r="AD369" s="919"/>
      <c r="AF369" s="937">
        <v>43098</v>
      </c>
      <c r="AG369" s="981"/>
      <c r="AH369" s="981"/>
      <c r="AI369" s="981"/>
      <c r="AJ369" s="1012"/>
      <c r="AK369" s="981"/>
      <c r="AL369" s="981"/>
      <c r="AM369" s="911"/>
      <c r="AW369" s="2755">
        <v>43467</v>
      </c>
      <c r="AX369" s="1011">
        <v>1360</v>
      </c>
      <c r="AY369" s="919">
        <v>92.8</v>
      </c>
      <c r="AZ369" s="1010">
        <v>42734</v>
      </c>
      <c r="BA369" s="1011">
        <v>5558.34</v>
      </c>
      <c r="BB369" s="1011">
        <v>9.75</v>
      </c>
      <c r="BC369" s="1011">
        <v>1919</v>
      </c>
      <c r="BD369" s="919">
        <v>107</v>
      </c>
      <c r="BI369" s="1606">
        <v>43100</v>
      </c>
      <c r="BJ369" s="1605">
        <v>14.8</v>
      </c>
    </row>
    <row r="370" spans="28:62" ht="15" thickBot="1">
      <c r="AB370" s="1010"/>
      <c r="AC370" s="1011"/>
      <c r="AD370" s="919"/>
      <c r="AF370" s="937">
        <v>43099</v>
      </c>
      <c r="AG370" s="981"/>
      <c r="AH370" s="981"/>
      <c r="AI370" s="981"/>
      <c r="AJ370" s="1012"/>
      <c r="AK370" s="981"/>
      <c r="AL370" s="981"/>
      <c r="AM370" s="911"/>
      <c r="AW370" s="2755">
        <v>43468</v>
      </c>
      <c r="AX370" s="1011">
        <v>1364</v>
      </c>
      <c r="AY370" s="919">
        <v>92.9</v>
      </c>
      <c r="AZ370" s="1018">
        <v>42735</v>
      </c>
      <c r="BA370" s="1019">
        <v>5558.33</v>
      </c>
      <c r="BB370" s="1019">
        <v>9.75</v>
      </c>
      <c r="BC370" s="1019">
        <v>1918</v>
      </c>
      <c r="BD370" s="951">
        <v>107</v>
      </c>
    </row>
    <row r="371" spans="28:62" ht="14.5">
      <c r="AB371" s="1010"/>
      <c r="AC371" s="1011"/>
      <c r="AD371" s="919"/>
      <c r="AF371" s="937">
        <v>43100</v>
      </c>
      <c r="AG371" s="981"/>
      <c r="AH371" s="981"/>
      <c r="AI371" s="981"/>
      <c r="AJ371" s="1012"/>
      <c r="AK371" s="981"/>
      <c r="AL371" s="981"/>
      <c r="AM371" s="911"/>
      <c r="AW371" s="2755">
        <v>43469</v>
      </c>
      <c r="AX371" s="1011">
        <v>1368</v>
      </c>
      <c r="AY371" s="919">
        <v>93</v>
      </c>
    </row>
    <row r="372" spans="28:62" ht="15" thickBot="1">
      <c r="AB372" s="1018"/>
      <c r="AC372" s="1019"/>
      <c r="AD372" s="951"/>
      <c r="AF372" s="937">
        <v>43101</v>
      </c>
      <c r="AG372" s="1013"/>
      <c r="AH372" s="1013"/>
      <c r="AI372" s="1013"/>
      <c r="AJ372" s="1017"/>
      <c r="AK372" s="1013"/>
      <c r="AL372" s="1013"/>
      <c r="AM372" s="911"/>
      <c r="AW372" s="2755">
        <v>43470</v>
      </c>
      <c r="AX372" s="1011">
        <v>1372</v>
      </c>
      <c r="AY372" s="919">
        <v>93.2</v>
      </c>
    </row>
    <row r="373" spans="28:62" ht="14.5">
      <c r="AW373" s="2755">
        <v>43471</v>
      </c>
      <c r="AX373" s="1011">
        <v>1378</v>
      </c>
      <c r="AY373" s="919">
        <v>93.4</v>
      </c>
    </row>
    <row r="374" spans="28:62" ht="14.5">
      <c r="AW374" s="2755">
        <v>43472</v>
      </c>
      <c r="AX374" s="1011">
        <v>1382</v>
      </c>
      <c r="AY374" s="919">
        <v>93.5</v>
      </c>
    </row>
    <row r="375" spans="28:62" ht="14.5">
      <c r="AW375" s="2755">
        <v>43473</v>
      </c>
      <c r="AX375" s="1011">
        <v>1384</v>
      </c>
      <c r="AY375" s="919">
        <v>93.6</v>
      </c>
    </row>
    <row r="376" spans="28:62" ht="14.5">
      <c r="AW376" s="2755">
        <v>43474</v>
      </c>
      <c r="AX376" s="1011">
        <v>1385</v>
      </c>
      <c r="AY376" s="919">
        <v>93.6</v>
      </c>
    </row>
    <row r="377" spans="28:62" ht="14.5">
      <c r="AW377" s="2755">
        <v>43475</v>
      </c>
      <c r="AX377" s="1011">
        <v>1389</v>
      </c>
      <c r="AY377" s="919">
        <v>93.7</v>
      </c>
    </row>
    <row r="378" spans="28:62" ht="14.5">
      <c r="AW378" s="2755">
        <v>43476</v>
      </c>
      <c r="AX378" s="1011">
        <v>1396</v>
      </c>
      <c r="AY378" s="919">
        <v>94</v>
      </c>
    </row>
    <row r="379" spans="28:62" ht="14.5">
      <c r="AW379" s="2755">
        <v>43477</v>
      </c>
      <c r="AX379" s="1011">
        <v>1411</v>
      </c>
      <c r="AY379" s="919">
        <v>94.5</v>
      </c>
    </row>
    <row r="380" spans="28:62" ht="14.5">
      <c r="AW380" s="2755">
        <v>43478</v>
      </c>
      <c r="AX380" s="1011">
        <v>1419</v>
      </c>
      <c r="AY380" s="919">
        <v>94.8</v>
      </c>
    </row>
    <row r="381" spans="28:62" ht="14.5">
      <c r="AW381" s="2755">
        <v>43479</v>
      </c>
      <c r="AX381" s="1011">
        <v>1424</v>
      </c>
      <c r="AY381" s="919">
        <v>94.9</v>
      </c>
    </row>
    <row r="382" spans="28:62" ht="14.5">
      <c r="AW382" s="2755">
        <v>43480</v>
      </c>
      <c r="AX382" s="1011">
        <v>1430</v>
      </c>
      <c r="AY382" s="919">
        <v>95.1</v>
      </c>
    </row>
    <row r="383" spans="28:62" ht="14.5">
      <c r="AW383" s="2755">
        <v>43481</v>
      </c>
      <c r="AX383" s="1011">
        <v>1442</v>
      </c>
      <c r="AY383" s="919">
        <v>95.4</v>
      </c>
    </row>
    <row r="384" spans="28:62" ht="14.5">
      <c r="AW384" s="2755">
        <v>43482</v>
      </c>
      <c r="AX384" s="1011">
        <v>1456</v>
      </c>
      <c r="AY384" s="919">
        <v>95.8</v>
      </c>
    </row>
    <row r="385" spans="49:51" ht="14.5">
      <c r="AW385" s="2755">
        <v>43483</v>
      </c>
      <c r="AX385" s="1011">
        <v>1469</v>
      </c>
      <c r="AY385" s="919">
        <v>96.2</v>
      </c>
    </row>
    <row r="386" spans="49:51" ht="14.5">
      <c r="AW386" s="2755">
        <v>43484</v>
      </c>
      <c r="AX386" s="1011">
        <v>1478</v>
      </c>
      <c r="AY386" s="919">
        <v>96.4</v>
      </c>
    </row>
    <row r="387" spans="49:51" ht="14.5">
      <c r="AW387" s="2755">
        <v>43485</v>
      </c>
      <c r="AX387" s="1011">
        <v>1490</v>
      </c>
      <c r="AY387" s="919">
        <v>96.7</v>
      </c>
    </row>
    <row r="388" spans="49:51" ht="14.5">
      <c r="AW388" s="2755">
        <v>43486</v>
      </c>
      <c r="AX388" s="1011">
        <v>1501</v>
      </c>
      <c r="AY388" s="919">
        <v>97</v>
      </c>
    </row>
    <row r="389" spans="49:51" ht="14.5">
      <c r="AW389" s="2755">
        <v>43487</v>
      </c>
      <c r="AX389" s="1011">
        <v>1513</v>
      </c>
      <c r="AY389" s="919">
        <v>97.3</v>
      </c>
    </row>
    <row r="390" spans="49:51" ht="14.5">
      <c r="AW390" s="2755">
        <v>43488</v>
      </c>
      <c r="AX390" s="1011">
        <v>1516</v>
      </c>
      <c r="AY390" s="919">
        <v>97.4</v>
      </c>
    </row>
    <row r="391" spans="49:51" ht="14.5">
      <c r="AW391" s="2755">
        <v>43489</v>
      </c>
      <c r="AX391" s="1011">
        <v>1517</v>
      </c>
      <c r="AY391" s="919">
        <v>97.4</v>
      </c>
    </row>
    <row r="392" spans="49:51" ht="14.5">
      <c r="AW392" s="2755">
        <v>43490</v>
      </c>
      <c r="AX392" s="1011">
        <v>1508</v>
      </c>
      <c r="AY392" s="919">
        <v>97.2</v>
      </c>
    </row>
    <row r="393" spans="49:51" ht="14.5">
      <c r="AW393" s="2755">
        <v>43491</v>
      </c>
      <c r="AX393" s="1011">
        <v>1500</v>
      </c>
      <c r="AY393" s="919">
        <v>97</v>
      </c>
    </row>
    <row r="394" spans="49:51" ht="14.5">
      <c r="AW394" s="2755">
        <v>43492</v>
      </c>
      <c r="AX394" s="1011">
        <v>1496</v>
      </c>
      <c r="AY394" s="919">
        <v>96.9</v>
      </c>
    </row>
    <row r="395" spans="49:51" ht="14.5">
      <c r="AW395" s="2755">
        <v>43493</v>
      </c>
      <c r="AX395" s="1011">
        <v>1491</v>
      </c>
      <c r="AY395" s="919">
        <v>96.8</v>
      </c>
    </row>
    <row r="396" spans="49:51" ht="14.5">
      <c r="AW396" s="2755">
        <v>43494</v>
      </c>
      <c r="AX396" s="1011">
        <v>1478</v>
      </c>
      <c r="AY396" s="919">
        <v>96.4</v>
      </c>
    </row>
    <row r="397" spans="49:51" ht="15" thickBot="1">
      <c r="AW397" s="2756">
        <v>43495</v>
      </c>
      <c r="AX397" s="1019">
        <v>1457</v>
      </c>
      <c r="AY397" s="951">
        <v>95.8</v>
      </c>
    </row>
  </sheetData>
  <mergeCells count="16">
    <mergeCell ref="BM4:BM5"/>
    <mergeCell ref="H157:H158"/>
    <mergeCell ref="A155:A156"/>
    <mergeCell ref="A1:P1"/>
    <mergeCell ref="B19:L19"/>
    <mergeCell ref="A56:D56"/>
    <mergeCell ref="A51:D51"/>
    <mergeCell ref="A52:D52"/>
    <mergeCell ref="A53:D53"/>
    <mergeCell ref="A54:D54"/>
    <mergeCell ref="A55:D55"/>
    <mergeCell ref="N20:N21"/>
    <mergeCell ref="H156:U156"/>
    <mergeCell ref="H155:U155"/>
    <mergeCell ref="G56:N56"/>
    <mergeCell ref="B2:C2"/>
  </mergeCells>
  <phoneticPr fontId="10" type="noConversion"/>
  <pageMargins left="0.75" right="0.75" top="1" bottom="1" header="0.5" footer="0.5"/>
  <pageSetup orientation="portrait" horizontalDpi="429496729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T19"/>
  <sheetViews>
    <sheetView workbookViewId="0">
      <selection activeCell="J3" sqref="J3"/>
    </sheetView>
  </sheetViews>
  <sheetFormatPr defaultRowHeight="14"/>
  <cols>
    <col min="1" max="1" width="9.90625" bestFit="1" customWidth="1"/>
    <col min="2" max="2" width="10.36328125" bestFit="1" customWidth="1"/>
    <col min="3" max="3" width="11.453125" bestFit="1" customWidth="1"/>
    <col min="4" max="4" width="6.1796875" bestFit="1" customWidth="1"/>
    <col min="5" max="5" width="5.90625" customWidth="1"/>
    <col min="6" max="6" width="10.36328125" bestFit="1" customWidth="1"/>
    <col min="7" max="7" width="11.453125" bestFit="1" customWidth="1"/>
    <col min="8" max="8" width="6.1796875" bestFit="1" customWidth="1"/>
    <col min="9" max="9" width="6.7265625" customWidth="1"/>
    <col min="10" max="10" width="10.36328125" bestFit="1" customWidth="1"/>
    <col min="11" max="11" width="12.54296875" customWidth="1"/>
    <col min="12" max="12" width="6.1796875" bestFit="1" customWidth="1"/>
    <col min="13" max="13" width="5.90625" customWidth="1"/>
    <col min="14" max="14" width="10.90625" customWidth="1"/>
    <col min="15" max="15" width="12.81640625" customWidth="1"/>
    <col min="16" max="16" width="6.1796875" bestFit="1" customWidth="1"/>
    <col min="17" max="17" width="6.26953125" customWidth="1"/>
    <col min="19" max="19" width="3.1796875" bestFit="1" customWidth="1"/>
    <col min="20" max="20" width="55.81640625" bestFit="1" customWidth="1"/>
  </cols>
  <sheetData>
    <row r="1" spans="1:20" ht="14.5" thickBot="1">
      <c r="A1" s="108"/>
      <c r="B1" s="2953" t="s">
        <v>885</v>
      </c>
      <c r="C1" s="2953"/>
      <c r="D1" s="2953"/>
      <c r="E1" s="2953"/>
      <c r="F1" s="2953" t="s">
        <v>889</v>
      </c>
      <c r="G1" s="2953"/>
      <c r="H1" s="2953"/>
      <c r="I1" s="2953"/>
      <c r="J1" s="2953" t="s">
        <v>890</v>
      </c>
      <c r="K1" s="2953"/>
      <c r="L1" s="2953"/>
      <c r="M1" s="2953"/>
      <c r="N1" s="2953" t="s">
        <v>891</v>
      </c>
      <c r="O1" s="2953"/>
      <c r="P1" s="2953"/>
      <c r="Q1" s="2953"/>
      <c r="S1" s="2954" t="s">
        <v>703</v>
      </c>
      <c r="T1" s="2954"/>
    </row>
    <row r="2" spans="1:20" ht="14.5" thickBot="1">
      <c r="A2" s="2953" t="s">
        <v>133</v>
      </c>
      <c r="B2" s="2953" t="s">
        <v>715</v>
      </c>
      <c r="C2" s="2953"/>
      <c r="D2" s="2953" t="s">
        <v>714</v>
      </c>
      <c r="E2" s="2953" t="s">
        <v>888</v>
      </c>
      <c r="F2" s="2953" t="s">
        <v>715</v>
      </c>
      <c r="G2" s="2953"/>
      <c r="H2" s="2953" t="s">
        <v>714</v>
      </c>
      <c r="I2" s="2953" t="s">
        <v>888</v>
      </c>
      <c r="J2" s="2953" t="s">
        <v>715</v>
      </c>
      <c r="K2" s="2953"/>
      <c r="L2" s="2953" t="s">
        <v>714</v>
      </c>
      <c r="M2" s="2953" t="s">
        <v>888</v>
      </c>
      <c r="N2" s="2953" t="s">
        <v>715</v>
      </c>
      <c r="O2" s="2953"/>
      <c r="P2" s="2953" t="s">
        <v>714</v>
      </c>
      <c r="Q2" s="2953" t="s">
        <v>888</v>
      </c>
      <c r="S2" s="585">
        <v>0</v>
      </c>
      <c r="T2" s="584" t="s">
        <v>704</v>
      </c>
    </row>
    <row r="3" spans="1:20" ht="13.75" customHeight="1" thickBot="1">
      <c r="A3" s="2953"/>
      <c r="B3" s="112" t="s">
        <v>886</v>
      </c>
      <c r="C3" s="2830" t="s">
        <v>887</v>
      </c>
      <c r="D3" s="2953"/>
      <c r="E3" s="2953"/>
      <c r="F3" s="112" t="s">
        <v>886</v>
      </c>
      <c r="G3" s="112" t="s">
        <v>887</v>
      </c>
      <c r="H3" s="2953"/>
      <c r="I3" s="2953"/>
      <c r="J3" s="112" t="s">
        <v>886</v>
      </c>
      <c r="K3" s="112" t="s">
        <v>887</v>
      </c>
      <c r="L3" s="2953"/>
      <c r="M3" s="2953"/>
      <c r="N3" s="112" t="s">
        <v>886</v>
      </c>
      <c r="O3" s="112" t="s">
        <v>887</v>
      </c>
      <c r="P3" s="2953"/>
      <c r="Q3" s="2953"/>
      <c r="S3" s="585">
        <v>1</v>
      </c>
      <c r="T3" s="584" t="s">
        <v>705</v>
      </c>
    </row>
    <row r="4" spans="1:20" ht="14.5" thickBot="1">
      <c r="A4" s="2832">
        <v>43108</v>
      </c>
      <c r="B4" s="1898">
        <v>0.4</v>
      </c>
      <c r="C4" s="2828">
        <v>4</v>
      </c>
      <c r="D4" s="2828" t="s">
        <v>871</v>
      </c>
      <c r="E4" s="2828">
        <v>8</v>
      </c>
      <c r="F4" s="1898">
        <v>0.03</v>
      </c>
      <c r="G4" s="2834">
        <v>2</v>
      </c>
      <c r="H4" s="2828" t="s">
        <v>871</v>
      </c>
      <c r="I4" s="2828">
        <v>15</v>
      </c>
      <c r="J4" s="1898">
        <v>1</v>
      </c>
      <c r="K4" s="2828">
        <v>5</v>
      </c>
      <c r="L4" s="2828" t="s">
        <v>872</v>
      </c>
      <c r="M4" s="2828">
        <v>50</v>
      </c>
      <c r="N4" s="1898">
        <v>0.7</v>
      </c>
      <c r="O4" s="2828">
        <v>5</v>
      </c>
      <c r="P4" s="2828" t="s">
        <v>872</v>
      </c>
      <c r="Q4" s="2828">
        <v>20</v>
      </c>
      <c r="S4" s="585">
        <v>1.5</v>
      </c>
      <c r="T4" s="584" t="s">
        <v>892</v>
      </c>
    </row>
    <row r="5" spans="1:20" ht="14.5" thickBot="1">
      <c r="A5" s="2832">
        <v>43143</v>
      </c>
      <c r="B5" s="1898">
        <v>0.3</v>
      </c>
      <c r="C5" s="2828">
        <v>3</v>
      </c>
      <c r="D5" s="2828" t="s">
        <v>871</v>
      </c>
      <c r="E5" s="2828">
        <v>8</v>
      </c>
      <c r="F5" s="1898">
        <v>0.01</v>
      </c>
      <c r="G5" s="2834">
        <v>1</v>
      </c>
      <c r="H5" s="2828" t="s">
        <v>871</v>
      </c>
      <c r="I5" s="2828">
        <v>16</v>
      </c>
      <c r="J5" s="1898">
        <v>0.8</v>
      </c>
      <c r="K5" s="2828">
        <v>4</v>
      </c>
      <c r="L5" s="2828" t="s">
        <v>871</v>
      </c>
      <c r="M5" s="2828">
        <v>50</v>
      </c>
      <c r="N5" s="1898">
        <v>0.8</v>
      </c>
      <c r="O5" s="2828">
        <v>4</v>
      </c>
      <c r="P5" s="2828" t="s">
        <v>871</v>
      </c>
      <c r="Q5" s="2828">
        <v>25</v>
      </c>
      <c r="S5" s="585">
        <v>2</v>
      </c>
      <c r="T5" s="584" t="s">
        <v>707</v>
      </c>
    </row>
    <row r="6" spans="1:20" ht="14.5" thickBot="1">
      <c r="A6" s="2832">
        <v>43178</v>
      </c>
      <c r="B6" s="1898">
        <v>0.8</v>
      </c>
      <c r="C6" s="2828">
        <v>4</v>
      </c>
      <c r="D6" s="2828" t="s">
        <v>871</v>
      </c>
      <c r="E6" s="2828">
        <v>8</v>
      </c>
      <c r="F6" s="1898">
        <v>0.06</v>
      </c>
      <c r="G6" s="2834">
        <v>2</v>
      </c>
      <c r="H6" s="2828" t="s">
        <v>871</v>
      </c>
      <c r="I6" s="2828">
        <v>12</v>
      </c>
      <c r="J6" s="1898">
        <v>1</v>
      </c>
      <c r="K6" s="2828">
        <v>5</v>
      </c>
      <c r="L6" s="2828" t="s">
        <v>872</v>
      </c>
      <c r="M6" s="2828">
        <v>50</v>
      </c>
      <c r="N6" s="1898">
        <v>0.8</v>
      </c>
      <c r="O6" s="2828">
        <v>5</v>
      </c>
      <c r="P6" s="2828" t="s">
        <v>872</v>
      </c>
      <c r="Q6" s="2828">
        <v>20</v>
      </c>
      <c r="S6" s="585">
        <v>3</v>
      </c>
      <c r="T6" s="584" t="s">
        <v>708</v>
      </c>
    </row>
    <row r="7" spans="1:20" ht="14.5" thickBot="1">
      <c r="A7" s="2832">
        <v>43199</v>
      </c>
      <c r="B7" s="1898">
        <v>0.45</v>
      </c>
      <c r="C7" s="2828">
        <v>4</v>
      </c>
      <c r="D7" s="2828" t="s">
        <v>871</v>
      </c>
      <c r="E7" s="2828">
        <v>9</v>
      </c>
      <c r="F7" s="1898">
        <v>0.2</v>
      </c>
      <c r="G7" s="2834">
        <v>2</v>
      </c>
      <c r="H7" s="2828" t="s">
        <v>871</v>
      </c>
      <c r="I7" s="2828">
        <v>18</v>
      </c>
      <c r="J7" s="1898">
        <v>1</v>
      </c>
      <c r="K7" s="2828">
        <v>5</v>
      </c>
      <c r="L7" s="2828" t="s">
        <v>872</v>
      </c>
      <c r="M7" s="2828">
        <v>50</v>
      </c>
      <c r="N7" s="1898">
        <v>0.15</v>
      </c>
      <c r="O7" s="2828">
        <v>2</v>
      </c>
      <c r="P7" s="2828" t="s">
        <v>871</v>
      </c>
      <c r="Q7" s="2828">
        <v>22</v>
      </c>
      <c r="S7" s="585">
        <v>4</v>
      </c>
      <c r="T7" s="584" t="s">
        <v>709</v>
      </c>
    </row>
    <row r="8" spans="1:20" ht="14.5" thickBot="1">
      <c r="A8" s="2832">
        <v>43234</v>
      </c>
      <c r="B8" s="1898">
        <v>0.45</v>
      </c>
      <c r="C8" s="2828">
        <v>3</v>
      </c>
      <c r="D8" s="2828" t="s">
        <v>871</v>
      </c>
      <c r="E8" s="2828">
        <v>8</v>
      </c>
      <c r="F8" s="1898">
        <v>0.25</v>
      </c>
      <c r="G8" s="2834">
        <v>3</v>
      </c>
      <c r="H8" s="2828" t="s">
        <v>871</v>
      </c>
      <c r="I8" s="2828">
        <v>18</v>
      </c>
      <c r="J8" s="1898">
        <v>1</v>
      </c>
      <c r="K8" s="2828">
        <v>5</v>
      </c>
      <c r="L8" s="2828" t="s">
        <v>872</v>
      </c>
      <c r="M8" s="2828">
        <v>50</v>
      </c>
      <c r="N8" s="1898">
        <v>0.25</v>
      </c>
      <c r="O8" s="2828">
        <v>4</v>
      </c>
      <c r="P8" s="2828" t="s">
        <v>872</v>
      </c>
      <c r="Q8" s="2828">
        <v>25</v>
      </c>
      <c r="S8" s="585">
        <v>5</v>
      </c>
      <c r="T8" s="584" t="s">
        <v>710</v>
      </c>
    </row>
    <row r="9" spans="1:20">
      <c r="A9" s="2832">
        <v>43262</v>
      </c>
      <c r="B9" s="1898">
        <v>0.8</v>
      </c>
      <c r="C9" s="2828">
        <v>5</v>
      </c>
      <c r="D9" s="2828" t="s">
        <v>871</v>
      </c>
      <c r="E9" s="2828">
        <v>8</v>
      </c>
      <c r="F9" s="1898">
        <v>0.08</v>
      </c>
      <c r="G9" s="2834">
        <v>1.5</v>
      </c>
      <c r="H9" s="2828" t="s">
        <v>872</v>
      </c>
      <c r="I9" s="2828">
        <v>15</v>
      </c>
      <c r="J9" s="1898">
        <v>0.9</v>
      </c>
      <c r="K9" s="2828">
        <v>4</v>
      </c>
      <c r="L9" s="2828" t="s">
        <v>872</v>
      </c>
      <c r="M9" s="2829">
        <v>50</v>
      </c>
      <c r="N9" s="1898">
        <v>1</v>
      </c>
      <c r="O9" s="2828">
        <v>5</v>
      </c>
      <c r="P9" s="2828" t="s">
        <v>871</v>
      </c>
      <c r="Q9" s="2828">
        <v>12</v>
      </c>
    </row>
    <row r="10" spans="1:20">
      <c r="A10" s="2833">
        <v>43290</v>
      </c>
      <c r="B10" s="1898">
        <v>1</v>
      </c>
      <c r="C10" s="2828">
        <v>5</v>
      </c>
      <c r="D10" s="2828" t="s">
        <v>1754</v>
      </c>
      <c r="E10" s="2828">
        <v>8</v>
      </c>
      <c r="F10" s="1898">
        <v>0.25</v>
      </c>
      <c r="G10" s="2834">
        <v>3</v>
      </c>
      <c r="H10" s="2828" t="s">
        <v>872</v>
      </c>
      <c r="I10" s="2828">
        <v>8</v>
      </c>
      <c r="J10" s="1898">
        <v>1</v>
      </c>
      <c r="K10" s="2828">
        <v>5</v>
      </c>
      <c r="L10" s="2828" t="s">
        <v>872</v>
      </c>
      <c r="M10" s="2829">
        <v>50</v>
      </c>
      <c r="N10" s="1898">
        <v>1</v>
      </c>
      <c r="O10" s="2828">
        <v>5</v>
      </c>
      <c r="P10" s="2828" t="s">
        <v>871</v>
      </c>
      <c r="Q10" s="2828">
        <v>12</v>
      </c>
    </row>
    <row r="11" spans="1:20">
      <c r="A11" s="2833">
        <v>43297</v>
      </c>
      <c r="B11" s="1898">
        <v>0.3</v>
      </c>
      <c r="C11" s="2828">
        <v>2</v>
      </c>
      <c r="D11" s="2828" t="s">
        <v>871</v>
      </c>
      <c r="E11" s="2828">
        <v>8</v>
      </c>
      <c r="F11" s="1898">
        <v>0.1</v>
      </c>
      <c r="G11" s="2834">
        <v>2</v>
      </c>
      <c r="H11" s="2828" t="s">
        <v>878</v>
      </c>
      <c r="I11" s="2828">
        <v>12</v>
      </c>
      <c r="J11" s="1898">
        <v>1</v>
      </c>
      <c r="K11" s="2828">
        <v>5</v>
      </c>
      <c r="L11" s="2828" t="s">
        <v>872</v>
      </c>
      <c r="M11" s="2829">
        <v>50</v>
      </c>
      <c r="N11" s="1898">
        <v>1</v>
      </c>
      <c r="O11" s="2828">
        <v>5</v>
      </c>
      <c r="P11" s="2828" t="s">
        <v>871</v>
      </c>
      <c r="Q11" s="2828">
        <v>20</v>
      </c>
    </row>
    <row r="12" spans="1:20">
      <c r="A12" s="2833">
        <v>43319</v>
      </c>
      <c r="B12" s="1898">
        <v>1</v>
      </c>
      <c r="C12" s="2828">
        <v>5</v>
      </c>
      <c r="D12" s="2828" t="s">
        <v>872</v>
      </c>
      <c r="E12" s="2828">
        <v>6</v>
      </c>
      <c r="F12" s="1898">
        <v>0.12</v>
      </c>
      <c r="G12" s="298">
        <v>2</v>
      </c>
      <c r="H12" s="2828" t="s">
        <v>871</v>
      </c>
      <c r="I12" s="2828">
        <v>6</v>
      </c>
      <c r="J12" s="1898">
        <v>1</v>
      </c>
      <c r="K12" s="2828">
        <v>5</v>
      </c>
      <c r="L12" s="2828" t="s">
        <v>878</v>
      </c>
      <c r="M12" s="2829">
        <v>50</v>
      </c>
      <c r="N12" s="1898">
        <v>1</v>
      </c>
      <c r="O12" s="2828">
        <v>5</v>
      </c>
      <c r="P12" s="2828" t="s">
        <v>871</v>
      </c>
      <c r="Q12" s="2828">
        <v>15</v>
      </c>
    </row>
    <row r="13" spans="1:20">
      <c r="A13" s="2832">
        <v>43325</v>
      </c>
      <c r="B13" s="1898">
        <v>0.3</v>
      </c>
      <c r="C13" s="2828">
        <v>3</v>
      </c>
      <c r="D13" s="2828" t="s">
        <v>872</v>
      </c>
      <c r="E13" s="2828">
        <v>8</v>
      </c>
      <c r="F13" s="1898">
        <v>0.1</v>
      </c>
      <c r="G13" s="298">
        <v>2</v>
      </c>
      <c r="H13" s="2828" t="s">
        <v>871</v>
      </c>
      <c r="I13" s="2828">
        <v>7</v>
      </c>
      <c r="J13" s="1898">
        <v>1</v>
      </c>
      <c r="K13" s="2828">
        <v>5</v>
      </c>
      <c r="L13" s="2828" t="s">
        <v>872</v>
      </c>
      <c r="M13" s="2829">
        <v>50</v>
      </c>
      <c r="N13" s="1898">
        <v>1</v>
      </c>
      <c r="O13" s="2828">
        <v>5</v>
      </c>
      <c r="P13" s="2828" t="s">
        <v>871</v>
      </c>
      <c r="Q13" s="2828">
        <v>12</v>
      </c>
    </row>
    <row r="14" spans="1:20">
      <c r="A14" s="2832">
        <v>43353</v>
      </c>
      <c r="B14" s="1898">
        <v>0.45</v>
      </c>
      <c r="C14" s="2828">
        <v>3</v>
      </c>
      <c r="D14" s="2828" t="s">
        <v>871</v>
      </c>
      <c r="E14" s="2828">
        <v>7</v>
      </c>
      <c r="F14" s="1898">
        <v>0.2</v>
      </c>
      <c r="G14" s="298">
        <v>3</v>
      </c>
      <c r="H14" s="2828" t="s">
        <v>878</v>
      </c>
      <c r="I14" s="2828">
        <v>8</v>
      </c>
      <c r="J14" s="1898">
        <v>0.9</v>
      </c>
      <c r="K14" s="2828">
        <v>5</v>
      </c>
      <c r="L14" s="2828" t="s">
        <v>872</v>
      </c>
      <c r="M14" s="2829">
        <v>50</v>
      </c>
      <c r="N14" s="1898">
        <v>1</v>
      </c>
      <c r="O14" s="2828">
        <v>5</v>
      </c>
      <c r="P14" s="2828" t="s">
        <v>872</v>
      </c>
      <c r="Q14" s="2828">
        <v>22</v>
      </c>
    </row>
    <row r="15" spans="1:20">
      <c r="A15" s="2833">
        <v>43369</v>
      </c>
      <c r="B15" s="1898">
        <v>0.4</v>
      </c>
      <c r="C15" s="2828">
        <v>4</v>
      </c>
      <c r="D15" s="2828" t="s">
        <v>871</v>
      </c>
      <c r="E15" s="2828">
        <v>8</v>
      </c>
      <c r="F15" s="1898">
        <v>0.1</v>
      </c>
      <c r="G15" s="2834">
        <v>2</v>
      </c>
      <c r="H15" s="2828" t="s">
        <v>871</v>
      </c>
      <c r="I15" s="2828">
        <v>8</v>
      </c>
      <c r="J15" s="1898">
        <v>1</v>
      </c>
      <c r="K15" s="2828">
        <v>5</v>
      </c>
      <c r="L15" s="2828" t="s">
        <v>878</v>
      </c>
      <c r="M15" s="2829">
        <v>50</v>
      </c>
      <c r="N15" s="1898">
        <v>1</v>
      </c>
      <c r="O15" s="2828">
        <v>5</v>
      </c>
      <c r="P15" s="2828" t="s">
        <v>871</v>
      </c>
      <c r="Q15" s="2828">
        <v>20</v>
      </c>
    </row>
    <row r="16" spans="1:20">
      <c r="A16" s="2833">
        <v>43388</v>
      </c>
      <c r="B16" s="1898">
        <v>1</v>
      </c>
      <c r="C16" s="2828">
        <v>5</v>
      </c>
      <c r="D16" s="2828" t="s">
        <v>871</v>
      </c>
      <c r="E16" s="2828">
        <v>7</v>
      </c>
      <c r="F16" s="1898">
        <v>0.08</v>
      </c>
      <c r="G16" s="298">
        <v>2</v>
      </c>
      <c r="H16" s="2828" t="s">
        <v>871</v>
      </c>
      <c r="I16" s="2828">
        <v>7</v>
      </c>
      <c r="J16" s="1898">
        <v>1</v>
      </c>
      <c r="K16" s="2828">
        <v>5</v>
      </c>
      <c r="L16" s="2828" t="s">
        <v>871</v>
      </c>
      <c r="M16" s="2829">
        <v>50</v>
      </c>
      <c r="N16" s="1898">
        <v>1</v>
      </c>
      <c r="O16" s="2828">
        <v>5</v>
      </c>
      <c r="P16" s="2828" t="s">
        <v>871</v>
      </c>
      <c r="Q16" s="2828">
        <v>25</v>
      </c>
    </row>
    <row r="17" spans="1:17">
      <c r="A17" s="2833">
        <v>43409</v>
      </c>
      <c r="B17" s="1898">
        <v>1</v>
      </c>
      <c r="C17" s="2828">
        <v>5</v>
      </c>
      <c r="D17" s="2828" t="s">
        <v>871</v>
      </c>
      <c r="E17" s="2828">
        <v>8</v>
      </c>
      <c r="F17" s="1898">
        <v>0.12</v>
      </c>
      <c r="G17" s="2834">
        <v>3</v>
      </c>
      <c r="H17" s="2828" t="s">
        <v>871</v>
      </c>
      <c r="I17" s="2828">
        <v>7</v>
      </c>
      <c r="J17" s="1898">
        <v>0.8</v>
      </c>
      <c r="K17" s="2828">
        <v>5</v>
      </c>
      <c r="L17" s="2828" t="s">
        <v>872</v>
      </c>
      <c r="M17" s="2829">
        <v>50</v>
      </c>
      <c r="N17" s="1898">
        <v>1</v>
      </c>
      <c r="O17" s="2828">
        <v>5</v>
      </c>
      <c r="P17" s="2828" t="s">
        <v>871</v>
      </c>
      <c r="Q17" s="2828">
        <v>28</v>
      </c>
    </row>
    <row r="18" spans="1:17">
      <c r="A18" s="1615">
        <v>43444</v>
      </c>
      <c r="B18" s="1898">
        <v>1</v>
      </c>
      <c r="C18" s="2828">
        <v>5</v>
      </c>
      <c r="D18" s="2828" t="s">
        <v>871</v>
      </c>
      <c r="E18" s="2828">
        <v>6</v>
      </c>
      <c r="F18" s="1898">
        <v>0.18</v>
      </c>
      <c r="G18" s="2834">
        <v>3</v>
      </c>
      <c r="H18" s="2828" t="s">
        <v>871</v>
      </c>
      <c r="I18" s="2828">
        <v>6</v>
      </c>
      <c r="J18" s="1898">
        <v>1</v>
      </c>
      <c r="K18" s="2828">
        <v>5</v>
      </c>
      <c r="L18" s="2828" t="s">
        <v>872</v>
      </c>
      <c r="M18" s="2829">
        <v>50</v>
      </c>
      <c r="N18" s="1898">
        <v>0.7</v>
      </c>
      <c r="O18" s="2828">
        <v>5</v>
      </c>
      <c r="P18" s="2828" t="s">
        <v>871</v>
      </c>
      <c r="Q18" s="2828">
        <v>20</v>
      </c>
    </row>
    <row r="19" spans="1:17">
      <c r="B19" s="583"/>
      <c r="C19" s="1616"/>
      <c r="F19" s="583"/>
      <c r="G19" s="1616"/>
      <c r="J19" s="583"/>
      <c r="K19" s="1616"/>
      <c r="N19" s="583"/>
      <c r="O19" s="1616"/>
    </row>
  </sheetData>
  <mergeCells count="18">
    <mergeCell ref="S1:T1"/>
    <mergeCell ref="J1:M1"/>
    <mergeCell ref="J2:K2"/>
    <mergeCell ref="L2:L3"/>
    <mergeCell ref="M2:M3"/>
    <mergeCell ref="N1:Q1"/>
    <mergeCell ref="N2:O2"/>
    <mergeCell ref="P2:P3"/>
    <mergeCell ref="Q2:Q3"/>
    <mergeCell ref="F1:I1"/>
    <mergeCell ref="F2:G2"/>
    <mergeCell ref="H2:H3"/>
    <mergeCell ref="I2:I3"/>
    <mergeCell ref="A2:A3"/>
    <mergeCell ref="D2:D3"/>
    <mergeCell ref="E2:E3"/>
    <mergeCell ref="B1:E1"/>
    <mergeCell ref="B2:C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18</vt:i4>
      </vt:variant>
    </vt:vector>
  </HeadingPairs>
  <TitlesOfParts>
    <vt:vector size="59" baseType="lpstr">
      <vt:lpstr>Reservoir Summary Stats</vt:lpstr>
      <vt:lpstr>Annual Reservoir Trends</vt:lpstr>
      <vt:lpstr>Nitrogen Trends</vt:lpstr>
      <vt:lpstr>Phosphorus Trends</vt:lpstr>
      <vt:lpstr>Loading</vt:lpstr>
      <vt:lpstr>Carlson</vt:lpstr>
      <vt:lpstr>Walker</vt:lpstr>
      <vt:lpstr>Monthly Discharge</vt:lpstr>
      <vt:lpstr>P1 Periphyton Clarity</vt:lpstr>
      <vt:lpstr>W Temperature</vt:lpstr>
      <vt:lpstr>Air Temp</vt:lpstr>
      <vt:lpstr>Conductance</vt:lpstr>
      <vt:lpstr>pH</vt:lpstr>
      <vt:lpstr>Oxygen</vt:lpstr>
      <vt:lpstr>Temp DO Comp</vt:lpstr>
      <vt:lpstr>T Phosphorus</vt:lpstr>
      <vt:lpstr>T Nitrogen</vt:lpstr>
      <vt:lpstr>Chlsecchi</vt:lpstr>
      <vt:lpstr>GEI P1 Sites</vt:lpstr>
      <vt:lpstr>P1 Summary</vt:lpstr>
      <vt:lpstr>GEI Coyote Gulch</vt:lpstr>
      <vt:lpstr>Coyote Summary</vt:lpstr>
      <vt:lpstr>GEI Mt Evans</vt:lpstr>
      <vt:lpstr>Mt Evans Summary</vt:lpstr>
      <vt:lpstr>Fen Study</vt:lpstr>
      <vt:lpstr>GEI Copper</vt:lpstr>
      <vt:lpstr>Copper Study</vt:lpstr>
      <vt:lpstr>GEI Watershed</vt:lpstr>
      <vt:lpstr>MWS 2018 Field</vt:lpstr>
      <vt:lpstr>MWS 2018 chemistry</vt:lpstr>
      <vt:lpstr>E. coli</vt:lpstr>
      <vt:lpstr>GEI EGL</vt:lpstr>
      <vt:lpstr>EGL Summary</vt:lpstr>
      <vt:lpstr>2018 Sediment</vt:lpstr>
      <vt:lpstr>2018 Sites</vt:lpstr>
      <vt:lpstr>Parameters 2018</vt:lpstr>
      <vt:lpstr>Methods Labratory</vt:lpstr>
      <vt:lpstr>P1 Field Sheet</vt:lpstr>
      <vt:lpstr>Field WS</vt:lpstr>
      <vt:lpstr>Macro Samples</vt:lpstr>
      <vt:lpstr>Macro Field</vt:lpstr>
      <vt:lpstr>'2018 Sediment'!Print_Area</vt:lpstr>
      <vt:lpstr>Carlson!Print_Area</vt:lpstr>
      <vt:lpstr>Chlsecchi!Print_Area</vt:lpstr>
      <vt:lpstr>Conductance!Print_Area</vt:lpstr>
      <vt:lpstr>'Field WS'!Print_Area</vt:lpstr>
      <vt:lpstr>'GEI EGL'!Print_Area</vt:lpstr>
      <vt:lpstr>'GEI Watershed'!Print_Area</vt:lpstr>
      <vt:lpstr>Loading!Print_Area</vt:lpstr>
      <vt:lpstr>'Mt Evans Summary'!Print_Area</vt:lpstr>
      <vt:lpstr>Oxygen!Print_Area</vt:lpstr>
      <vt:lpstr>'P1 Field Sheet'!Print_Area</vt:lpstr>
      <vt:lpstr>'P1 Summary'!Print_Area</vt:lpstr>
      <vt:lpstr>pH!Print_Area</vt:lpstr>
      <vt:lpstr>'Phosphorus Trends'!Print_Area</vt:lpstr>
      <vt:lpstr>'T Phosphorus'!Print_Area</vt:lpstr>
      <vt:lpstr>'Temp DO Comp'!Print_Area</vt:lpstr>
      <vt:lpstr>'W Temperature'!Print_Area</vt:lpstr>
      <vt:lpstr>Walker!Print_Area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RNC Consulting LLC</cp:lastModifiedBy>
  <cp:lastPrinted>2019-02-11T13:33:19Z</cp:lastPrinted>
  <dcterms:created xsi:type="dcterms:W3CDTF">2000-11-21T22:42:26Z</dcterms:created>
  <dcterms:modified xsi:type="dcterms:W3CDTF">2020-03-03T20:13:24Z</dcterms:modified>
</cp:coreProperties>
</file>